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smith\OneDrive - University College London\C_vs_L_Dev_Project\"/>
    </mc:Choice>
  </mc:AlternateContent>
  <bookViews>
    <workbookView minimized="1" xWindow="0" yWindow="0" windowWidth="1944" windowHeight="432" firstSheet="2" activeTab="4"/>
  </bookViews>
  <sheets>
    <sheet name="All cells" sheetId="1" r:id="rId1"/>
    <sheet name="Sheet1" sheetId="2" r:id="rId2"/>
    <sheet name="no1ms" sheetId="3" r:id="rId3"/>
    <sheet name="Sheet2" sheetId="5" r:id="rId4"/>
    <sheet name="allfinal" sheetId="4" r:id="rId5"/>
    <sheet name="Sheet3" sheetId="6" r:id="rId6"/>
    <sheet name="sag" sheetId="12" r:id="rId7"/>
    <sheet name="finalpca" sheetId="8" r:id="rId8"/>
    <sheet name="Sheet4" sheetId="7" r:id="rId9"/>
    <sheet name="Sheet6" sheetId="9" r:id="rId10"/>
    <sheet name="dev_lumbar" sheetId="10" r:id="rId11"/>
    <sheet name="dev_cervical" sheetId="11" r:id="rId12"/>
  </sheets>
  <externalReferences>
    <externalReference r:id="rId13"/>
    <externalReference r:id="rId14"/>
    <externalReference r:id="rId15"/>
    <externalReference r:id="rId16"/>
  </externalReferences>
  <definedNames>
    <definedName name="_xlnm._FilterDatabase" localSheetId="4" hidden="1">allfinal!$E$1:$E$159</definedName>
    <definedName name="_xlnm._FilterDatabase" localSheetId="2" hidden="1">no1ms!$A$1:$X$135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9" i="8" l="1"/>
  <c r="V138" i="8"/>
  <c r="U138" i="8"/>
  <c r="T138" i="8"/>
  <c r="Q138" i="8"/>
  <c r="Q137" i="8"/>
  <c r="Q136" i="8"/>
  <c r="Q135" i="8"/>
  <c r="Q134" i="8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2" i="4"/>
  <c r="AB4" i="11"/>
  <c r="U70" i="10" l="1"/>
  <c r="S70" i="10"/>
  <c r="U69" i="10"/>
  <c r="S69" i="10"/>
  <c r="U68" i="10"/>
  <c r="S68" i="10"/>
  <c r="U67" i="10"/>
  <c r="S67" i="10"/>
  <c r="P16" i="7" l="1"/>
  <c r="P17" i="7"/>
  <c r="P20" i="7"/>
  <c r="P21" i="7"/>
  <c r="P22" i="7"/>
  <c r="P15" i="7"/>
  <c r="O22" i="7" l="1"/>
  <c r="N22" i="7"/>
  <c r="M22" i="7"/>
  <c r="O21" i="7"/>
  <c r="N21" i="7"/>
  <c r="M21" i="7"/>
  <c r="O20" i="7"/>
  <c r="N20" i="7"/>
  <c r="M20" i="7"/>
  <c r="O17" i="7"/>
  <c r="N17" i="7"/>
  <c r="M17" i="7"/>
  <c r="O16" i="7"/>
  <c r="M16" i="7"/>
  <c r="O15" i="7"/>
  <c r="N15" i="7"/>
  <c r="M15" i="7"/>
  <c r="S16" i="3" l="1"/>
  <c r="S15" i="3"/>
  <c r="C6" i="6" l="1"/>
  <c r="C5" i="6"/>
  <c r="C7" i="6"/>
  <c r="D3" i="6"/>
  <c r="D4" i="6"/>
  <c r="D5" i="6"/>
  <c r="D6" i="6"/>
  <c r="B7" i="6"/>
  <c r="B6" i="6"/>
  <c r="B5" i="6"/>
  <c r="B4" i="6"/>
  <c r="B3" i="6"/>
  <c r="U139" i="4" l="1"/>
  <c r="Z138" i="4"/>
  <c r="X138" i="4"/>
  <c r="Y138" i="4"/>
  <c r="N25" i="7" l="1"/>
  <c r="M25" i="7"/>
  <c r="T138" i="4"/>
  <c r="T139" i="4"/>
  <c r="U138" i="4"/>
  <c r="T135" i="4"/>
  <c r="T137" i="4"/>
  <c r="T136" i="4"/>
  <c r="U137" i="4"/>
  <c r="U136" i="4"/>
  <c r="U135" i="4"/>
  <c r="U134" i="4"/>
  <c r="T134" i="4"/>
  <c r="AH132" i="1" l="1"/>
  <c r="AH133" i="1"/>
  <c r="AH134" i="1"/>
  <c r="AH119" i="1"/>
  <c r="AG120" i="1"/>
  <c r="AH120" i="1"/>
  <c r="AH121" i="1"/>
  <c r="AG122" i="1"/>
  <c r="AH122" i="1"/>
  <c r="AH123" i="1"/>
  <c r="AH124" i="1"/>
  <c r="T121" i="3" l="1"/>
  <c r="S134" i="3" l="1"/>
  <c r="R134" i="3"/>
  <c r="S133" i="3"/>
  <c r="R133" i="3"/>
  <c r="S132" i="3"/>
  <c r="R132" i="3"/>
  <c r="S131" i="3"/>
  <c r="R131" i="3"/>
  <c r="S130" i="3"/>
  <c r="R130" i="3"/>
  <c r="S129" i="3"/>
  <c r="R129" i="3"/>
  <c r="S128" i="3"/>
  <c r="R128" i="3"/>
  <c r="S127" i="3"/>
  <c r="R127" i="3"/>
  <c r="S126" i="3"/>
  <c r="R126" i="3"/>
  <c r="S125" i="3"/>
  <c r="R125" i="3"/>
  <c r="S124" i="3"/>
  <c r="R124" i="3"/>
  <c r="S123" i="3"/>
  <c r="R123" i="3"/>
  <c r="S122" i="3"/>
  <c r="R122" i="3"/>
  <c r="S121" i="3"/>
  <c r="R121" i="3"/>
  <c r="S120" i="3"/>
  <c r="R120" i="3"/>
  <c r="S119" i="3"/>
  <c r="R119" i="3"/>
  <c r="S118" i="3"/>
  <c r="R118" i="3"/>
  <c r="S117" i="3"/>
  <c r="R117" i="3"/>
  <c r="S116" i="3"/>
  <c r="R116" i="3"/>
  <c r="S115" i="3"/>
  <c r="R115" i="3"/>
  <c r="S114" i="3"/>
  <c r="R114" i="3"/>
  <c r="S113" i="3"/>
  <c r="R113" i="3"/>
  <c r="S112" i="3"/>
  <c r="R112" i="3"/>
  <c r="S111" i="3"/>
  <c r="R111" i="3"/>
  <c r="S110" i="3"/>
  <c r="R110" i="3"/>
  <c r="R109" i="3"/>
  <c r="K109" i="3"/>
  <c r="S109" i="3" s="1"/>
  <c r="S108" i="3"/>
  <c r="R108" i="3"/>
  <c r="S107" i="3"/>
  <c r="R107" i="3"/>
  <c r="S106" i="3"/>
  <c r="R106" i="3"/>
  <c r="K105" i="3"/>
  <c r="S105" i="3" s="1"/>
  <c r="R104" i="3"/>
  <c r="K104" i="3"/>
  <c r="S104" i="3" s="1"/>
  <c r="S103" i="3"/>
  <c r="R103" i="3"/>
  <c r="R102" i="3"/>
  <c r="K102" i="3"/>
  <c r="S102" i="3" s="1"/>
  <c r="S101" i="3"/>
  <c r="R101" i="3"/>
  <c r="S100" i="3"/>
  <c r="R100" i="3"/>
  <c r="S99" i="3"/>
  <c r="R99" i="3"/>
  <c r="N99" i="3"/>
  <c r="X98" i="3"/>
  <c r="S98" i="3"/>
  <c r="R98" i="3"/>
  <c r="P98" i="3"/>
  <c r="N98" i="3"/>
  <c r="X97" i="3"/>
  <c r="R97" i="3"/>
  <c r="P97" i="3"/>
  <c r="N97" i="3"/>
  <c r="K97" i="3"/>
  <c r="S97" i="3" s="1"/>
  <c r="S96" i="3"/>
  <c r="R96" i="3"/>
  <c r="S95" i="3"/>
  <c r="R95" i="3"/>
  <c r="S94" i="3"/>
  <c r="R94" i="3"/>
  <c r="S93" i="3"/>
  <c r="R93" i="3"/>
  <c r="S92" i="3"/>
  <c r="R92" i="3"/>
  <c r="S91" i="3"/>
  <c r="R91" i="3"/>
  <c r="S90" i="3"/>
  <c r="R90" i="3"/>
  <c r="S89" i="3"/>
  <c r="R89" i="3"/>
  <c r="S88" i="3"/>
  <c r="S87" i="3"/>
  <c r="R87" i="3"/>
  <c r="S86" i="3"/>
  <c r="R86" i="3"/>
  <c r="S85" i="3"/>
  <c r="R85" i="3"/>
  <c r="S84" i="3"/>
  <c r="R84" i="3"/>
  <c r="S83" i="3"/>
  <c r="R83" i="3"/>
  <c r="S82" i="3"/>
  <c r="R82" i="3"/>
  <c r="S81" i="3"/>
  <c r="R81" i="3"/>
  <c r="S80" i="3"/>
  <c r="R80" i="3"/>
  <c r="U79" i="3"/>
  <c r="S79" i="3"/>
  <c r="R79" i="3"/>
  <c r="U78" i="3"/>
  <c r="S78" i="3"/>
  <c r="R78" i="3"/>
  <c r="U77" i="3"/>
  <c r="S77" i="3"/>
  <c r="R77" i="3"/>
  <c r="U76" i="3"/>
  <c r="S76" i="3"/>
  <c r="R76" i="3"/>
  <c r="U75" i="3"/>
  <c r="S75" i="3"/>
  <c r="R75" i="3"/>
  <c r="U74" i="3"/>
  <c r="S74" i="3"/>
  <c r="R74" i="3"/>
  <c r="U73" i="3"/>
  <c r="S73" i="3"/>
  <c r="R73" i="3"/>
  <c r="U72" i="3"/>
  <c r="S72" i="3"/>
  <c r="R72" i="3"/>
  <c r="U71" i="3"/>
  <c r="S71" i="3"/>
  <c r="U70" i="3"/>
  <c r="S70" i="3"/>
  <c r="R70" i="3"/>
  <c r="U69" i="3"/>
  <c r="S69" i="3"/>
  <c r="U68" i="3"/>
  <c r="S68" i="3"/>
  <c r="R68" i="3"/>
  <c r="U67" i="3"/>
  <c r="S67" i="3"/>
  <c r="R67" i="3"/>
  <c r="S66" i="3"/>
  <c r="R66" i="3"/>
  <c r="S65" i="3"/>
  <c r="R65" i="3"/>
  <c r="S64" i="3"/>
  <c r="R64" i="3"/>
  <c r="V63" i="3"/>
  <c r="S63" i="3"/>
  <c r="R63" i="3"/>
  <c r="S62" i="3"/>
  <c r="S61" i="3"/>
  <c r="R61" i="3"/>
  <c r="S60" i="3"/>
  <c r="R60" i="3"/>
  <c r="S59" i="3"/>
  <c r="S58" i="3"/>
  <c r="R58" i="3"/>
  <c r="S57" i="3"/>
  <c r="R57" i="3"/>
  <c r="S56" i="3"/>
  <c r="R56" i="3"/>
  <c r="S55" i="3"/>
  <c r="R55" i="3"/>
  <c r="S54" i="3"/>
  <c r="R54" i="3"/>
  <c r="S53" i="3"/>
  <c r="R53" i="3"/>
  <c r="S52" i="3"/>
  <c r="R52" i="3"/>
  <c r="S51" i="3"/>
  <c r="R51" i="3"/>
  <c r="S50" i="3"/>
  <c r="R50" i="3"/>
  <c r="S49" i="3"/>
  <c r="R49" i="3"/>
  <c r="R48" i="3"/>
  <c r="K48" i="3"/>
  <c r="S48" i="3" s="1"/>
  <c r="S47" i="3"/>
  <c r="R47" i="3"/>
  <c r="U46" i="3"/>
  <c r="K46" i="3"/>
  <c r="S46" i="3" s="1"/>
  <c r="U45" i="3"/>
  <c r="S45" i="3"/>
  <c r="U44" i="3"/>
  <c r="S44" i="3"/>
  <c r="R44" i="3"/>
  <c r="U43" i="3"/>
  <c r="K43" i="3"/>
  <c r="S43" i="3" s="1"/>
  <c r="U42" i="3"/>
  <c r="S42" i="3"/>
  <c r="R42" i="3"/>
  <c r="U41" i="3"/>
  <c r="S41" i="3"/>
  <c r="R41" i="3"/>
  <c r="U40" i="3"/>
  <c r="S40" i="3"/>
  <c r="R40" i="3"/>
  <c r="U39" i="3"/>
  <c r="S39" i="3"/>
  <c r="R39" i="3"/>
  <c r="S38" i="3"/>
  <c r="R38" i="3"/>
  <c r="S37" i="3"/>
  <c r="R37" i="3"/>
  <c r="S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S23" i="3"/>
  <c r="R23" i="3"/>
  <c r="K22" i="3"/>
  <c r="S22" i="3" s="1"/>
  <c r="S21" i="3"/>
  <c r="S20" i="3"/>
  <c r="R20" i="3"/>
  <c r="P20" i="3"/>
  <c r="L20" i="3"/>
  <c r="S19" i="3"/>
  <c r="R19" i="3"/>
  <c r="S18" i="3"/>
  <c r="R18" i="3"/>
  <c r="S17" i="3"/>
  <c r="R17" i="3"/>
  <c r="R16" i="3"/>
  <c r="R15" i="3"/>
  <c r="S13" i="3"/>
  <c r="S12" i="3"/>
  <c r="R12" i="3"/>
  <c r="N12" i="3"/>
  <c r="U11" i="3"/>
  <c r="R11" i="3"/>
  <c r="K11" i="3"/>
  <c r="U10" i="3"/>
  <c r="R10" i="3"/>
  <c r="K10" i="3"/>
  <c r="U9" i="3"/>
  <c r="R9" i="3"/>
  <c r="U8" i="3"/>
  <c r="R8" i="3"/>
  <c r="K8" i="3"/>
  <c r="U7" i="3"/>
  <c r="R7" i="3"/>
  <c r="U6" i="3"/>
  <c r="R6" i="3"/>
  <c r="K6" i="3"/>
  <c r="U5" i="3"/>
  <c r="R5" i="3"/>
  <c r="K5" i="3"/>
  <c r="U4" i="3"/>
  <c r="R4" i="3"/>
  <c r="K4" i="3"/>
  <c r="U3" i="3"/>
  <c r="R3" i="3"/>
  <c r="K3" i="3"/>
  <c r="U2" i="3"/>
  <c r="S2" i="3"/>
  <c r="R2" i="3"/>
  <c r="K2" i="3"/>
  <c r="BB12" i="1"/>
  <c r="U104" i="3" l="1"/>
  <c r="BB73" i="1" l="1"/>
  <c r="BA73" i="1"/>
  <c r="BA72" i="1"/>
  <c r="BB72" i="1"/>
  <c r="E35" i="1"/>
  <c r="F35" i="1"/>
  <c r="G35" i="1"/>
  <c r="H35" i="1"/>
  <c r="I35" i="1"/>
  <c r="J35" i="1"/>
  <c r="K35" i="1"/>
  <c r="N35" i="1"/>
  <c r="P35" i="1"/>
  <c r="R35" i="1"/>
  <c r="U35" i="1"/>
  <c r="W35" i="1"/>
  <c r="X35" i="1"/>
  <c r="Y35" i="1"/>
  <c r="D35" i="1"/>
  <c r="AM78" i="1"/>
  <c r="BA71" i="1"/>
  <c r="BB71" i="1"/>
  <c r="BB70" i="1" l="1"/>
  <c r="BA70" i="1"/>
  <c r="AL78" i="1"/>
  <c r="BA69" i="1"/>
  <c r="BA68" i="1"/>
  <c r="BB69" i="1"/>
  <c r="BB68" i="1"/>
  <c r="D33" i="1" l="1"/>
  <c r="E33" i="1"/>
  <c r="F33" i="1"/>
  <c r="G33" i="1"/>
  <c r="H33" i="1"/>
  <c r="I33" i="1"/>
  <c r="J33" i="1"/>
  <c r="K33" i="1"/>
  <c r="N33" i="1"/>
  <c r="P33" i="1"/>
  <c r="R33" i="1"/>
  <c r="U33" i="1"/>
  <c r="W33" i="1"/>
  <c r="X33" i="1"/>
  <c r="Y33" i="1"/>
  <c r="BA67" i="1"/>
  <c r="BB67" i="1"/>
  <c r="S99" i="1"/>
  <c r="S98" i="1"/>
  <c r="T72" i="1" l="1"/>
  <c r="S72" i="1"/>
  <c r="S71" i="1"/>
  <c r="T71" i="1"/>
  <c r="S70" i="1"/>
  <c r="T70" i="1"/>
  <c r="W69" i="1"/>
  <c r="W82" i="1" s="1"/>
  <c r="T69" i="1"/>
  <c r="S69" i="1"/>
  <c r="T68" i="1"/>
  <c r="F80" i="1"/>
  <c r="G80" i="1"/>
  <c r="H80" i="1"/>
  <c r="I80" i="1"/>
  <c r="J80" i="1"/>
  <c r="K80" i="1"/>
  <c r="M80" i="1"/>
  <c r="N80" i="1"/>
  <c r="O80" i="1"/>
  <c r="Q80" i="1"/>
  <c r="R80" i="1"/>
  <c r="U80" i="1"/>
  <c r="W80" i="1"/>
  <c r="X80" i="1"/>
  <c r="AB80" i="1"/>
  <c r="D80" i="1"/>
  <c r="E80" i="1"/>
  <c r="T66" i="1"/>
  <c r="E82" i="1"/>
  <c r="F82" i="1"/>
  <c r="G82" i="1"/>
  <c r="H82" i="1"/>
  <c r="I82" i="1"/>
  <c r="J82" i="1"/>
  <c r="K82" i="1"/>
  <c r="M82" i="1"/>
  <c r="N82" i="1"/>
  <c r="O82" i="1"/>
  <c r="Q82" i="1"/>
  <c r="R82" i="1"/>
  <c r="U82" i="1"/>
  <c r="X82" i="1"/>
  <c r="AB82" i="1"/>
  <c r="D82" i="1"/>
  <c r="S65" i="1"/>
  <c r="T64" i="1"/>
  <c r="T65" i="1"/>
  <c r="S106" i="1" l="1"/>
  <c r="T106" i="1"/>
  <c r="J112" i="1"/>
  <c r="S105" i="1"/>
  <c r="T105" i="1"/>
  <c r="BA101" i="1"/>
  <c r="BB101" i="1"/>
  <c r="BA96" i="1"/>
  <c r="BA100" i="1"/>
  <c r="BB100" i="1"/>
  <c r="AM104" i="1"/>
  <c r="BB99" i="1"/>
  <c r="BA99" i="1"/>
  <c r="BA98" i="1"/>
  <c r="BB98" i="1"/>
  <c r="BA97" i="1"/>
  <c r="BB97" i="1"/>
  <c r="AL104" i="1"/>
  <c r="E112" i="1"/>
  <c r="F112" i="1"/>
  <c r="G112" i="1"/>
  <c r="H112" i="1"/>
  <c r="I112" i="1"/>
  <c r="K112" i="1"/>
  <c r="M112" i="1"/>
  <c r="N112" i="1"/>
  <c r="P112" i="1"/>
  <c r="R112" i="1"/>
  <c r="U112" i="1"/>
  <c r="W112" i="1"/>
  <c r="X112" i="1"/>
  <c r="E113" i="1"/>
  <c r="F113" i="1"/>
  <c r="G113" i="1"/>
  <c r="H113" i="1"/>
  <c r="I113" i="1"/>
  <c r="J113" i="1"/>
  <c r="K113" i="1"/>
  <c r="M113" i="1"/>
  <c r="N113" i="1"/>
  <c r="P113" i="1"/>
  <c r="R113" i="1"/>
  <c r="U113" i="1"/>
  <c r="W113" i="1"/>
  <c r="X113" i="1"/>
  <c r="D114" i="1"/>
  <c r="D113" i="1"/>
  <c r="D112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D104" i="1"/>
  <c r="BE104" i="1"/>
  <c r="BF104" i="1"/>
  <c r="BG104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D105" i="1"/>
  <c r="BE105" i="1"/>
  <c r="BF105" i="1"/>
  <c r="BG105" i="1"/>
  <c r="AL105" i="1"/>
  <c r="BB96" i="1"/>
  <c r="BB95" i="1"/>
  <c r="BA95" i="1"/>
  <c r="BA94" i="1"/>
  <c r="BB94" i="1"/>
  <c r="BA93" i="1"/>
  <c r="BB93" i="1"/>
  <c r="BA92" i="1" l="1"/>
  <c r="BB92" i="1"/>
  <c r="AA100" i="1" l="1"/>
  <c r="BA66" i="1" l="1"/>
  <c r="BB66" i="1"/>
  <c r="BB65" i="1" l="1"/>
  <c r="BA64" i="1"/>
  <c r="BB64" i="1"/>
  <c r="BA63" i="1" l="1"/>
  <c r="BB63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C78" i="1"/>
  <c r="BE78" i="1"/>
  <c r="BF78" i="1"/>
  <c r="BG78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C79" i="1"/>
  <c r="BE79" i="1"/>
  <c r="BF79" i="1"/>
  <c r="BG79" i="1"/>
  <c r="BB91" i="1" l="1"/>
  <c r="BJ91" i="1"/>
  <c r="BH91" i="1"/>
  <c r="BI91" i="1"/>
  <c r="BA91" i="1"/>
  <c r="BA90" i="1"/>
  <c r="BB90" i="1"/>
  <c r="BJ90" i="1"/>
  <c r="BI90" i="1"/>
  <c r="AG124" i="1" s="1"/>
  <c r="BH90" i="1"/>
  <c r="BJ105" i="1" l="1"/>
  <c r="BJ104" i="1"/>
  <c r="BH104" i="1"/>
  <c r="BH105" i="1"/>
  <c r="BI105" i="1"/>
  <c r="BI104" i="1"/>
  <c r="BB89" i="1"/>
  <c r="BA89" i="1"/>
  <c r="BB18" i="1" l="1"/>
  <c r="BA18" i="1"/>
  <c r="BB17" i="1"/>
  <c r="BA17" i="1"/>
  <c r="BB16" i="1"/>
  <c r="BA15" i="1" l="1"/>
  <c r="BB15" i="1"/>
  <c r="AA96" i="1"/>
  <c r="AA92" i="1"/>
  <c r="BA14" i="1"/>
  <c r="BB14" i="1"/>
  <c r="AM26" i="1"/>
  <c r="AN26" i="1"/>
  <c r="AO26" i="1"/>
  <c r="AP26" i="1"/>
  <c r="AQ26" i="1"/>
  <c r="AR26" i="1"/>
  <c r="AS26" i="1"/>
  <c r="AU26" i="1"/>
  <c r="AV26" i="1"/>
  <c r="AW26" i="1"/>
  <c r="AX26" i="1"/>
  <c r="AY26" i="1"/>
  <c r="AZ26" i="1"/>
  <c r="BC26" i="1"/>
  <c r="BD26" i="1"/>
  <c r="BE26" i="1"/>
  <c r="BF26" i="1"/>
  <c r="BG26" i="1"/>
  <c r="BH26" i="1"/>
  <c r="BI26" i="1"/>
  <c r="BJ26" i="1"/>
  <c r="AL26" i="1"/>
  <c r="AM24" i="1"/>
  <c r="AN24" i="1"/>
  <c r="AO24" i="1"/>
  <c r="AP24" i="1"/>
  <c r="AQ24" i="1"/>
  <c r="AR24" i="1"/>
  <c r="AS24" i="1"/>
  <c r="AU24" i="1"/>
  <c r="AV24" i="1"/>
  <c r="AW24" i="1"/>
  <c r="AX24" i="1"/>
  <c r="AY24" i="1"/>
  <c r="AZ24" i="1"/>
  <c r="BC24" i="1"/>
  <c r="BD24" i="1"/>
  <c r="BE24" i="1"/>
  <c r="BF24" i="1"/>
  <c r="BG24" i="1"/>
  <c r="BH24" i="1"/>
  <c r="BI24" i="1"/>
  <c r="BJ24" i="1"/>
  <c r="AM25" i="1"/>
  <c r="AN25" i="1"/>
  <c r="AO25" i="1"/>
  <c r="AP25" i="1"/>
  <c r="AQ25" i="1"/>
  <c r="AR25" i="1"/>
  <c r="AS25" i="1"/>
  <c r="AU25" i="1"/>
  <c r="AV25" i="1"/>
  <c r="AW25" i="1"/>
  <c r="AX25" i="1"/>
  <c r="AY25" i="1"/>
  <c r="AZ25" i="1"/>
  <c r="BC25" i="1"/>
  <c r="BD25" i="1"/>
  <c r="BE25" i="1"/>
  <c r="BF25" i="1"/>
  <c r="BG25" i="1"/>
  <c r="BH25" i="1"/>
  <c r="BI25" i="1"/>
  <c r="BJ25" i="1"/>
  <c r="AL24" i="1"/>
  <c r="AL25" i="1"/>
  <c r="BB13" i="1" l="1"/>
  <c r="BA13" i="1"/>
  <c r="BA12" i="1"/>
  <c r="BA11" i="1"/>
  <c r="BB11" i="1"/>
  <c r="BA10" i="1"/>
  <c r="BB10" i="1"/>
  <c r="BA88" i="1" l="1"/>
  <c r="BB88" i="1"/>
  <c r="BC88" i="1"/>
  <c r="BA82" i="1"/>
  <c r="BA83" i="1"/>
  <c r="BB83" i="1"/>
  <c r="BA87" i="1"/>
  <c r="BB87" i="1"/>
  <c r="BC104" i="1" l="1"/>
  <c r="BC105" i="1"/>
  <c r="BB82" i="1"/>
  <c r="BA86" i="1" l="1"/>
  <c r="BB86" i="1"/>
  <c r="BA85" i="1"/>
  <c r="BB85" i="1"/>
  <c r="BA84" i="1"/>
  <c r="BB84" i="1"/>
  <c r="BB104" i="1" l="1"/>
  <c r="BA105" i="1"/>
  <c r="BA104" i="1"/>
  <c r="BB105" i="1"/>
  <c r="F10" i="2"/>
  <c r="F3" i="2"/>
  <c r="F14" i="2" l="1"/>
  <c r="F13" i="2"/>
  <c r="F12" i="2"/>
  <c r="F11" i="2"/>
  <c r="F9" i="2"/>
  <c r="F8" i="2"/>
  <c r="F6" i="2"/>
  <c r="F5" i="2"/>
  <c r="F4" i="2"/>
  <c r="F2" i="2"/>
  <c r="B7" i="2"/>
  <c r="BA5" i="1" l="1"/>
  <c r="BA6" i="1"/>
  <c r="BA7" i="1"/>
  <c r="BA8" i="1"/>
  <c r="BA9" i="1"/>
  <c r="BB8" i="1"/>
  <c r="BB7" i="1"/>
  <c r="BB9" i="1"/>
  <c r="BB6" i="1"/>
  <c r="BB5" i="1" l="1"/>
  <c r="BB4" i="1" l="1"/>
  <c r="BB3" i="1" l="1"/>
  <c r="BA3" i="1"/>
  <c r="BA26" i="1" l="1"/>
  <c r="BA25" i="1"/>
  <c r="BA24" i="1"/>
  <c r="AT2" i="1"/>
  <c r="AT24" i="1" l="1"/>
  <c r="AT26" i="1"/>
  <c r="AT25" i="1"/>
  <c r="BB2" i="1"/>
  <c r="AB83" i="1"/>
  <c r="T24" i="1"/>
  <c r="T23" i="1"/>
  <c r="S23" i="1"/>
  <c r="D34" i="1"/>
  <c r="O14" i="1"/>
  <c r="Q28" i="1"/>
  <c r="T30" i="1"/>
  <c r="Q35" i="1" l="1"/>
  <c r="Q33" i="1"/>
  <c r="O35" i="1"/>
  <c r="O33" i="1"/>
  <c r="BB24" i="1"/>
  <c r="BB26" i="1"/>
  <c r="BB25" i="1"/>
  <c r="E81" i="1"/>
  <c r="F81" i="1"/>
  <c r="G81" i="1"/>
  <c r="H81" i="1"/>
  <c r="I81" i="1"/>
  <c r="J81" i="1"/>
  <c r="K81" i="1"/>
  <c r="M81" i="1"/>
  <c r="N81" i="1"/>
  <c r="O81" i="1"/>
  <c r="Q81" i="1"/>
  <c r="R81" i="1"/>
  <c r="U81" i="1"/>
  <c r="W81" i="1"/>
  <c r="X81" i="1"/>
  <c r="AB81" i="1"/>
  <c r="D81" i="1"/>
  <c r="E34" i="1"/>
  <c r="F34" i="1"/>
  <c r="G34" i="1"/>
  <c r="H34" i="1"/>
  <c r="I34" i="1"/>
  <c r="J34" i="1"/>
  <c r="K34" i="1"/>
  <c r="N34" i="1"/>
  <c r="O34" i="1"/>
  <c r="P34" i="1"/>
  <c r="Q34" i="1"/>
  <c r="R34" i="1"/>
  <c r="U34" i="1"/>
  <c r="W34" i="1"/>
  <c r="X34" i="1"/>
  <c r="Y34" i="1"/>
  <c r="L29" i="1"/>
  <c r="T29" i="1" s="1"/>
  <c r="AA29" i="1" l="1"/>
  <c r="Z29" i="1"/>
  <c r="T20" i="1"/>
  <c r="S20" i="1"/>
  <c r="T27" i="1"/>
  <c r="S27" i="1" l="1"/>
  <c r="T18" i="1"/>
  <c r="Z18" i="1"/>
  <c r="S17" i="1"/>
  <c r="T17" i="1"/>
  <c r="AA16" i="1"/>
  <c r="Z16" i="1"/>
  <c r="T15" i="1" l="1"/>
  <c r="AA15" i="1" l="1"/>
  <c r="AA14" i="1"/>
  <c r="Z14" i="1"/>
  <c r="S14" i="1"/>
  <c r="T14" i="1"/>
  <c r="AB12" i="1" l="1"/>
  <c r="AA12" i="1"/>
  <c r="Z12" i="1"/>
  <c r="AB11" i="1"/>
  <c r="Z11" i="1"/>
  <c r="AA11" i="1"/>
  <c r="AB10" i="1"/>
  <c r="AA10" i="1"/>
  <c r="Z10" i="1"/>
  <c r="AB9" i="1"/>
  <c r="AA9" i="1"/>
  <c r="Z9" i="1"/>
  <c r="AB8" i="1"/>
  <c r="Z8" i="1"/>
  <c r="AA8" i="1"/>
  <c r="AB5" i="1"/>
  <c r="AB6" i="1"/>
  <c r="Z6" i="1"/>
  <c r="AA6" i="1"/>
  <c r="AA5" i="1"/>
  <c r="Z5" i="1"/>
  <c r="AA4" i="1"/>
  <c r="Z4" i="1"/>
  <c r="AA3" i="1"/>
  <c r="Z3" i="1"/>
  <c r="AA2" i="1"/>
  <c r="Z2" i="1"/>
  <c r="S28" i="1"/>
  <c r="T28" i="1"/>
  <c r="AA28" i="1"/>
  <c r="Z28" i="1"/>
  <c r="M28" i="1"/>
  <c r="AG132" i="1" l="1"/>
  <c r="AG119" i="1"/>
  <c r="AB35" i="1"/>
  <c r="AB33" i="1"/>
  <c r="Z35" i="1"/>
  <c r="Z33" i="1"/>
  <c r="M35" i="1"/>
  <c r="M33" i="1"/>
  <c r="AA35" i="1"/>
  <c r="AA33" i="1"/>
  <c r="Z34" i="1"/>
  <c r="AA34" i="1"/>
  <c r="AB34" i="1"/>
  <c r="M34" i="1"/>
  <c r="BJ56" i="1" l="1"/>
  <c r="BI56" i="1"/>
  <c r="BH56" i="1"/>
  <c r="BI55" i="1"/>
  <c r="BH55" i="1"/>
  <c r="BH78" i="1" l="1"/>
  <c r="BH79" i="1"/>
  <c r="BJ78" i="1"/>
  <c r="BJ79" i="1"/>
  <c r="BI78" i="1"/>
  <c r="BI79" i="1"/>
  <c r="BA57" i="1"/>
  <c r="BA58" i="1"/>
  <c r="BA59" i="1"/>
  <c r="BA60" i="1"/>
  <c r="BA61" i="1"/>
  <c r="BA62" i="1"/>
  <c r="BB62" i="1"/>
  <c r="BB61" i="1"/>
  <c r="BB60" i="1"/>
  <c r="BB59" i="1"/>
  <c r="BB58" i="1"/>
  <c r="BB57" i="1" l="1"/>
  <c r="BA56" i="1"/>
  <c r="BA55" i="1"/>
  <c r="BA54" i="1"/>
  <c r="BA53" i="1"/>
  <c r="BA52" i="1"/>
  <c r="BA51" i="1"/>
  <c r="BA50" i="1"/>
  <c r="BA47" i="1"/>
  <c r="BA44" i="1"/>
  <c r="BA41" i="1"/>
  <c r="BA42" i="1"/>
  <c r="BD56" i="1"/>
  <c r="BB56" i="1"/>
  <c r="BD55" i="1"/>
  <c r="BB55" i="1"/>
  <c r="BD54" i="1"/>
  <c r="BB54" i="1"/>
  <c r="BD53" i="1"/>
  <c r="BB53" i="1"/>
  <c r="BD52" i="1"/>
  <c r="BB52" i="1"/>
  <c r="BD51" i="1"/>
  <c r="BB51" i="1"/>
  <c r="BD50" i="1"/>
  <c r="BB50" i="1"/>
  <c r="BD49" i="1"/>
  <c r="BB49" i="1"/>
  <c r="BD48" i="1"/>
  <c r="BB48" i="1"/>
  <c r="BD47" i="1"/>
  <c r="BB47" i="1"/>
  <c r="BD46" i="1"/>
  <c r="BB46" i="1"/>
  <c r="BD45" i="1"/>
  <c r="BB45" i="1"/>
  <c r="BD44" i="1"/>
  <c r="BB44" i="1"/>
  <c r="BD43" i="1"/>
  <c r="BB43" i="1"/>
  <c r="BD42" i="1"/>
  <c r="BB42" i="1"/>
  <c r="BD41" i="1"/>
  <c r="BB41" i="1"/>
  <c r="BD40" i="1"/>
  <c r="BB40" i="1"/>
  <c r="BD39" i="1"/>
  <c r="BB39" i="1"/>
  <c r="BA78" i="1" l="1"/>
  <c r="BA79" i="1"/>
  <c r="BD78" i="1"/>
  <c r="BD79" i="1"/>
  <c r="BB79" i="1"/>
  <c r="BB78" i="1"/>
  <c r="S64" i="1"/>
  <c r="T63" i="1"/>
  <c r="AA61" i="1"/>
  <c r="S62" i="1"/>
  <c r="T62" i="1"/>
  <c r="T61" i="1"/>
  <c r="S61" i="1"/>
  <c r="A114" i="1"/>
  <c r="B114" i="1"/>
  <c r="E114" i="1"/>
  <c r="F114" i="1"/>
  <c r="G114" i="1"/>
  <c r="H114" i="1"/>
  <c r="I114" i="1"/>
  <c r="J114" i="1"/>
  <c r="K114" i="1"/>
  <c r="M114" i="1"/>
  <c r="N114" i="1"/>
  <c r="P114" i="1"/>
  <c r="R114" i="1"/>
  <c r="U114" i="1"/>
  <c r="W114" i="1"/>
  <c r="X114" i="1"/>
  <c r="S60" i="1"/>
  <c r="T60" i="1"/>
  <c r="T59" i="1"/>
  <c r="S58" i="1"/>
  <c r="S59" i="1"/>
  <c r="T58" i="1" l="1"/>
  <c r="S57" i="1"/>
  <c r="AA57" i="1"/>
  <c r="Z57" i="1"/>
  <c r="T57" i="1"/>
  <c r="T104" i="1"/>
  <c r="S104" i="1"/>
  <c r="S103" i="1"/>
  <c r="S102" i="1"/>
  <c r="T103" i="1"/>
  <c r="T102" i="1"/>
  <c r="Z56" i="1"/>
  <c r="S56" i="1"/>
  <c r="T56" i="1"/>
  <c r="AB102" i="1"/>
  <c r="AA102" i="1"/>
  <c r="Z102" i="1"/>
  <c r="S12" i="1"/>
  <c r="S11" i="1"/>
  <c r="S10" i="1"/>
  <c r="S9" i="1"/>
  <c r="S8" i="1"/>
  <c r="S7" i="1"/>
  <c r="S6" i="1"/>
  <c r="S5" i="1"/>
  <c r="S4" i="1"/>
  <c r="S3" i="1"/>
  <c r="S2" i="1"/>
  <c r="L76" i="1"/>
  <c r="T76" i="1" s="1"/>
  <c r="AA76" i="1"/>
  <c r="Z76" i="1"/>
  <c r="S76" i="1"/>
  <c r="S35" i="1" l="1"/>
  <c r="S33" i="1"/>
  <c r="S34" i="1"/>
  <c r="S55" i="1"/>
  <c r="T55" i="1"/>
  <c r="T54" i="1"/>
  <c r="S54" i="1"/>
  <c r="T53" i="1"/>
  <c r="S53" i="1"/>
  <c r="L52" i="1"/>
  <c r="T52" i="1" s="1"/>
  <c r="S52" i="1"/>
  <c r="AA52" i="1"/>
  <c r="AA80" i="1" s="1"/>
  <c r="Z52" i="1"/>
  <c r="S40" i="1"/>
  <c r="S41" i="1"/>
  <c r="S42" i="1"/>
  <c r="S43" i="1"/>
  <c r="S45" i="1"/>
  <c r="S49" i="1"/>
  <c r="S51" i="1"/>
  <c r="T51" i="1"/>
  <c r="AA82" i="1" l="1"/>
  <c r="S82" i="1"/>
  <c r="S80" i="1"/>
  <c r="Z80" i="1"/>
  <c r="Z82" i="1"/>
  <c r="AA81" i="1"/>
  <c r="S81" i="1"/>
  <c r="Z81" i="1"/>
  <c r="E14" i="2"/>
  <c r="E13" i="2"/>
  <c r="E12" i="2"/>
  <c r="E11" i="2"/>
  <c r="E10" i="2"/>
  <c r="E9" i="2"/>
  <c r="E8" i="2"/>
  <c r="E6" i="2"/>
  <c r="E5" i="2"/>
  <c r="E4" i="2"/>
  <c r="E3" i="2"/>
  <c r="E2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W19" i="2" l="1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6" i="2"/>
  <c r="B6" i="2"/>
  <c r="C5" i="2"/>
  <c r="B5" i="2"/>
  <c r="C4" i="2"/>
  <c r="B4" i="2"/>
  <c r="C3" i="2"/>
  <c r="B3" i="2"/>
  <c r="C2" i="2"/>
  <c r="B2" i="2"/>
  <c r="C7" i="2" l="1"/>
  <c r="F7" i="2"/>
  <c r="E7" i="2"/>
  <c r="AB101" i="1"/>
  <c r="AA101" i="1"/>
  <c r="Z101" i="1"/>
  <c r="S101" i="1"/>
  <c r="L101" i="1"/>
  <c r="T101" i="1" s="1"/>
  <c r="S100" i="1"/>
  <c r="AB100" i="1"/>
  <c r="Z100" i="1"/>
  <c r="T100" i="1"/>
  <c r="T99" i="1"/>
  <c r="AB97" i="1"/>
  <c r="AA97" i="1"/>
  <c r="L97" i="1"/>
  <c r="T97" i="1" s="1"/>
  <c r="AA98" i="1" l="1"/>
  <c r="Z98" i="1"/>
  <c r="AB98" i="1"/>
  <c r="T98" i="1"/>
  <c r="S96" i="1"/>
  <c r="T95" i="1"/>
  <c r="L96" i="1"/>
  <c r="T96" i="1" s="1"/>
  <c r="AB95" i="1"/>
  <c r="Z95" i="1"/>
  <c r="S95" i="1" l="1"/>
  <c r="AB94" i="1" l="1"/>
  <c r="AA94" i="1"/>
  <c r="S94" i="1"/>
  <c r="AB93" i="1" l="1"/>
  <c r="AA93" i="1"/>
  <c r="Z93" i="1"/>
  <c r="S93" i="1"/>
  <c r="T93" i="1"/>
  <c r="L94" i="1"/>
  <c r="T94" i="1" s="1"/>
  <c r="AB92" i="1"/>
  <c r="Z92" i="1"/>
  <c r="S92" i="1"/>
  <c r="T92" i="1"/>
  <c r="AB91" i="1" l="1"/>
  <c r="AA91" i="1"/>
  <c r="Z91" i="1"/>
  <c r="T91" i="1"/>
  <c r="S91" i="1"/>
  <c r="O91" i="1"/>
  <c r="AB90" i="1" l="1"/>
  <c r="AA90" i="1"/>
  <c r="Z90" i="1"/>
  <c r="Y90" i="1"/>
  <c r="S90" i="1"/>
  <c r="T90" i="1"/>
  <c r="Q90" i="1"/>
  <c r="O90" i="1"/>
  <c r="AB89" i="1" l="1"/>
  <c r="AA89" i="1"/>
  <c r="Z89" i="1"/>
  <c r="Y89" i="1"/>
  <c r="S89" i="1"/>
  <c r="AG134" i="1" l="1"/>
  <c r="AG123" i="1"/>
  <c r="S112" i="1"/>
  <c r="S113" i="1"/>
  <c r="Y112" i="1"/>
  <c r="Y113" i="1"/>
  <c r="Z113" i="1"/>
  <c r="Z112" i="1"/>
  <c r="AA112" i="1"/>
  <c r="AA113" i="1"/>
  <c r="AB112" i="1"/>
  <c r="AB113" i="1"/>
  <c r="S114" i="1"/>
  <c r="AB114" i="1"/>
  <c r="Y114" i="1"/>
  <c r="Z114" i="1"/>
  <c r="AA114" i="1"/>
  <c r="Q89" i="1"/>
  <c r="O89" i="1"/>
  <c r="Q112" i="1" l="1"/>
  <c r="Q113" i="1"/>
  <c r="O112" i="1"/>
  <c r="O113" i="1"/>
  <c r="O114" i="1"/>
  <c r="Q114" i="1"/>
  <c r="L89" i="1"/>
  <c r="T89" i="1" s="1"/>
  <c r="V88" i="1" l="1"/>
  <c r="L88" i="1"/>
  <c r="T88" i="1" s="1"/>
  <c r="V87" i="1"/>
  <c r="L87" i="1"/>
  <c r="V50" i="1"/>
  <c r="L50" i="1"/>
  <c r="T50" i="1" s="1"/>
  <c r="V49" i="1"/>
  <c r="Y49" i="1" s="1"/>
  <c r="L49" i="1"/>
  <c r="T49" i="1" s="1"/>
  <c r="V48" i="1"/>
  <c r="T48" i="1"/>
  <c r="V47" i="1"/>
  <c r="T47" i="1"/>
  <c r="V46" i="1"/>
  <c r="T46" i="1"/>
  <c r="V45" i="1"/>
  <c r="T45" i="1"/>
  <c r="V44" i="1"/>
  <c r="L44" i="1"/>
  <c r="V43" i="1"/>
  <c r="T43" i="1"/>
  <c r="V42" i="1"/>
  <c r="T42" i="1"/>
  <c r="V41" i="1"/>
  <c r="T41" i="1"/>
  <c r="V40" i="1"/>
  <c r="T40" i="1"/>
  <c r="V39" i="1"/>
  <c r="T39" i="1"/>
  <c r="V12" i="1"/>
  <c r="L12" i="1"/>
  <c r="V11" i="1"/>
  <c r="L11" i="1"/>
  <c r="V10" i="1"/>
  <c r="V9" i="1"/>
  <c r="L9" i="1"/>
  <c r="V8" i="1"/>
  <c r="V7" i="1"/>
  <c r="V6" i="1"/>
  <c r="L6" i="1"/>
  <c r="V5" i="1"/>
  <c r="L5" i="1"/>
  <c r="V4" i="1"/>
  <c r="L4" i="1"/>
  <c r="V3" i="1"/>
  <c r="L3" i="1"/>
  <c r="V2" i="1"/>
  <c r="T2" i="1"/>
  <c r="L2" i="1"/>
  <c r="AG133" i="1" l="1"/>
  <c r="AG121" i="1"/>
  <c r="L35" i="1"/>
  <c r="L33" i="1"/>
  <c r="T35" i="1"/>
  <c r="T33" i="1"/>
  <c r="V35" i="1"/>
  <c r="V33" i="1"/>
  <c r="V80" i="1"/>
  <c r="V82" i="1"/>
  <c r="Y82" i="1"/>
  <c r="Y80" i="1"/>
  <c r="L80" i="1"/>
  <c r="L82" i="1"/>
  <c r="L112" i="1"/>
  <c r="L113" i="1"/>
  <c r="Y81" i="1"/>
  <c r="L34" i="1"/>
  <c r="V81" i="1"/>
  <c r="V34" i="1"/>
  <c r="L81" i="1"/>
  <c r="T34" i="1"/>
  <c r="L114" i="1"/>
  <c r="P39" i="1"/>
  <c r="T44" i="1"/>
  <c r="T82" i="1" s="1"/>
  <c r="T87" i="1"/>
  <c r="T80" i="1" l="1"/>
  <c r="P82" i="1"/>
  <c r="P80" i="1"/>
  <c r="T112" i="1"/>
  <c r="T113" i="1"/>
  <c r="T81" i="1"/>
  <c r="P81" i="1"/>
  <c r="T114" i="1"/>
  <c r="V96" i="1"/>
  <c r="V113" i="1" l="1"/>
  <c r="V112" i="1"/>
  <c r="V114" i="1"/>
</calcChain>
</file>

<file path=xl/comments1.xml><?xml version="1.0" encoding="utf-8"?>
<comments xmlns="http://schemas.openxmlformats.org/spreadsheetml/2006/main">
  <authors>
    <author>Calvin Smith</author>
  </authors>
  <commentList>
    <comment ref="AD1" authorId="0" shapeId="0">
      <text>
        <r>
          <rPr>
            <b/>
            <sz val="9"/>
            <color indexed="81"/>
            <rFont val="Tahoma"/>
            <family val="2"/>
          </rPr>
          <t>Calvin Smith:</t>
        </r>
        <r>
          <rPr>
            <sz val="9"/>
            <color indexed="81"/>
            <rFont val="Tahoma"/>
            <family val="2"/>
          </rPr>
          <t xml:space="preserve">
at threshold
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Calvin Smith:</t>
        </r>
        <r>
          <rPr>
            <sz val="9"/>
            <color indexed="81"/>
            <rFont val="Tahoma"/>
            <family val="2"/>
          </rPr>
          <t xml:space="preserve">
at threshold
</t>
        </r>
      </text>
    </comment>
    <comment ref="AD38" authorId="0" shapeId="0">
      <text>
        <r>
          <rPr>
            <b/>
            <sz val="9"/>
            <color indexed="81"/>
            <rFont val="Tahoma"/>
            <family val="2"/>
          </rPr>
          <t>Calvin Smith:</t>
        </r>
        <r>
          <rPr>
            <sz val="9"/>
            <color indexed="81"/>
            <rFont val="Tahoma"/>
            <family val="2"/>
          </rPr>
          <t xml:space="preserve">
at threshold
</t>
        </r>
      </text>
    </comment>
    <comment ref="BM38" authorId="0" shapeId="0">
      <text>
        <r>
          <rPr>
            <b/>
            <sz val="9"/>
            <color indexed="81"/>
            <rFont val="Tahoma"/>
            <family val="2"/>
          </rPr>
          <t>Calvin Smith:</t>
        </r>
        <r>
          <rPr>
            <sz val="9"/>
            <color indexed="81"/>
            <rFont val="Tahoma"/>
            <family val="2"/>
          </rPr>
          <t xml:space="preserve">
at threshold
</t>
        </r>
      </text>
    </comment>
    <comment ref="AD75" authorId="0" shapeId="0">
      <text>
        <r>
          <rPr>
            <b/>
            <sz val="9"/>
            <color indexed="81"/>
            <rFont val="Tahoma"/>
            <family val="2"/>
          </rPr>
          <t>Calvin Smith:</t>
        </r>
        <r>
          <rPr>
            <sz val="9"/>
            <color indexed="81"/>
            <rFont val="Tahoma"/>
            <family val="2"/>
          </rPr>
          <t xml:space="preserve">
at threshold for rep firing 
</t>
        </r>
      </text>
    </comment>
    <comment ref="BM75" authorId="0" shapeId="0">
      <text>
        <r>
          <rPr>
            <b/>
            <sz val="9"/>
            <color indexed="81"/>
            <rFont val="Tahoma"/>
            <family val="2"/>
          </rPr>
          <t>Calvin Smith:</t>
        </r>
        <r>
          <rPr>
            <sz val="9"/>
            <color indexed="81"/>
            <rFont val="Tahoma"/>
            <family val="2"/>
          </rPr>
          <t xml:space="preserve">
at threshold for rep firing 
</t>
        </r>
      </text>
    </comment>
  </commentList>
</comments>
</file>

<file path=xl/sharedStrings.xml><?xml version="1.0" encoding="utf-8"?>
<sst xmlns="http://schemas.openxmlformats.org/spreadsheetml/2006/main" count="2254" uniqueCount="371">
  <si>
    <t>Lumbar P2-3</t>
  </si>
  <si>
    <t>CellID</t>
  </si>
  <si>
    <t>Age</t>
  </si>
  <si>
    <t>Rheobase</t>
  </si>
  <si>
    <t>Initial FF</t>
  </si>
  <si>
    <t>Max_spikes</t>
  </si>
  <si>
    <t>AP_HW</t>
  </si>
  <si>
    <t>fAHP_amp</t>
  </si>
  <si>
    <t>Age (d)</t>
  </si>
  <si>
    <t>Neuraxis</t>
  </si>
  <si>
    <t>Condition</t>
  </si>
  <si>
    <t>Res</t>
  </si>
  <si>
    <t>Ffinit_slope</t>
  </si>
  <si>
    <t>maxFFsteady</t>
  </si>
  <si>
    <t>Mean FF slop</t>
  </si>
  <si>
    <t>max mean</t>
  </si>
  <si>
    <t>SS slope</t>
  </si>
  <si>
    <t>Tau(S)</t>
  </si>
  <si>
    <t>Sag_max</t>
  </si>
  <si>
    <t>Cap</t>
  </si>
  <si>
    <t>RMP</t>
  </si>
  <si>
    <t>AP amp</t>
  </si>
  <si>
    <r>
      <t>Max rise (</t>
    </r>
    <r>
      <rPr>
        <b/>
        <sz val="11"/>
        <color theme="1"/>
        <rFont val="Calibri"/>
        <family val="2"/>
      </rPr>
      <t>∆</t>
    </r>
    <r>
      <rPr>
        <b/>
        <sz val="4.4000000000000004"/>
        <color theme="1"/>
        <rFont val="Calibri"/>
        <family val="2"/>
      </rPr>
      <t>V/∆t Vs-1)</t>
    </r>
  </si>
  <si>
    <t>max fall</t>
  </si>
  <si>
    <t>spike slope</t>
  </si>
  <si>
    <t>mAHP amp</t>
  </si>
  <si>
    <t>mAHP 1/2 decay</t>
  </si>
  <si>
    <t>ADP amp</t>
  </si>
  <si>
    <t>cervical</t>
  </si>
  <si>
    <t>BG_22_03_18_C1</t>
  </si>
  <si>
    <t>CC_29_07_18_C1</t>
  </si>
  <si>
    <t>Cervical P3</t>
  </si>
  <si>
    <t>BG_22_03_18_C2</t>
  </si>
  <si>
    <t>CC_29_07_18_C2</t>
  </si>
  <si>
    <t>BG_22_03_18_C3</t>
  </si>
  <si>
    <t>CC_29_07_18_C3</t>
  </si>
  <si>
    <t>BH_22_03_18_C1</t>
  </si>
  <si>
    <t>CC_29_07_18_C4</t>
  </si>
  <si>
    <t>BH_22_03_18_C2</t>
  </si>
  <si>
    <t>CC_29_07_18_C5</t>
  </si>
  <si>
    <t>BJ_26_04_18_C1</t>
  </si>
  <si>
    <t>DE_09_10_18_C1</t>
  </si>
  <si>
    <t>BJ_26_04_18_C2</t>
  </si>
  <si>
    <t>DE_09_10_18_C2</t>
  </si>
  <si>
    <t>BJ_26_04_18_C3</t>
  </si>
  <si>
    <t>DG_10_10_18_C1</t>
  </si>
  <si>
    <t>BK_27_04_18_C1</t>
  </si>
  <si>
    <t>DK_31_10_18_C1</t>
  </si>
  <si>
    <t>BK_27_04_18_C2</t>
  </si>
  <si>
    <t>DK_31_10_18_C2</t>
  </si>
  <si>
    <t>BK_27_04_18_C3</t>
  </si>
  <si>
    <t>#</t>
  </si>
  <si>
    <t>DK_31_10_18_C3</t>
  </si>
  <si>
    <t>I/F slope (max)</t>
  </si>
  <si>
    <t>DK_31_10_18_C4</t>
  </si>
  <si>
    <t>BW_20_07_18_C1</t>
  </si>
  <si>
    <t>Mean FF</t>
  </si>
  <si>
    <t>DL_01_11_18_C1</t>
  </si>
  <si>
    <t>BW_20_07_18_C2</t>
  </si>
  <si>
    <t>I/F slope (mean)</t>
  </si>
  <si>
    <t>DL_01_11_18_C2</t>
  </si>
  <si>
    <t>BW_20_07_18_C3</t>
  </si>
  <si>
    <t>SS FF</t>
  </si>
  <si>
    <t>DL_01_11_18_C3</t>
  </si>
  <si>
    <t>BW_20_07_18_C4</t>
  </si>
  <si>
    <t>I/F slope (SSFF)</t>
  </si>
  <si>
    <t>DL_01_11_18_C4</t>
  </si>
  <si>
    <t>BW_20_07_18_C5</t>
  </si>
  <si>
    <t>Max Spikes</t>
  </si>
  <si>
    <t>DL_01_11_18_C5</t>
  </si>
  <si>
    <t>Gain spikes/pA</t>
  </si>
  <si>
    <t>CB_28_07_18_C2</t>
  </si>
  <si>
    <t>AP HW</t>
  </si>
  <si>
    <t>fAHP amp</t>
  </si>
  <si>
    <t>CK_15_08_18_C1</t>
  </si>
  <si>
    <t>CK_15_08_18_C2</t>
  </si>
  <si>
    <t>Averages</t>
  </si>
  <si>
    <t>n</t>
  </si>
  <si>
    <t>CB_28_07_18_C1</t>
  </si>
  <si>
    <t>BR_26_05_18_C1</t>
  </si>
  <si>
    <t>CB_28_07_18_C3</t>
  </si>
  <si>
    <t>CB_28_07_18_C4</t>
  </si>
  <si>
    <t>lumbar p6-9</t>
  </si>
  <si>
    <t>Max_FF</t>
  </si>
  <si>
    <t>Max rise</t>
  </si>
  <si>
    <t>Cervical 6-9</t>
  </si>
  <si>
    <t>AHP_amp</t>
  </si>
  <si>
    <t>AE_07_11_17_C1</t>
  </si>
  <si>
    <t>Lumbar P6-7</t>
  </si>
  <si>
    <t>\AA_25_10_17_C1.xlsx</t>
  </si>
  <si>
    <t>Cervical P6-7</t>
  </si>
  <si>
    <t>NA</t>
  </si>
  <si>
    <t>AE_07_11_17_C2</t>
  </si>
  <si>
    <t>\AA_25_10_17_C2.xlsx</t>
  </si>
  <si>
    <t>AE_07_11_17_C3</t>
  </si>
  <si>
    <t>\AB_26_10_17_C1.xlsx</t>
  </si>
  <si>
    <t>AE_07_11_17_C4</t>
  </si>
  <si>
    <t>\AB_26_10_17_C2.xlsx</t>
  </si>
  <si>
    <t>AJ_23_11_17_C1</t>
  </si>
  <si>
    <t>\AB_26_10_17_C3.xlsx</t>
  </si>
  <si>
    <t>AK_1_12_17_C3</t>
  </si>
  <si>
    <t>\AB_26_10_17_C4.xlsx</t>
  </si>
  <si>
    <t>Max FF</t>
  </si>
  <si>
    <t>AP_11_01_18_C1</t>
  </si>
  <si>
    <t>\AB_26_10_17_C5.xlsx</t>
  </si>
  <si>
    <t>AP_11_01_18_C2</t>
  </si>
  <si>
    <t>\AG_09_11_17_C1.xlsx</t>
  </si>
  <si>
    <t>S_19_09_17_C1</t>
  </si>
  <si>
    <t>\AG_09_11_17_C2_.xlsx</t>
  </si>
  <si>
    <t>S_19_09_17_C4</t>
  </si>
  <si>
    <t>\AL_02_12_17_C1.xlsx</t>
  </si>
  <si>
    <t>AW_23_3_18_C1</t>
  </si>
  <si>
    <t>\AL_02_12_17_C2.xlsx</t>
  </si>
  <si>
    <t>AW_23_3_18_C4</t>
  </si>
  <si>
    <t>\AL_02_12_17__C3.xlsx</t>
  </si>
  <si>
    <t>AW_23_3_18_C3</t>
  </si>
  <si>
    <t>\AM_04_12_17_C1.xlsx</t>
  </si>
  <si>
    <t>BX_24_07_18_C1</t>
  </si>
  <si>
    <t>\AM_04_12_17_C2.xlsx</t>
  </si>
  <si>
    <t>BX_24_07_18_C2</t>
  </si>
  <si>
    <t>\AQ_11_01_18_C1.xlsx</t>
  </si>
  <si>
    <t>BX_24_07_18_C3</t>
  </si>
  <si>
    <t>\AQ_11_01_18_C2.xlsx</t>
  </si>
  <si>
    <t>BX_24_07_18_C4</t>
  </si>
  <si>
    <t>\AX_24_02_18_C1.xlsx</t>
  </si>
  <si>
    <t>BZ_26_07_18_C1</t>
  </si>
  <si>
    <t>\AX_24_02_18_C3.xlsx</t>
  </si>
  <si>
    <t>BZ_26_07_18_C2</t>
  </si>
  <si>
    <t>BA_01_03_18_C1</t>
  </si>
  <si>
    <t>BZ_26_07_18_C3</t>
  </si>
  <si>
    <t>CI_08_08_18_C1</t>
  </si>
  <si>
    <t>BZ_26_07_18_C4</t>
  </si>
  <si>
    <t>CI_08_08_18_C2</t>
  </si>
  <si>
    <t>CA_27_07_18_C3</t>
  </si>
  <si>
    <t>CI_08_08_18_C3</t>
  </si>
  <si>
    <t>CA_27_07_18_C4</t>
  </si>
  <si>
    <t>CJ_10_08_18_C1</t>
  </si>
  <si>
    <t>CA_27_07_18_C5</t>
  </si>
  <si>
    <t>CJ_10_08_18_C2</t>
  </si>
  <si>
    <t>CA_27_07_18_C1</t>
  </si>
  <si>
    <t>DU_20_02_19_C1</t>
  </si>
  <si>
    <t>CL_18_08_18_C1</t>
  </si>
  <si>
    <t>DU_20_02_19_C2</t>
  </si>
  <si>
    <t>CL_18_08_18_C2</t>
  </si>
  <si>
    <t>DU_20_02_19_C3</t>
  </si>
  <si>
    <t>CL_18_08_18_C3</t>
  </si>
  <si>
    <t>DU_20_02_19_C6</t>
  </si>
  <si>
    <t>DW_25_02_19_C1</t>
  </si>
  <si>
    <t>AAA_C1</t>
  </si>
  <si>
    <t>DW_25_02_19_C3</t>
  </si>
  <si>
    <t>AAA_C2</t>
  </si>
  <si>
    <t>DW_25_02_19_C4</t>
  </si>
  <si>
    <t>AAA_C3</t>
  </si>
  <si>
    <t>DW_25_02_19_C5</t>
  </si>
  <si>
    <t>AAA_C4</t>
  </si>
  <si>
    <t>DW_25_02_19_C6</t>
  </si>
  <si>
    <t>AAE_C1</t>
  </si>
  <si>
    <t>DW_25_02_19_C7</t>
  </si>
  <si>
    <t>DW_25_02_19_C8</t>
  </si>
  <si>
    <t>BX_24_07_18_C5</t>
  </si>
  <si>
    <t>Cervica</t>
  </si>
  <si>
    <t>DN_15_11_18_C1</t>
  </si>
  <si>
    <t>DN_15_11_18_C2</t>
  </si>
  <si>
    <t>DO_16_11_18_C1</t>
  </si>
  <si>
    <t>DO_16_11_18_C2</t>
  </si>
  <si>
    <t>Lumbar P14+</t>
  </si>
  <si>
    <t>DO_16_11_18_C3</t>
  </si>
  <si>
    <t>\AC_02_11_17.xlsx</t>
  </si>
  <si>
    <t>Lumbar P15+</t>
  </si>
  <si>
    <t>DQ_20_11_18_C1</t>
  </si>
  <si>
    <t>\AD_03_11_17_C1.xlsx</t>
  </si>
  <si>
    <t>DS_24_11_18_C1</t>
  </si>
  <si>
    <t>CO_28_08_18_C2</t>
  </si>
  <si>
    <t>DX_01_03_19_C1</t>
  </si>
  <si>
    <t>CP_29_08_18_C1</t>
  </si>
  <si>
    <t>DX_01_03_19_C2</t>
  </si>
  <si>
    <t>CP_29_08_18_C2</t>
  </si>
  <si>
    <t>DX_01_03_19_C3</t>
  </si>
  <si>
    <t>CP_29_08_18_C3</t>
  </si>
  <si>
    <t>AAF</t>
  </si>
  <si>
    <t>CQ_31_08_18_C1</t>
  </si>
  <si>
    <t>DZC1</t>
  </si>
  <si>
    <t>CQ_31_08_18_C2</t>
  </si>
  <si>
    <t>DZC3</t>
  </si>
  <si>
    <t>CT_09_09_18_C1</t>
  </si>
  <si>
    <t>DZC4</t>
  </si>
  <si>
    <t>CT_09_09_18_C2</t>
  </si>
  <si>
    <t>AAC_C1</t>
  </si>
  <si>
    <t>CT_09_09_18_C3</t>
  </si>
  <si>
    <t>AAJ_C1</t>
  </si>
  <si>
    <t>CV_13_09_18_C2</t>
  </si>
  <si>
    <t>AAJ_C2</t>
  </si>
  <si>
    <t>CX_17_09_18_C1</t>
  </si>
  <si>
    <t>AAH_C1</t>
  </si>
  <si>
    <t>CX_17_09_18_C4</t>
  </si>
  <si>
    <t>AAH_C2</t>
  </si>
  <si>
    <t>CX_17_09_18_C5</t>
  </si>
  <si>
    <t>AAH_C3</t>
  </si>
  <si>
    <t>DA_21_09_18_C1</t>
  </si>
  <si>
    <t>DA_21_09_18_C2</t>
  </si>
  <si>
    <t>DA_21_09_18_C3</t>
  </si>
  <si>
    <t>AAI_C1</t>
  </si>
  <si>
    <t>AAI_C2</t>
  </si>
  <si>
    <t>Group</t>
  </si>
  <si>
    <t xml:space="preserve">av age </t>
  </si>
  <si>
    <t>P3 Lumbar</t>
  </si>
  <si>
    <t>P2-3</t>
  </si>
  <si>
    <t>P3 Cervical</t>
  </si>
  <si>
    <t>P6-7 Lumbar</t>
  </si>
  <si>
    <t>P6-7</t>
  </si>
  <si>
    <t>P6-7 Cervical</t>
  </si>
  <si>
    <t>P14+ Lumbar</t>
  </si>
  <si>
    <t>P14-22</t>
  </si>
  <si>
    <t>P14+ Cervical</t>
  </si>
  <si>
    <t>P14-19</t>
  </si>
  <si>
    <t>age range</t>
  </si>
  <si>
    <t>P3</t>
  </si>
  <si>
    <t>P7</t>
  </si>
  <si>
    <t>P14</t>
  </si>
  <si>
    <t>musc % change</t>
  </si>
  <si>
    <t>musc gx tx% change</t>
  </si>
  <si>
    <t>musc sd</t>
  </si>
  <si>
    <t>mus gxtx sd</t>
  </si>
  <si>
    <t>ttest</t>
  </si>
  <si>
    <t xml:space="preserve">Muscarine </t>
  </si>
  <si>
    <t>Muscarine + GxTx</t>
  </si>
  <si>
    <t>musc</t>
  </si>
  <si>
    <t xml:space="preserve">musc gxtx </t>
  </si>
  <si>
    <t>Animal ID</t>
  </si>
  <si>
    <t>BP_24_05_18</t>
  </si>
  <si>
    <t>BV_01_06_18</t>
  </si>
  <si>
    <t>CV_13_09_18_C1</t>
  </si>
  <si>
    <t>AAF_31_03_19_C1</t>
  </si>
  <si>
    <t>change</t>
  </si>
  <si>
    <t>agegroup</t>
  </si>
  <si>
    <t>Lumbar P3</t>
  </si>
  <si>
    <t>Lumbar P7</t>
  </si>
  <si>
    <t>Cervical P7</t>
  </si>
  <si>
    <t>Lumbar P14</t>
  </si>
  <si>
    <t>Cervical P14</t>
  </si>
  <si>
    <t>Conditions</t>
  </si>
  <si>
    <t>Max_rise</t>
  </si>
  <si>
    <t>max_fall</t>
  </si>
  <si>
    <t>spike_slope</t>
  </si>
  <si>
    <t>Mean_FF_slop</t>
  </si>
  <si>
    <t>max_mean</t>
  </si>
  <si>
    <t>SS_slope</t>
  </si>
  <si>
    <t>Tau1</t>
  </si>
  <si>
    <t>Capacitance</t>
  </si>
  <si>
    <t>Resistance</t>
  </si>
  <si>
    <t>mAHPamp</t>
  </si>
  <si>
    <t>ADP</t>
  </si>
  <si>
    <t>AP_amp</t>
  </si>
  <si>
    <t>Lumbar_P3</t>
  </si>
  <si>
    <t>Cervical_P3</t>
  </si>
  <si>
    <t>LumbarP7</t>
  </si>
  <si>
    <t>CervicalP7</t>
  </si>
  <si>
    <t>LumbarP14</t>
  </si>
  <si>
    <t>CervicalP14</t>
  </si>
  <si>
    <t>AAY_C1</t>
  </si>
  <si>
    <t>AAY_C2</t>
  </si>
  <si>
    <t>AAY_C3</t>
  </si>
  <si>
    <t>AAY_C4</t>
  </si>
  <si>
    <t>AAZ_C1</t>
  </si>
  <si>
    <t>AAZ_C2</t>
  </si>
  <si>
    <t>Current</t>
  </si>
  <si>
    <t>Sag P15</t>
  </si>
  <si>
    <t>Sag P3</t>
  </si>
  <si>
    <t>Sag P6</t>
  </si>
  <si>
    <t>p3</t>
  </si>
  <si>
    <t>p6</t>
  </si>
  <si>
    <t>p15</t>
  </si>
  <si>
    <t>AAAC3</t>
  </si>
  <si>
    <t>AAY</t>
  </si>
  <si>
    <t>bh</t>
  </si>
  <si>
    <t>MP 18</t>
  </si>
  <si>
    <t>mp6</t>
  </si>
  <si>
    <t>mp3</t>
  </si>
  <si>
    <t>. . .</t>
  </si>
  <si>
    <t>In [ ]:</t>
  </si>
  <si>
    <t>ADP amp (mV)</t>
  </si>
  <si>
    <t>AP HW (ms)</t>
  </si>
  <si>
    <t>AP max depol rate (mV/s)</t>
  </si>
  <si>
    <t>AP max hyperpol rate (mV/s)</t>
  </si>
  <si>
    <t>Capacitance (pF)</t>
  </si>
  <si>
    <t>Final freq gain (Hz/nA)</t>
  </si>
  <si>
    <t>Initial freq gain (Hz/nA)</t>
  </si>
  <si>
    <t>Max Spikes/500ms</t>
  </si>
  <si>
    <t>Max final freq (Hz)</t>
  </si>
  <si>
    <t>Max freq/500ms pulse (Hz)</t>
  </si>
  <si>
    <t>Max initial freq (Hz)</t>
  </si>
  <si>
    <t>Mean freq slope (Hz/nA)</t>
  </si>
  <si>
    <t>RMP (mV)</t>
  </si>
  <si>
    <t>Resistance (MΩ)</t>
  </si>
  <si>
    <t>Rheobase (nA)</t>
  </si>
  <si>
    <t>Sag amplitude (mV)</t>
  </si>
  <si>
    <t>Spike no. gain (n/nA)</t>
  </si>
  <si>
    <t>Tau (s)</t>
  </si>
  <si>
    <t>mAHP amp (mV)</t>
  </si>
  <si>
    <t>mAHP1/2decay (ms)</t>
  </si>
  <si>
    <t>p3 lum</t>
  </si>
  <si>
    <t>p3 cerv</t>
  </si>
  <si>
    <t>percent</t>
  </si>
  <si>
    <t>count</t>
  </si>
  <si>
    <t>p7</t>
  </si>
  <si>
    <t>p7 lum</t>
  </si>
  <si>
    <t>p7 cerv</t>
  </si>
  <si>
    <t>p14</t>
  </si>
  <si>
    <t>percentage ADP</t>
  </si>
  <si>
    <t>pecent without</t>
  </si>
  <si>
    <t>percent with</t>
  </si>
  <si>
    <t>ADP amplitude (mV)</t>
  </si>
  <si>
    <t>AP amplitude (mV)</t>
  </si>
  <si>
    <t>AP max repol rate (mV/s)</t>
  </si>
  <si>
    <t>fAHP amplitude (mV)</t>
  </si>
  <si>
    <t>mAHP 1/2 decay (ms)</t>
  </si>
  <si>
    <t>mAHP amplitude (mV)</t>
  </si>
  <si>
    <t xml:space="preserve">Capacitance </t>
  </si>
  <si>
    <t>(pF)</t>
  </si>
  <si>
    <t>(MΩ)</t>
  </si>
  <si>
    <t xml:space="preserve"> (nA)</t>
  </si>
  <si>
    <t xml:space="preserve"> (mV)</t>
  </si>
  <si>
    <t>P14-21</t>
  </si>
  <si>
    <t>table1</t>
  </si>
  <si>
    <t>Initial gain</t>
  </si>
  <si>
    <t>Final gain</t>
  </si>
  <si>
    <t>Mean gain</t>
  </si>
  <si>
    <t>Spike gain</t>
  </si>
  <si>
    <t xml:space="preserve">SD </t>
  </si>
  <si>
    <t>SD</t>
  </si>
  <si>
    <t>table 2</t>
  </si>
  <si>
    <t xml:space="preserve"> (n/nA)</t>
  </si>
  <si>
    <t xml:space="preserve"> (Hz/nA)</t>
  </si>
  <si>
    <t>(Hz/nA)</t>
  </si>
  <si>
    <t>(Hz)</t>
  </si>
  <si>
    <t>Initial freq</t>
  </si>
  <si>
    <t>Final freq</t>
  </si>
  <si>
    <t>Mean freq</t>
  </si>
  <si>
    <t>table 3</t>
  </si>
  <si>
    <t>table 4</t>
  </si>
  <si>
    <t>(ms)</t>
  </si>
  <si>
    <t xml:space="preserve">AP HW </t>
  </si>
  <si>
    <t>(mV)</t>
  </si>
  <si>
    <t xml:space="preserve">max depol rate </t>
  </si>
  <si>
    <t>(mV/s)</t>
  </si>
  <si>
    <t>max repol rate</t>
  </si>
  <si>
    <t xml:space="preserve">mAHP decay </t>
  </si>
  <si>
    <t>Table 5</t>
  </si>
  <si>
    <t xml:space="preserve">ADP amp </t>
  </si>
  <si>
    <t>Sag amp</t>
  </si>
  <si>
    <t>1/2 time (ms)</t>
  </si>
  <si>
    <t>Spikes</t>
  </si>
  <si>
    <t xml:space="preserve"> /500ms (n)</t>
  </si>
  <si>
    <t>mAHPdecay</t>
  </si>
  <si>
    <t>Sag_slope</t>
  </si>
  <si>
    <t>Tau1ms</t>
  </si>
  <si>
    <t>thresh</t>
  </si>
  <si>
    <t>P16</t>
  </si>
  <si>
    <t>Sag</t>
  </si>
  <si>
    <t>P2</t>
  </si>
  <si>
    <t>Age1</t>
  </si>
  <si>
    <t>Tau</t>
  </si>
  <si>
    <t>Max Freq</t>
  </si>
  <si>
    <t>Max spikes</t>
  </si>
  <si>
    <t>Intial slope</t>
  </si>
  <si>
    <t>Max steady freq</t>
  </si>
  <si>
    <t>Steady slope</t>
  </si>
  <si>
    <t>mAHP decay</t>
  </si>
  <si>
    <t>Sag slope</t>
  </si>
  <si>
    <t>Threshold</t>
  </si>
  <si>
    <t>Max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</si>
</sst>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4.4000000000000004"/>
      <color theme="1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209">
    <xf numFmtId="0" fontId="0" fillId="0" borderId="0" xfId="0"/>
    <xf numFmtId="0" fontId="0" fillId="2" borderId="1" xfId="0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7" xfId="0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1" fillId="0" borderId="7" xfId="0" applyFont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1" fillId="2" borderId="3" xfId="0" applyFont="1" applyFill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Fill="1" applyBorder="1"/>
    <xf numFmtId="0" fontId="0" fillId="0" borderId="13" xfId="0" applyBorder="1"/>
    <xf numFmtId="0" fontId="0" fillId="4" borderId="12" xfId="0" applyFill="1" applyBorder="1"/>
    <xf numFmtId="0" fontId="0" fillId="0" borderId="14" xfId="0" applyFill="1" applyBorder="1"/>
    <xf numFmtId="0" fontId="0" fillId="4" borderId="7" xfId="0" applyFill="1" applyBorder="1"/>
    <xf numFmtId="0" fontId="4" fillId="4" borderId="7" xfId="0" applyFont="1" applyFill="1" applyBorder="1"/>
    <xf numFmtId="0" fontId="4" fillId="4" borderId="0" xfId="0" applyFont="1" applyFill="1"/>
    <xf numFmtId="0" fontId="4" fillId="4" borderId="8" xfId="0" applyFont="1" applyFill="1" applyBorder="1"/>
    <xf numFmtId="0" fontId="0" fillId="4" borderId="0" xfId="0" applyFill="1" applyBorder="1"/>
    <xf numFmtId="0" fontId="0" fillId="4" borderId="8" xfId="0" applyFill="1" applyBorder="1"/>
    <xf numFmtId="0" fontId="0" fillId="0" borderId="0" xfId="0"/>
    <xf numFmtId="0" fontId="0" fillId="0" borderId="8" xfId="0" applyFill="1" applyBorder="1"/>
    <xf numFmtId="0" fontId="7" fillId="5" borderId="15" xfId="1" applyBorder="1" applyAlignment="1">
      <alignment horizontal="center" vertical="top"/>
    </xf>
    <xf numFmtId="0" fontId="7" fillId="5" borderId="16" xfId="1" applyBorder="1"/>
    <xf numFmtId="0" fontId="7" fillId="5" borderId="17" xfId="1" applyBorder="1"/>
    <xf numFmtId="0" fontId="7" fillId="5" borderId="18" xfId="1" applyBorder="1"/>
    <xf numFmtId="0" fontId="7" fillId="5" borderId="19" xfId="1" applyBorder="1"/>
    <xf numFmtId="0" fontId="7" fillId="5" borderId="20" xfId="1" applyBorder="1"/>
    <xf numFmtId="0" fontId="7" fillId="5" borderId="7" xfId="1" applyBorder="1"/>
    <xf numFmtId="0" fontId="7" fillId="5" borderId="0" xfId="1" applyBorder="1"/>
    <xf numFmtId="0" fontId="7" fillId="5" borderId="6" xfId="1" applyBorder="1"/>
    <xf numFmtId="0" fontId="7" fillId="5" borderId="21" xfId="1" applyBorder="1"/>
    <xf numFmtId="0" fontId="7" fillId="5" borderId="12" xfId="1" applyBorder="1"/>
    <xf numFmtId="0" fontId="7" fillId="5" borderId="22" xfId="1" applyBorder="1"/>
    <xf numFmtId="0" fontId="7" fillId="5" borderId="23" xfId="1" applyBorder="1"/>
    <xf numFmtId="0" fontId="7" fillId="5" borderId="24" xfId="1" applyBorder="1"/>
    <xf numFmtId="0" fontId="7" fillId="5" borderId="0" xfId="1"/>
    <xf numFmtId="0" fontId="7" fillId="5" borderId="25" xfId="1" applyBorder="1"/>
    <xf numFmtId="2" fontId="0" fillId="0" borderId="6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0" xfId="0" applyNumberFormat="1" applyAlignment="1">
      <alignment wrapText="1"/>
    </xf>
    <xf numFmtId="2" fontId="0" fillId="0" borderId="7" xfId="0" applyNumberFormat="1" applyFill="1" applyBorder="1"/>
    <xf numFmtId="2" fontId="4" fillId="0" borderId="0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2" fontId="0" fillId="0" borderId="0" xfId="0" applyNumberFormat="1" applyFill="1"/>
    <xf numFmtId="2" fontId="0" fillId="0" borderId="0" xfId="0" applyNumberFormat="1" applyFill="1" applyBorder="1"/>
    <xf numFmtId="2" fontId="0" fillId="0" borderId="12" xfId="0" applyNumberFormat="1" applyFill="1" applyBorder="1"/>
    <xf numFmtId="2" fontId="0" fillId="3" borderId="0" xfId="0" applyNumberFormat="1" applyFill="1"/>
    <xf numFmtId="2" fontId="0" fillId="4" borderId="0" xfId="0" applyNumberFormat="1" applyFill="1"/>
    <xf numFmtId="2" fontId="0" fillId="0" borderId="8" xfId="0" applyNumberFormat="1" applyFill="1" applyBorder="1"/>
    <xf numFmtId="2" fontId="7" fillId="5" borderId="0" xfId="1" applyNumberFormat="1"/>
    <xf numFmtId="2" fontId="0" fillId="4" borderId="7" xfId="0" applyNumberFormat="1" applyFill="1" applyBorder="1"/>
    <xf numFmtId="2" fontId="0" fillId="4" borderId="0" xfId="0" applyNumberFormat="1" applyFill="1" applyBorder="1"/>
    <xf numFmtId="2" fontId="0" fillId="4" borderId="8" xfId="0" applyNumberFormat="1" applyFill="1" applyBorder="1"/>
    <xf numFmtId="2" fontId="0" fillId="4" borderId="12" xfId="0" applyNumberFormat="1" applyFill="1" applyBorder="1"/>
    <xf numFmtId="2" fontId="0" fillId="0" borderId="13" xfId="0" applyNumberFormat="1" applyBorder="1"/>
    <xf numFmtId="2" fontId="0" fillId="0" borderId="14" xfId="0" applyNumberFormat="1" applyFill="1" applyBorder="1"/>
    <xf numFmtId="2" fontId="1" fillId="2" borderId="2" xfId="0" applyNumberFormat="1" applyFont="1" applyFill="1" applyBorder="1" applyAlignment="1">
      <alignment horizontal="center" vertical="top"/>
    </xf>
    <xf numFmtId="2" fontId="1" fillId="2" borderId="4" xfId="0" applyNumberFormat="1" applyFont="1" applyFill="1" applyBorder="1" applyAlignment="1">
      <alignment horizontal="center" vertical="top"/>
    </xf>
    <xf numFmtId="2" fontId="1" fillId="2" borderId="5" xfId="0" applyNumberFormat="1" applyFont="1" applyFill="1" applyBorder="1" applyAlignment="1">
      <alignment horizontal="center" vertical="top"/>
    </xf>
    <xf numFmtId="2" fontId="1" fillId="2" borderId="0" xfId="0" applyNumberFormat="1" applyFont="1" applyFill="1" applyBorder="1" applyAlignment="1">
      <alignment horizontal="center" vertical="top"/>
    </xf>
    <xf numFmtId="2" fontId="7" fillId="5" borderId="16" xfId="1" applyNumberFormat="1" applyBorder="1"/>
    <xf numFmtId="2" fontId="7" fillId="5" borderId="18" xfId="1" applyNumberFormat="1" applyBorder="1"/>
    <xf numFmtId="2" fontId="7" fillId="5" borderId="17" xfId="1" applyNumberFormat="1" applyBorder="1"/>
    <xf numFmtId="2" fontId="7" fillId="5" borderId="7" xfId="1" applyNumberFormat="1" applyBorder="1"/>
    <xf numFmtId="2" fontId="7" fillId="5" borderId="6" xfId="1" applyNumberFormat="1" applyBorder="1"/>
    <xf numFmtId="2" fontId="7" fillId="5" borderId="0" xfId="1" applyNumberFormat="1" applyBorder="1"/>
    <xf numFmtId="2" fontId="7" fillId="5" borderId="23" xfId="1" applyNumberFormat="1" applyBorder="1"/>
    <xf numFmtId="2" fontId="7" fillId="5" borderId="24" xfId="1" applyNumberFormat="1" applyBorder="1"/>
    <xf numFmtId="0" fontId="0" fillId="0" borderId="15" xfId="0" applyBorder="1"/>
    <xf numFmtId="0" fontId="0" fillId="0" borderId="18" xfId="0" applyBorder="1"/>
    <xf numFmtId="0" fontId="0" fillId="0" borderId="27" xfId="0" applyBorder="1"/>
    <xf numFmtId="0" fontId="0" fillId="0" borderId="1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0" xfId="0"/>
    <xf numFmtId="0" fontId="9" fillId="0" borderId="40" xfId="0" applyFont="1" applyBorder="1" applyAlignment="1">
      <alignment horizontal="left" vertical="center" wrapText="1"/>
    </xf>
    <xf numFmtId="0" fontId="10" fillId="0" borderId="4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43" xfId="0" applyFont="1" applyBorder="1" applyAlignment="1">
      <alignment vertical="center"/>
    </xf>
    <xf numFmtId="0" fontId="0" fillId="0" borderId="46" xfId="0" applyBorder="1"/>
    <xf numFmtId="0" fontId="0" fillId="0" borderId="23" xfId="0" applyBorder="1"/>
    <xf numFmtId="0" fontId="0" fillId="0" borderId="47" xfId="0" applyBorder="1"/>
    <xf numFmtId="2" fontId="0" fillId="0" borderId="28" xfId="0" applyNumberFormat="1" applyFill="1" applyBorder="1"/>
    <xf numFmtId="2" fontId="0" fillId="0" borderId="30" xfId="0" applyNumberFormat="1" applyFill="1" applyBorder="1"/>
    <xf numFmtId="0" fontId="0" fillId="0" borderId="48" xfId="0" applyBorder="1"/>
    <xf numFmtId="0" fontId="0" fillId="0" borderId="32" xfId="0" applyFill="1" applyBorder="1"/>
    <xf numFmtId="0" fontId="0" fillId="0" borderId="49" xfId="0" applyBorder="1"/>
    <xf numFmtId="0" fontId="0" fillId="3" borderId="34" xfId="0" applyFill="1" applyBorder="1"/>
    <xf numFmtId="2" fontId="0" fillId="3" borderId="6" xfId="0" applyNumberFormat="1" applyFill="1" applyBorder="1"/>
    <xf numFmtId="0" fontId="0" fillId="3" borderId="6" xfId="0" applyFill="1" applyBorder="1"/>
    <xf numFmtId="2" fontId="0" fillId="3" borderId="31" xfId="0" applyNumberFormat="1" applyFill="1" applyBorder="1"/>
    <xf numFmtId="0" fontId="0" fillId="3" borderId="35" xfId="0" applyFill="1" applyBorder="1"/>
    <xf numFmtId="2" fontId="0" fillId="3" borderId="7" xfId="0" applyNumberFormat="1" applyFill="1" applyBorder="1"/>
    <xf numFmtId="0" fontId="0" fillId="3" borderId="7" xfId="0" applyFill="1" applyBorder="1"/>
    <xf numFmtId="2" fontId="0" fillId="3" borderId="28" xfId="0" applyNumberFormat="1" applyFill="1" applyBorder="1"/>
    <xf numFmtId="2" fontId="0" fillId="0" borderId="35" xfId="0" applyNumberFormat="1" applyBorder="1"/>
    <xf numFmtId="2" fontId="0" fillId="0" borderId="36" xfId="0" applyNumberFormat="1" applyBorder="1"/>
    <xf numFmtId="2" fontId="0" fillId="3" borderId="34" xfId="0" applyNumberFormat="1" applyFill="1" applyBorder="1"/>
    <xf numFmtId="2" fontId="0" fillId="3" borderId="35" xfId="0" applyNumberFormat="1" applyFill="1" applyBorder="1"/>
    <xf numFmtId="2" fontId="1" fillId="0" borderId="26" xfId="0" applyNumberFormat="1" applyFont="1" applyBorder="1"/>
    <xf numFmtId="2" fontId="1" fillId="0" borderId="33" xfId="0" applyNumberFormat="1" applyFont="1" applyBorder="1"/>
    <xf numFmtId="2" fontId="1" fillId="0" borderId="2" xfId="0" applyNumberFormat="1" applyFont="1" applyBorder="1"/>
    <xf numFmtId="2" fontId="1" fillId="0" borderId="0" xfId="0" applyNumberFormat="1" applyFont="1" applyFill="1" applyBorder="1"/>
    <xf numFmtId="2" fontId="1" fillId="0" borderId="48" xfId="0" applyNumberFormat="1" applyFont="1" applyBorder="1"/>
    <xf numFmtId="2" fontId="1" fillId="0" borderId="46" xfId="0" applyNumberFormat="1" applyFont="1" applyBorder="1"/>
    <xf numFmtId="2" fontId="1" fillId="0" borderId="23" xfId="0" applyNumberFormat="1" applyFont="1" applyBorder="1"/>
    <xf numFmtId="2" fontId="1" fillId="0" borderId="23" xfId="0" applyNumberFormat="1" applyFont="1" applyFill="1" applyBorder="1"/>
    <xf numFmtId="2" fontId="1" fillId="0" borderId="45" xfId="0" applyNumberFormat="1" applyFont="1" applyBorder="1"/>
    <xf numFmtId="2" fontId="1" fillId="0" borderId="37" xfId="0" applyNumberFormat="1" applyFont="1" applyBorder="1"/>
    <xf numFmtId="2" fontId="1" fillId="0" borderId="38" xfId="0" applyNumberFormat="1" applyFont="1" applyBorder="1"/>
    <xf numFmtId="2" fontId="1" fillId="0" borderId="39" xfId="0" applyNumberFormat="1" applyFont="1" applyBorder="1"/>
    <xf numFmtId="2" fontId="1" fillId="0" borderId="3" xfId="0" applyNumberFormat="1" applyFont="1" applyBorder="1"/>
    <xf numFmtId="2" fontId="1" fillId="0" borderId="50" xfId="0" applyNumberFormat="1" applyFont="1" applyBorder="1"/>
    <xf numFmtId="1" fontId="1" fillId="0" borderId="32" xfId="0" applyNumberFormat="1" applyFont="1" applyFill="1" applyBorder="1"/>
    <xf numFmtId="1" fontId="1" fillId="0" borderId="47" xfId="0" applyNumberFormat="1" applyFont="1" applyBorder="1"/>
    <xf numFmtId="1" fontId="0" fillId="3" borderId="31" xfId="0" applyNumberFormat="1" applyFill="1" applyBorder="1"/>
    <xf numFmtId="1" fontId="0" fillId="0" borderId="28" xfId="0" applyNumberFormat="1" applyFill="1" applyBorder="1"/>
    <xf numFmtId="1" fontId="0" fillId="3" borderId="28" xfId="0" applyNumberFormat="1" applyFill="1" applyBorder="1"/>
    <xf numFmtId="1" fontId="0" fillId="0" borderId="30" xfId="0" applyNumberFormat="1" applyFill="1" applyBorder="1"/>
    <xf numFmtId="1" fontId="0" fillId="0" borderId="0" xfId="0" applyNumberFormat="1"/>
    <xf numFmtId="2" fontId="11" fillId="0" borderId="26" xfId="0" applyNumberFormat="1" applyFont="1" applyBorder="1"/>
    <xf numFmtId="2" fontId="11" fillId="0" borderId="33" xfId="0" applyNumberFormat="1" applyFont="1" applyBorder="1"/>
    <xf numFmtId="2" fontId="11" fillId="0" borderId="2" xfId="0" applyNumberFormat="1" applyFont="1" applyBorder="1"/>
    <xf numFmtId="1" fontId="11" fillId="0" borderId="32" xfId="0" applyNumberFormat="1" applyFont="1" applyFill="1" applyBorder="1"/>
    <xf numFmtId="2" fontId="11" fillId="0" borderId="48" xfId="0" applyNumberFormat="1" applyFont="1" applyBorder="1"/>
    <xf numFmtId="2" fontId="12" fillId="3" borderId="34" xfId="0" applyNumberFormat="1" applyFont="1" applyFill="1" applyBorder="1"/>
    <xf numFmtId="2" fontId="12" fillId="3" borderId="6" xfId="0" applyNumberFormat="1" applyFont="1" applyFill="1" applyBorder="1"/>
    <xf numFmtId="1" fontId="12" fillId="3" borderId="31" xfId="0" applyNumberFormat="1" applyFont="1" applyFill="1" applyBorder="1"/>
    <xf numFmtId="2" fontId="11" fillId="0" borderId="49" xfId="0" applyNumberFormat="1" applyFont="1" applyBorder="1"/>
    <xf numFmtId="2" fontId="12" fillId="0" borderId="35" xfId="0" applyNumberFormat="1" applyFont="1" applyBorder="1"/>
    <xf numFmtId="2" fontId="12" fillId="0" borderId="7" xfId="0" applyNumberFormat="1" applyFont="1" applyBorder="1"/>
    <xf numFmtId="1" fontId="12" fillId="0" borderId="28" xfId="0" applyNumberFormat="1" applyFont="1" applyFill="1" applyBorder="1"/>
    <xf numFmtId="2" fontId="12" fillId="3" borderId="35" xfId="0" applyNumberFormat="1" applyFont="1" applyFill="1" applyBorder="1"/>
    <xf numFmtId="2" fontId="12" fillId="3" borderId="7" xfId="0" applyNumberFormat="1" applyFont="1" applyFill="1" applyBorder="1"/>
    <xf numFmtId="1" fontId="12" fillId="3" borderId="28" xfId="0" applyNumberFormat="1" applyFont="1" applyFill="1" applyBorder="1"/>
    <xf numFmtId="2" fontId="12" fillId="0" borderId="36" xfId="0" applyNumberFormat="1" applyFont="1" applyBorder="1"/>
    <xf numFmtId="2" fontId="12" fillId="0" borderId="13" xfId="0" applyNumberFormat="1" applyFont="1" applyBorder="1"/>
    <xf numFmtId="1" fontId="12" fillId="0" borderId="30" xfId="0" applyNumberFormat="1" applyFont="1" applyFill="1" applyBorder="1"/>
    <xf numFmtId="2" fontId="11" fillId="0" borderId="4" xfId="0" applyNumberFormat="1" applyFont="1" applyBorder="1"/>
    <xf numFmtId="1" fontId="11" fillId="0" borderId="5" xfId="0" applyNumberFormat="1" applyFont="1" applyFill="1" applyBorder="1"/>
    <xf numFmtId="2" fontId="11" fillId="0" borderId="0" xfId="0" applyNumberFormat="1" applyFont="1" applyBorder="1"/>
    <xf numFmtId="1" fontId="11" fillId="0" borderId="21" xfId="0" applyNumberFormat="1" applyFont="1" applyBorder="1"/>
    <xf numFmtId="2" fontId="11" fillId="0" borderId="45" xfId="0" applyNumberFormat="1" applyFont="1" applyBorder="1"/>
    <xf numFmtId="2" fontId="12" fillId="3" borderId="44" xfId="0" applyNumberFormat="1" applyFont="1" applyFill="1" applyBorder="1"/>
    <xf numFmtId="2" fontId="12" fillId="3" borderId="18" xfId="0" applyNumberFormat="1" applyFont="1" applyFill="1" applyBorder="1"/>
    <xf numFmtId="1" fontId="12" fillId="3" borderId="27" xfId="0" applyNumberFormat="1" applyFont="1" applyFill="1" applyBorder="1"/>
    <xf numFmtId="2" fontId="11" fillId="0" borderId="38" xfId="0" applyNumberFormat="1" applyFont="1" applyBorder="1"/>
    <xf numFmtId="2" fontId="11" fillId="0" borderId="39" xfId="0" applyNumberFormat="1" applyFont="1" applyBorder="1"/>
    <xf numFmtId="2" fontId="12" fillId="0" borderId="0" xfId="0" applyNumberFormat="1" applyFont="1"/>
    <xf numFmtId="1" fontId="12" fillId="0" borderId="0" xfId="0" applyNumberFormat="1" applyFont="1"/>
    <xf numFmtId="2" fontId="11" fillId="0" borderId="24" xfId="0" applyNumberFormat="1" applyFont="1" applyBorder="1"/>
    <xf numFmtId="1" fontId="11" fillId="0" borderId="25" xfId="0" applyNumberFormat="1" applyFont="1" applyBorder="1"/>
    <xf numFmtId="2" fontId="11" fillId="0" borderId="37" xfId="0" applyNumberFormat="1" applyFont="1" applyBorder="1"/>
    <xf numFmtId="2" fontId="12" fillId="0" borderId="15" xfId="0" applyNumberFormat="1" applyFont="1" applyBorder="1"/>
    <xf numFmtId="2" fontId="12" fillId="0" borderId="10" xfId="0" applyNumberFormat="1" applyFont="1" applyBorder="1"/>
    <xf numFmtId="2" fontId="11" fillId="0" borderId="29" xfId="0" applyNumberFormat="1" applyFont="1" applyBorder="1"/>
    <xf numFmtId="1" fontId="11" fillId="0" borderId="32" xfId="0" applyNumberFormat="1" applyFont="1" applyBorder="1"/>
    <xf numFmtId="2" fontId="11" fillId="0" borderId="1" xfId="0" applyNumberFormat="1" applyFont="1" applyBorder="1"/>
    <xf numFmtId="2" fontId="11" fillId="0" borderId="49" xfId="0" quotePrefix="1" applyNumberFormat="1" applyFont="1" applyBorder="1"/>
    <xf numFmtId="0" fontId="0" fillId="6" borderId="0" xfId="0" applyFill="1"/>
    <xf numFmtId="2" fontId="0" fillId="6" borderId="7" xfId="0" applyNumberFormat="1" applyFill="1" applyBorder="1"/>
    <xf numFmtId="2" fontId="0" fillId="6" borderId="0" xfId="0" applyNumberFormat="1" applyFill="1"/>
    <xf numFmtId="2" fontId="0" fillId="6" borderId="14" xfId="0" applyNumberFormat="1" applyFill="1" applyBorder="1"/>
    <xf numFmtId="2" fontId="0" fillId="6" borderId="12" xfId="0" applyNumberFormat="1" applyFill="1" applyBorder="1"/>
    <xf numFmtId="2" fontId="0" fillId="6" borderId="0" xfId="0" applyNumberFormat="1" applyFill="1" applyAlignment="1">
      <alignment wrapText="1"/>
    </xf>
    <xf numFmtId="2" fontId="0" fillId="6" borderId="6" xfId="0" applyNumberFormat="1" applyFill="1" applyBorder="1"/>
    <xf numFmtId="2" fontId="0" fillId="6" borderId="0" xfId="0" applyNumberFormat="1" applyFill="1" applyBorder="1"/>
    <xf numFmtId="0" fontId="0" fillId="7" borderId="0" xfId="0" applyFill="1"/>
    <xf numFmtId="0" fontId="0" fillId="8" borderId="0" xfId="0" applyFill="1"/>
    <xf numFmtId="0" fontId="0" fillId="0" borderId="1" xfId="0" applyBorder="1"/>
    <xf numFmtId="0" fontId="0" fillId="0" borderId="4" xfId="0" applyBorder="1"/>
    <xf numFmtId="0" fontId="0" fillId="0" borderId="0" xfId="0"/>
    <xf numFmtId="0" fontId="0" fillId="8" borderId="1" xfId="0" applyFill="1" applyBorder="1"/>
    <xf numFmtId="0" fontId="0" fillId="8" borderId="4" xfId="0" applyFill="1" applyBorder="1"/>
    <xf numFmtId="0" fontId="0" fillId="6" borderId="51" xfId="0" applyFill="1" applyBorder="1"/>
    <xf numFmtId="0" fontId="0" fillId="6" borderId="49" xfId="0" applyFill="1" applyBorder="1"/>
    <xf numFmtId="0" fontId="0" fillId="6" borderId="48" xfId="0" applyFill="1" applyBorder="1"/>
    <xf numFmtId="0" fontId="9" fillId="0" borderId="41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cells'!$J$2:$J$24</c:f>
              <c:numCache>
                <c:formatCode>General</c:formatCode>
                <c:ptCount val="23"/>
                <c:pt idx="0">
                  <c:v>3.5</c:v>
                </c:pt>
                <c:pt idx="1">
                  <c:v>3.05</c:v>
                </c:pt>
                <c:pt idx="2">
                  <c:v>3.1</c:v>
                </c:pt>
                <c:pt idx="3">
                  <c:v>3.15</c:v>
                </c:pt>
                <c:pt idx="4">
                  <c:v>3.2</c:v>
                </c:pt>
                <c:pt idx="5">
                  <c:v>3.25</c:v>
                </c:pt>
                <c:pt idx="6">
                  <c:v>3.3</c:v>
                </c:pt>
                <c:pt idx="7">
                  <c:v>3.35</c:v>
                </c:pt>
                <c:pt idx="8">
                  <c:v>3.4</c:v>
                </c:pt>
                <c:pt idx="9">
                  <c:v>3.45</c:v>
                </c:pt>
                <c:pt idx="10">
                  <c:v>3.5</c:v>
                </c:pt>
                <c:pt idx="12">
                  <c:v>3.6</c:v>
                </c:pt>
                <c:pt idx="13">
                  <c:v>3.65</c:v>
                </c:pt>
                <c:pt idx="14">
                  <c:v>3.7</c:v>
                </c:pt>
                <c:pt idx="15">
                  <c:v>3.75</c:v>
                </c:pt>
                <c:pt idx="16">
                  <c:v>3.8</c:v>
                </c:pt>
                <c:pt idx="18">
                  <c:v>3.9</c:v>
                </c:pt>
                <c:pt idx="21">
                  <c:v>4.05</c:v>
                </c:pt>
                <c:pt idx="22">
                  <c:v>4.0999999999999996</c:v>
                </c:pt>
              </c:numCache>
            </c:numRef>
          </c:xVal>
          <c:yVal>
            <c:numRef>
              <c:f>'All cells'!$G$2:$G$24</c:f>
              <c:numCache>
                <c:formatCode>General</c:formatCode>
                <c:ptCount val="23"/>
                <c:pt idx="0">
                  <c:v>1.6787210714285712</c:v>
                </c:pt>
                <c:pt idx="1">
                  <c:v>1.1895036666666665</c:v>
                </c:pt>
                <c:pt idx="2">
                  <c:v>0.98629673333333345</c:v>
                </c:pt>
                <c:pt idx="3">
                  <c:v>1.0856079166666668</c:v>
                </c:pt>
                <c:pt idx="4">
                  <c:v>1.1950000000000001</c:v>
                </c:pt>
                <c:pt idx="5">
                  <c:v>1.2506770833333332</c:v>
                </c:pt>
                <c:pt idx="6">
                  <c:v>1.1420199999999998</c:v>
                </c:pt>
                <c:pt idx="7">
                  <c:v>1.0427513333333336</c:v>
                </c:pt>
                <c:pt idx="8">
                  <c:v>1.0872793333333333</c:v>
                </c:pt>
                <c:pt idx="9">
                  <c:v>1.0085</c:v>
                </c:pt>
                <c:pt idx="10">
                  <c:v>1.4664000000000001</c:v>
                </c:pt>
                <c:pt idx="12">
                  <c:v>1.0732326086956518</c:v>
                </c:pt>
                <c:pt idx="13">
                  <c:v>1.0503516666666666</c:v>
                </c:pt>
                <c:pt idx="14">
                  <c:v>0.95915493333333335</c:v>
                </c:pt>
                <c:pt idx="15">
                  <c:v>1.1003613333333333</c:v>
                </c:pt>
                <c:pt idx="16">
                  <c:v>0.90819736666666651</c:v>
                </c:pt>
                <c:pt idx="18">
                  <c:v>1.4320226666666671</c:v>
                </c:pt>
                <c:pt idx="21">
                  <c:v>1.6449433333333336</c:v>
                </c:pt>
                <c:pt idx="22">
                  <c:v>1.199236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E1C-A3D3-3470D7FD0DA9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cells'!$AR$2:$AR$18</c:f>
              <c:numCache>
                <c:formatCode>General</c:formatCode>
                <c:ptCount val="17"/>
                <c:pt idx="0">
                  <c:v>6.05</c:v>
                </c:pt>
                <c:pt idx="1">
                  <c:v>6.1</c:v>
                </c:pt>
                <c:pt idx="2">
                  <c:v>6.15</c:v>
                </c:pt>
                <c:pt idx="3">
                  <c:v>6.2</c:v>
                </c:pt>
                <c:pt idx="4">
                  <c:v>6.25</c:v>
                </c:pt>
                <c:pt idx="5">
                  <c:v>6.3</c:v>
                </c:pt>
                <c:pt idx="6">
                  <c:v>6.35</c:v>
                </c:pt>
                <c:pt idx="7">
                  <c:v>6.4</c:v>
                </c:pt>
                <c:pt idx="8">
                  <c:v>6.45</c:v>
                </c:pt>
                <c:pt idx="9">
                  <c:v>6.5</c:v>
                </c:pt>
                <c:pt idx="10">
                  <c:v>6.55</c:v>
                </c:pt>
                <c:pt idx="11">
                  <c:v>6.6</c:v>
                </c:pt>
                <c:pt idx="12">
                  <c:v>6.65</c:v>
                </c:pt>
                <c:pt idx="13">
                  <c:v>6.7</c:v>
                </c:pt>
                <c:pt idx="14">
                  <c:v>6.75</c:v>
                </c:pt>
                <c:pt idx="15">
                  <c:v>6.8</c:v>
                </c:pt>
                <c:pt idx="16">
                  <c:v>6.85</c:v>
                </c:pt>
              </c:numCache>
            </c:numRef>
          </c:xVal>
          <c:yVal>
            <c:numRef>
              <c:f>'All cells'!$AO$2:$AO$18</c:f>
              <c:numCache>
                <c:formatCode>General</c:formatCode>
                <c:ptCount val="17"/>
                <c:pt idx="0">
                  <c:v>1.4358890909090911</c:v>
                </c:pt>
                <c:pt idx="1">
                  <c:v>1.0472443333333332</c:v>
                </c:pt>
                <c:pt idx="2">
                  <c:v>1.2507579999999996</c:v>
                </c:pt>
                <c:pt idx="3">
                  <c:v>1.1589092000000001</c:v>
                </c:pt>
                <c:pt idx="4">
                  <c:v>0.78696290000000013</c:v>
                </c:pt>
                <c:pt idx="5">
                  <c:v>1.4000260000000002</c:v>
                </c:pt>
                <c:pt idx="6">
                  <c:v>1.3265130000000001</c:v>
                </c:pt>
                <c:pt idx="7">
                  <c:v>1.4607985185185184</c:v>
                </c:pt>
                <c:pt idx="8">
                  <c:v>0.80528522222222232</c:v>
                </c:pt>
                <c:pt idx="9">
                  <c:v>0.91917976470588258</c:v>
                </c:pt>
                <c:pt idx="10">
                  <c:v>0.7873917241379309</c:v>
                </c:pt>
                <c:pt idx="11">
                  <c:v>0.96135249999999994</c:v>
                </c:pt>
                <c:pt idx="12">
                  <c:v>0.97377523333333349</c:v>
                </c:pt>
                <c:pt idx="13">
                  <c:v>1.0570581818181817</c:v>
                </c:pt>
                <c:pt idx="14">
                  <c:v>1.0664890909090909</c:v>
                </c:pt>
                <c:pt idx="15">
                  <c:v>0.73556913636363641</c:v>
                </c:pt>
                <c:pt idx="16">
                  <c:v>0.82643472727272738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7-48C4-B95E-59E307AB4CDD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cells'!$J$39:$J$64</c:f>
              <c:numCache>
                <c:formatCode>General</c:formatCode>
                <c:ptCount val="26"/>
                <c:pt idx="0">
                  <c:v>9.5</c:v>
                </c:pt>
                <c:pt idx="1">
                  <c:v>9.0500000000000007</c:v>
                </c:pt>
                <c:pt idx="2">
                  <c:v>9.1</c:v>
                </c:pt>
                <c:pt idx="3">
                  <c:v>9.15</c:v>
                </c:pt>
                <c:pt idx="4">
                  <c:v>9.1999999999999993</c:v>
                </c:pt>
                <c:pt idx="5">
                  <c:v>9.25</c:v>
                </c:pt>
                <c:pt idx="6">
                  <c:v>9.3000000000000007</c:v>
                </c:pt>
                <c:pt idx="7">
                  <c:v>9.3499999999999908</c:v>
                </c:pt>
                <c:pt idx="8">
                  <c:v>9.3999999999999897</c:v>
                </c:pt>
                <c:pt idx="9">
                  <c:v>9.4499999999999904</c:v>
                </c:pt>
                <c:pt idx="10">
                  <c:v>9.4999999999999893</c:v>
                </c:pt>
                <c:pt idx="11">
                  <c:v>9.5499999999999901</c:v>
                </c:pt>
                <c:pt idx="12">
                  <c:v>9.5999999999999908</c:v>
                </c:pt>
                <c:pt idx="13">
                  <c:v>9.6499999999999897</c:v>
                </c:pt>
                <c:pt idx="14">
                  <c:v>9.6999999999999904</c:v>
                </c:pt>
                <c:pt idx="15">
                  <c:v>9.7499999999999893</c:v>
                </c:pt>
                <c:pt idx="16">
                  <c:v>9.7999999999999794</c:v>
                </c:pt>
                <c:pt idx="17">
                  <c:v>9.8499999999999801</c:v>
                </c:pt>
                <c:pt idx="18">
                  <c:v>9.8999999999999808</c:v>
                </c:pt>
                <c:pt idx="19">
                  <c:v>9.9499999999999797</c:v>
                </c:pt>
                <c:pt idx="20">
                  <c:v>9.9999999999999805</c:v>
                </c:pt>
                <c:pt idx="21">
                  <c:v>10.050000000000001</c:v>
                </c:pt>
                <c:pt idx="22">
                  <c:v>10.1</c:v>
                </c:pt>
                <c:pt idx="23">
                  <c:v>10.15</c:v>
                </c:pt>
                <c:pt idx="24">
                  <c:v>10.199999999999999</c:v>
                </c:pt>
                <c:pt idx="25">
                  <c:v>10.25</c:v>
                </c:pt>
              </c:numCache>
            </c:numRef>
          </c:xVal>
          <c:yVal>
            <c:numRef>
              <c:f>'All cells'!$G$39:$G$64</c:f>
              <c:numCache>
                <c:formatCode>General</c:formatCode>
                <c:ptCount val="26"/>
                <c:pt idx="0">
                  <c:v>1.226826666666667</c:v>
                </c:pt>
                <c:pt idx="1">
                  <c:v>0.85354328125000023</c:v>
                </c:pt>
                <c:pt idx="2">
                  <c:v>0.89785375000000001</c:v>
                </c:pt>
                <c:pt idx="3">
                  <c:v>1.0411362500000001</c:v>
                </c:pt>
                <c:pt idx="4">
                  <c:v>0.82788986666666664</c:v>
                </c:pt>
                <c:pt idx="5">
                  <c:v>0.94244819999999985</c:v>
                </c:pt>
                <c:pt idx="6">
                  <c:v>0.86277386666666678</c:v>
                </c:pt>
                <c:pt idx="7">
                  <c:v>0.83984700000000001</c:v>
                </c:pt>
                <c:pt idx="8">
                  <c:v>0.75212356666666669</c:v>
                </c:pt>
                <c:pt idx="9">
                  <c:v>0.51292572727272723</c:v>
                </c:pt>
                <c:pt idx="10">
                  <c:v>0.90103379166666686</c:v>
                </c:pt>
                <c:pt idx="11">
                  <c:v>0.77972688000000023</c:v>
                </c:pt>
                <c:pt idx="12">
                  <c:v>1.176507391304348</c:v>
                </c:pt>
                <c:pt idx="13">
                  <c:v>1.4718652173913045</c:v>
                </c:pt>
                <c:pt idx="14">
                  <c:v>0.98832821739130439</c:v>
                </c:pt>
                <c:pt idx="15">
                  <c:v>1.2008766666666668</c:v>
                </c:pt>
                <c:pt idx="16">
                  <c:v>0.98320047999999971</c:v>
                </c:pt>
                <c:pt idx="17">
                  <c:v>0.89002185185185201</c:v>
                </c:pt>
                <c:pt idx="18">
                  <c:v>1.0208263157894737</c:v>
                </c:pt>
                <c:pt idx="19">
                  <c:v>1.0574189999999999</c:v>
                </c:pt>
                <c:pt idx="20">
                  <c:v>0.81850287499999996</c:v>
                </c:pt>
                <c:pt idx="21">
                  <c:v>0.78418421428571428</c:v>
                </c:pt>
                <c:pt idx="22">
                  <c:v>0.86151679999999997</c:v>
                </c:pt>
                <c:pt idx="23">
                  <c:v>0.90877873333333337</c:v>
                </c:pt>
                <c:pt idx="24">
                  <c:v>0.86647752631578956</c:v>
                </c:pt>
                <c:pt idx="25">
                  <c:v>1.2905323529411765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E1C-A3D3-3470D7FD0DA9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7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cells'!$J$87:$J$108</c:f>
              <c:numCache>
                <c:formatCode>General</c:formatCode>
                <c:ptCount val="22"/>
                <c:pt idx="0">
                  <c:v>16.5</c:v>
                </c:pt>
                <c:pt idx="1">
                  <c:v>16.05</c:v>
                </c:pt>
                <c:pt idx="2">
                  <c:v>16.100000000000001</c:v>
                </c:pt>
                <c:pt idx="3">
                  <c:v>16.149999999999999</c:v>
                </c:pt>
                <c:pt idx="4">
                  <c:v>16.2</c:v>
                </c:pt>
                <c:pt idx="5">
                  <c:v>16.25</c:v>
                </c:pt>
                <c:pt idx="6">
                  <c:v>16.3</c:v>
                </c:pt>
                <c:pt idx="7">
                  <c:v>16.350000000000001</c:v>
                </c:pt>
                <c:pt idx="8">
                  <c:v>16.399999999999999</c:v>
                </c:pt>
                <c:pt idx="9">
                  <c:v>16.45</c:v>
                </c:pt>
                <c:pt idx="10">
                  <c:v>16.5</c:v>
                </c:pt>
                <c:pt idx="11">
                  <c:v>16.55</c:v>
                </c:pt>
                <c:pt idx="12">
                  <c:v>16.600000000000001</c:v>
                </c:pt>
                <c:pt idx="13">
                  <c:v>16.649999999999999</c:v>
                </c:pt>
                <c:pt idx="14">
                  <c:v>16.7</c:v>
                </c:pt>
                <c:pt idx="15">
                  <c:v>16.75</c:v>
                </c:pt>
                <c:pt idx="16">
                  <c:v>16.8</c:v>
                </c:pt>
                <c:pt idx="17">
                  <c:v>16.850000000000001</c:v>
                </c:pt>
                <c:pt idx="18">
                  <c:v>16.899999999999999</c:v>
                </c:pt>
                <c:pt idx="19">
                  <c:v>16.95</c:v>
                </c:pt>
                <c:pt idx="20">
                  <c:v>17</c:v>
                </c:pt>
              </c:numCache>
            </c:numRef>
          </c:xVal>
          <c:yVal>
            <c:numRef>
              <c:f>'All cells'!$G$87:$G$108</c:f>
              <c:numCache>
                <c:formatCode>General</c:formatCode>
                <c:ptCount val="22"/>
                <c:pt idx="0">
                  <c:v>0.89594989999999985</c:v>
                </c:pt>
                <c:pt idx="1">
                  <c:v>0.81708296666666702</c:v>
                </c:pt>
                <c:pt idx="2">
                  <c:v>0.98917826666666664</c:v>
                </c:pt>
                <c:pt idx="3">
                  <c:v>0.66781932142857137</c:v>
                </c:pt>
                <c:pt idx="4">
                  <c:v>0.71107163157894737</c:v>
                </c:pt>
                <c:pt idx="5">
                  <c:v>0.71281663157894759</c:v>
                </c:pt>
                <c:pt idx="6">
                  <c:v>0.6947153181818182</c:v>
                </c:pt>
                <c:pt idx="7">
                  <c:v>1.1282678571428573</c:v>
                </c:pt>
                <c:pt idx="8">
                  <c:v>1.0393810000000001</c:v>
                </c:pt>
                <c:pt idx="9">
                  <c:v>1.2564378571428569</c:v>
                </c:pt>
                <c:pt idx="10">
                  <c:v>0.84036874999999978</c:v>
                </c:pt>
                <c:pt idx="11">
                  <c:v>0.93849554166666682</c:v>
                </c:pt>
                <c:pt idx="12">
                  <c:v>1.0599146153846153</c:v>
                </c:pt>
                <c:pt idx="13">
                  <c:v>0.79607337499999986</c:v>
                </c:pt>
                <c:pt idx="14">
                  <c:v>0.65295580000000009</c:v>
                </c:pt>
                <c:pt idx="15">
                  <c:v>0.69293559999999998</c:v>
                </c:pt>
                <c:pt idx="16">
                  <c:v>0.54685449999999991</c:v>
                </c:pt>
                <c:pt idx="17">
                  <c:v>0.69982861538461549</c:v>
                </c:pt>
                <c:pt idx="18">
                  <c:v>0.60072928000000003</c:v>
                </c:pt>
                <c:pt idx="19">
                  <c:v>0.52446637499999993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E1C-A3D3-3470D7FD0DA9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cells'!$AR$39:$AR$73</c:f>
              <c:numCache>
                <c:formatCode>General</c:formatCode>
                <c:ptCount val="35"/>
                <c:pt idx="0">
                  <c:v>12.5</c:v>
                </c:pt>
                <c:pt idx="1">
                  <c:v>12.05</c:v>
                </c:pt>
                <c:pt idx="2">
                  <c:v>12.1</c:v>
                </c:pt>
                <c:pt idx="3">
                  <c:v>12.15</c:v>
                </c:pt>
                <c:pt idx="4">
                  <c:v>12.2</c:v>
                </c:pt>
                <c:pt idx="5">
                  <c:v>12.25</c:v>
                </c:pt>
                <c:pt idx="6">
                  <c:v>12.3</c:v>
                </c:pt>
                <c:pt idx="7">
                  <c:v>12.35</c:v>
                </c:pt>
                <c:pt idx="8">
                  <c:v>12.4</c:v>
                </c:pt>
                <c:pt idx="9">
                  <c:v>12.45</c:v>
                </c:pt>
                <c:pt idx="10">
                  <c:v>12.5</c:v>
                </c:pt>
                <c:pt idx="11">
                  <c:v>12.55</c:v>
                </c:pt>
                <c:pt idx="12">
                  <c:v>12.6</c:v>
                </c:pt>
                <c:pt idx="13">
                  <c:v>12.65</c:v>
                </c:pt>
                <c:pt idx="14">
                  <c:v>12.7</c:v>
                </c:pt>
                <c:pt idx="15">
                  <c:v>12.75</c:v>
                </c:pt>
                <c:pt idx="16">
                  <c:v>12.8</c:v>
                </c:pt>
                <c:pt idx="17">
                  <c:v>12.9</c:v>
                </c:pt>
                <c:pt idx="18">
                  <c:v>12.95</c:v>
                </c:pt>
                <c:pt idx="19">
                  <c:v>13</c:v>
                </c:pt>
                <c:pt idx="20">
                  <c:v>13.05</c:v>
                </c:pt>
                <c:pt idx="21">
                  <c:v>13.1</c:v>
                </c:pt>
                <c:pt idx="22">
                  <c:v>13.15</c:v>
                </c:pt>
                <c:pt idx="23">
                  <c:v>13.2</c:v>
                </c:pt>
                <c:pt idx="24">
                  <c:v>13.25</c:v>
                </c:pt>
                <c:pt idx="25">
                  <c:v>13.3</c:v>
                </c:pt>
                <c:pt idx="26">
                  <c:v>13.35</c:v>
                </c:pt>
                <c:pt idx="27">
                  <c:v>13.4</c:v>
                </c:pt>
                <c:pt idx="28">
                  <c:v>13.45</c:v>
                </c:pt>
                <c:pt idx="29">
                  <c:v>13.5</c:v>
                </c:pt>
                <c:pt idx="30">
                  <c:v>13.6</c:v>
                </c:pt>
                <c:pt idx="31">
                  <c:v>13.65</c:v>
                </c:pt>
                <c:pt idx="32">
                  <c:v>13.7</c:v>
                </c:pt>
                <c:pt idx="33">
                  <c:v>13.75</c:v>
                </c:pt>
                <c:pt idx="34">
                  <c:v>13.8</c:v>
                </c:pt>
              </c:numCache>
            </c:numRef>
          </c:xVal>
          <c:yVal>
            <c:numRef>
              <c:f>'All cells'!$AO$39:$AO$73</c:f>
              <c:numCache>
                <c:formatCode>General</c:formatCode>
                <c:ptCount val="35"/>
                <c:pt idx="0">
                  <c:v>0.79222165957446822</c:v>
                </c:pt>
                <c:pt idx="1">
                  <c:v>0.65222936666666664</c:v>
                </c:pt>
                <c:pt idx="2">
                  <c:v>0.72852476666666677</c:v>
                </c:pt>
                <c:pt idx="3">
                  <c:v>0.76785043333333336</c:v>
                </c:pt>
                <c:pt idx="4">
                  <c:v>0.86486243333333312</c:v>
                </c:pt>
                <c:pt idx="5">
                  <c:v>0.58078639534883736</c:v>
                </c:pt>
                <c:pt idx="6">
                  <c:v>0.67242964102564085</c:v>
                </c:pt>
                <c:pt idx="7">
                  <c:v>0.46240786666666672</c:v>
                </c:pt>
                <c:pt idx="8">
                  <c:v>0.71984819999999994</c:v>
                </c:pt>
                <c:pt idx="9">
                  <c:v>1.1695281481481481</c:v>
                </c:pt>
                <c:pt idx="10">
                  <c:v>0.73536579166666638</c:v>
                </c:pt>
                <c:pt idx="11">
                  <c:v>0.95615986666666664</c:v>
                </c:pt>
                <c:pt idx="12">
                  <c:v>1.2990516666666669</c:v>
                </c:pt>
                <c:pt idx="13">
                  <c:v>1.0104812999999999</c:v>
                </c:pt>
                <c:pt idx="14">
                  <c:v>1.1067776666666671</c:v>
                </c:pt>
                <c:pt idx="15">
                  <c:v>0.89301147999999986</c:v>
                </c:pt>
                <c:pt idx="16">
                  <c:v>1.5</c:v>
                </c:pt>
                <c:pt idx="17">
                  <c:v>0.90130440909090903</c:v>
                </c:pt>
                <c:pt idx="18">
                  <c:v>1.1050270000000002</c:v>
                </c:pt>
                <c:pt idx="19">
                  <c:v>0.846531148148148</c:v>
                </c:pt>
                <c:pt idx="20">
                  <c:v>1.1858865517241381</c:v>
                </c:pt>
                <c:pt idx="21">
                  <c:v>0.91222379310344814</c:v>
                </c:pt>
                <c:pt idx="22">
                  <c:v>0.7313647692307691</c:v>
                </c:pt>
                <c:pt idx="23">
                  <c:v>0.70781695000000011</c:v>
                </c:pt>
                <c:pt idx="24">
                  <c:v>0.76865976923076929</c:v>
                </c:pt>
                <c:pt idx="25">
                  <c:v>0.62497059999999982</c:v>
                </c:pt>
                <c:pt idx="26">
                  <c:v>0.57466417241379308</c:v>
                </c:pt>
                <c:pt idx="27">
                  <c:v>0.74995249999999991</c:v>
                </c:pt>
                <c:pt idx="28">
                  <c:v>0.92443805263157885</c:v>
                </c:pt>
                <c:pt idx="29">
                  <c:v>0.68345956521739126</c:v>
                </c:pt>
                <c:pt idx="30">
                  <c:v>0.65189900000000001</c:v>
                </c:pt>
                <c:pt idx="31">
                  <c:v>0.66099196551724138</c:v>
                </c:pt>
                <c:pt idx="32">
                  <c:v>0.55044696551724137</c:v>
                </c:pt>
                <c:pt idx="33">
                  <c:v>0.6181389310344827</c:v>
                </c:pt>
                <c:pt idx="34">
                  <c:v>0.61669329629629621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56C-BEB8-65ED684416C2}"/>
            </c:ext>
          </c:extLst>
        </c:ser>
        <c:ser>
          <c:idx val="4"/>
          <c:order val="5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cells'!$G$34,'All cells'!$AO$25,'All cells'!$G$81,'All cells'!$AO$79,'All cells'!$G$113,'All cells'!$AO$105)</c:f>
                <c:numCache>
                  <c:formatCode>General</c:formatCode>
                  <c:ptCount val="6"/>
                  <c:pt idx="0">
                    <c:v>0.22081872232415381</c:v>
                  </c:pt>
                  <c:pt idx="1">
                    <c:v>0.24309055554052292</c:v>
                  </c:pt>
                  <c:pt idx="2">
                    <c:v>0.19795867468491138</c:v>
                  </c:pt>
                  <c:pt idx="3">
                    <c:v>0.23120497729011985</c:v>
                  </c:pt>
                  <c:pt idx="4">
                    <c:v>0.20136921339840802</c:v>
                  </c:pt>
                  <c:pt idx="5">
                    <c:v>0.11337432415294398</c:v>
                  </c:pt>
                </c:numCache>
              </c:numRef>
            </c:plus>
            <c:minus>
              <c:numRef>
                <c:f>('All cells'!$G$34,'All cells'!$AO$25,'All cells'!$G$81,'All cells'!$AO$79,'All cells'!$G$113,'All cells'!$AO$105)</c:f>
                <c:numCache>
                  <c:formatCode>General</c:formatCode>
                  <c:ptCount val="6"/>
                  <c:pt idx="0">
                    <c:v>0.22081872232415381</c:v>
                  </c:pt>
                  <c:pt idx="1">
                    <c:v>0.24309055554052292</c:v>
                  </c:pt>
                  <c:pt idx="2">
                    <c:v>0.19795867468491138</c:v>
                  </c:pt>
                  <c:pt idx="3">
                    <c:v>0.23120497729011985</c:v>
                  </c:pt>
                  <c:pt idx="4">
                    <c:v>0.20136921339840802</c:v>
                  </c:pt>
                  <c:pt idx="5">
                    <c:v>0.11337432415294398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('All cells'!$J$2,'All cells'!$AR$2,'All cells'!$J$39,'All cells'!$AR$39,'All cells'!$J$87,'All cells'!$AR$82)</c:f>
              <c:numCache>
                <c:formatCode>General</c:formatCode>
                <c:ptCount val="6"/>
                <c:pt idx="0">
                  <c:v>3.5</c:v>
                </c:pt>
                <c:pt idx="1">
                  <c:v>6.05</c:v>
                </c:pt>
                <c:pt idx="2">
                  <c:v>9.5</c:v>
                </c:pt>
                <c:pt idx="3">
                  <c:v>12.5</c:v>
                </c:pt>
                <c:pt idx="4">
                  <c:v>16.5</c:v>
                </c:pt>
                <c:pt idx="5">
                  <c:v>19</c:v>
                </c:pt>
              </c:numCache>
            </c:numRef>
          </c:xVal>
          <c:yVal>
            <c:numRef>
              <c:f>('All cells'!$G$33,'All cells'!$AO$24,'All cells'!$G$80,'All cells'!$AO$78,'All cells'!$G$112,'All cells'!$AO$104)</c:f>
              <c:numCache>
                <c:formatCode>General</c:formatCode>
                <c:ptCount val="6"/>
                <c:pt idx="0">
                  <c:v>1.2732104105428019</c:v>
                </c:pt>
                <c:pt idx="1">
                  <c:v>1.0588021543249382</c:v>
                </c:pt>
                <c:pt idx="2">
                  <c:v>1.0161321380522153</c:v>
                </c:pt>
                <c:pt idx="3">
                  <c:v>0.8207430320453325</c:v>
                </c:pt>
                <c:pt idx="4">
                  <c:v>0.81326716014116163</c:v>
                </c:pt>
                <c:pt idx="5">
                  <c:v>0.62211546159457265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E-452D-A84F-8EACE8E7913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cells'!$AR$82:$AR$101</c:f>
              <c:numCache>
                <c:formatCode>General</c:formatCode>
                <c:ptCount val="20"/>
                <c:pt idx="0">
                  <c:v>19</c:v>
                </c:pt>
                <c:pt idx="1">
                  <c:v>19.05</c:v>
                </c:pt>
                <c:pt idx="2">
                  <c:v>19.100000000000001</c:v>
                </c:pt>
                <c:pt idx="3">
                  <c:v>19.149999999999999</c:v>
                </c:pt>
                <c:pt idx="4">
                  <c:v>19.2</c:v>
                </c:pt>
                <c:pt idx="5">
                  <c:v>19.25</c:v>
                </c:pt>
                <c:pt idx="6">
                  <c:v>19.3</c:v>
                </c:pt>
                <c:pt idx="7">
                  <c:v>19.350000000000001</c:v>
                </c:pt>
                <c:pt idx="8">
                  <c:v>19.399999999999999</c:v>
                </c:pt>
                <c:pt idx="9">
                  <c:v>19.45</c:v>
                </c:pt>
                <c:pt idx="10">
                  <c:v>19.5</c:v>
                </c:pt>
                <c:pt idx="11">
                  <c:v>19.55</c:v>
                </c:pt>
                <c:pt idx="12">
                  <c:v>19.600000000000001</c:v>
                </c:pt>
                <c:pt idx="13">
                  <c:v>19.649999999999999</c:v>
                </c:pt>
                <c:pt idx="14">
                  <c:v>19.7</c:v>
                </c:pt>
                <c:pt idx="15">
                  <c:v>19.75</c:v>
                </c:pt>
                <c:pt idx="16">
                  <c:v>19.8</c:v>
                </c:pt>
                <c:pt idx="17">
                  <c:v>19.850000000000001</c:v>
                </c:pt>
                <c:pt idx="18">
                  <c:v>19.899999999999999</c:v>
                </c:pt>
                <c:pt idx="19">
                  <c:v>19.95</c:v>
                </c:pt>
              </c:numCache>
            </c:numRef>
          </c:xVal>
          <c:yVal>
            <c:numRef>
              <c:f>'All cells'!$AO$82:$AO$101</c:f>
              <c:numCache>
                <c:formatCode>General</c:formatCode>
                <c:ptCount val="20"/>
                <c:pt idx="0">
                  <c:v>0.59651900000000002</c:v>
                </c:pt>
                <c:pt idx="1">
                  <c:v>0.43777560714285718</c:v>
                </c:pt>
                <c:pt idx="2">
                  <c:v>0.57406783333333322</c:v>
                </c:pt>
                <c:pt idx="3">
                  <c:v>0.44420399999999999</c:v>
                </c:pt>
                <c:pt idx="4">
                  <c:v>0.68177335714285714</c:v>
                </c:pt>
                <c:pt idx="5">
                  <c:v>0.43186160869565227</c:v>
                </c:pt>
                <c:pt idx="6">
                  <c:v>0.59243139130434763</c:v>
                </c:pt>
                <c:pt idx="7">
                  <c:v>0.73856293103448289</c:v>
                </c:pt>
                <c:pt idx="8">
                  <c:v>0.85713493333333324</c:v>
                </c:pt>
                <c:pt idx="9">
                  <c:v>0.75680099999999972</c:v>
                </c:pt>
                <c:pt idx="10">
                  <c:v>0.70381073333333333</c:v>
                </c:pt>
                <c:pt idx="11">
                  <c:v>0.61288623529411768</c:v>
                </c:pt>
                <c:pt idx="12">
                  <c:v>0.71910734482758598</c:v>
                </c:pt>
                <c:pt idx="13">
                  <c:v>0.61940659999999992</c:v>
                </c:pt>
                <c:pt idx="14">
                  <c:v>0.70102951851851847</c:v>
                </c:pt>
                <c:pt idx="15">
                  <c:v>0.50786206896551722</c:v>
                </c:pt>
                <c:pt idx="16">
                  <c:v>0.58646034482758624</c:v>
                </c:pt>
                <c:pt idx="17">
                  <c:v>0.58253524137931023</c:v>
                </c:pt>
                <c:pt idx="18">
                  <c:v>0.58458258620689652</c:v>
                </c:pt>
                <c:pt idx="19">
                  <c:v>0.7134968965517241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0-4074-A944-6F337261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3616"/>
        <c:axId val="925064272"/>
      </c:scatterChart>
      <c:valAx>
        <c:axId val="9250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4272"/>
        <c:crosses val="autoZero"/>
        <c:crossBetween val="midCat"/>
      </c:valAx>
      <c:valAx>
        <c:axId val="92506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 1/2 width (ms)</a:t>
                </a:r>
              </a:p>
            </c:rich>
          </c:tx>
          <c:layout>
            <c:manualLayout>
              <c:xMode val="edge"/>
              <c:yMode val="edge"/>
              <c:x val="1.4413504432223546E-2"/>
              <c:y val="0.3518463440537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cells'!$J$2:$J$24</c:f>
              <c:numCache>
                <c:formatCode>General</c:formatCode>
                <c:ptCount val="23"/>
                <c:pt idx="0">
                  <c:v>3.5</c:v>
                </c:pt>
                <c:pt idx="1">
                  <c:v>3.05</c:v>
                </c:pt>
                <c:pt idx="2">
                  <c:v>3.1</c:v>
                </c:pt>
                <c:pt idx="3">
                  <c:v>3.15</c:v>
                </c:pt>
                <c:pt idx="4">
                  <c:v>3.2</c:v>
                </c:pt>
                <c:pt idx="5">
                  <c:v>3.25</c:v>
                </c:pt>
                <c:pt idx="6">
                  <c:v>3.3</c:v>
                </c:pt>
                <c:pt idx="7">
                  <c:v>3.35</c:v>
                </c:pt>
                <c:pt idx="8">
                  <c:v>3.4</c:v>
                </c:pt>
                <c:pt idx="9">
                  <c:v>3.45</c:v>
                </c:pt>
                <c:pt idx="10">
                  <c:v>3.5</c:v>
                </c:pt>
                <c:pt idx="12">
                  <c:v>3.6</c:v>
                </c:pt>
                <c:pt idx="13">
                  <c:v>3.65</c:v>
                </c:pt>
                <c:pt idx="14">
                  <c:v>3.7</c:v>
                </c:pt>
                <c:pt idx="15">
                  <c:v>3.75</c:v>
                </c:pt>
                <c:pt idx="16">
                  <c:v>3.8</c:v>
                </c:pt>
                <c:pt idx="18">
                  <c:v>3.9</c:v>
                </c:pt>
                <c:pt idx="21">
                  <c:v>4.05</c:v>
                </c:pt>
                <c:pt idx="22">
                  <c:v>4.0999999999999996</c:v>
                </c:pt>
              </c:numCache>
            </c:numRef>
          </c:xVal>
          <c:yVal>
            <c:numRef>
              <c:f>'All cells'!$N$2:$N$24</c:f>
              <c:numCache>
                <c:formatCode>General</c:formatCode>
                <c:ptCount val="23"/>
                <c:pt idx="0">
                  <c:v>35.172874679047467</c:v>
                </c:pt>
                <c:pt idx="1">
                  <c:v>52.90165582182717</c:v>
                </c:pt>
                <c:pt idx="2">
                  <c:v>46.74207721791155</c:v>
                </c:pt>
                <c:pt idx="3">
                  <c:v>51.064698973599626</c:v>
                </c:pt>
                <c:pt idx="4">
                  <c:v>37.94638696326507</c:v>
                </c:pt>
                <c:pt idx="5">
                  <c:v>49.265937530791206</c:v>
                </c:pt>
                <c:pt idx="6">
                  <c:v>54.710581026370441</c:v>
                </c:pt>
                <c:pt idx="7">
                  <c:v>49.925112331502817</c:v>
                </c:pt>
                <c:pt idx="8">
                  <c:v>42.545949625595611</c:v>
                </c:pt>
                <c:pt idx="9">
                  <c:v>49.171460884102892</c:v>
                </c:pt>
                <c:pt idx="10">
                  <c:v>35.273368606701915</c:v>
                </c:pt>
                <c:pt idx="12">
                  <c:v>39.536630688332728</c:v>
                </c:pt>
                <c:pt idx="13">
                  <c:v>41.464527097068526</c:v>
                </c:pt>
                <c:pt idx="14">
                  <c:v>48.787627457676834</c:v>
                </c:pt>
                <c:pt idx="15">
                  <c:v>47.709923664122051</c:v>
                </c:pt>
                <c:pt idx="16">
                  <c:v>47.705371624844979</c:v>
                </c:pt>
                <c:pt idx="18">
                  <c:v>27.057741219762956</c:v>
                </c:pt>
                <c:pt idx="21">
                  <c:v>30.861339999382754</c:v>
                </c:pt>
                <c:pt idx="22">
                  <c:v>37.639265281541569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E1C-A3D3-3470D7FD0DA9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cells'!$AR$2:$AR$18</c:f>
              <c:numCache>
                <c:formatCode>General</c:formatCode>
                <c:ptCount val="17"/>
                <c:pt idx="0">
                  <c:v>6.05</c:v>
                </c:pt>
                <c:pt idx="1">
                  <c:v>6.1</c:v>
                </c:pt>
                <c:pt idx="2">
                  <c:v>6.15</c:v>
                </c:pt>
                <c:pt idx="3">
                  <c:v>6.2</c:v>
                </c:pt>
                <c:pt idx="4">
                  <c:v>6.25</c:v>
                </c:pt>
                <c:pt idx="5">
                  <c:v>6.3</c:v>
                </c:pt>
                <c:pt idx="6">
                  <c:v>6.35</c:v>
                </c:pt>
                <c:pt idx="7">
                  <c:v>6.4</c:v>
                </c:pt>
                <c:pt idx="8">
                  <c:v>6.45</c:v>
                </c:pt>
                <c:pt idx="9">
                  <c:v>6.5</c:v>
                </c:pt>
                <c:pt idx="10">
                  <c:v>6.55</c:v>
                </c:pt>
                <c:pt idx="11">
                  <c:v>6.6</c:v>
                </c:pt>
                <c:pt idx="12">
                  <c:v>6.65</c:v>
                </c:pt>
                <c:pt idx="13">
                  <c:v>6.7</c:v>
                </c:pt>
                <c:pt idx="14">
                  <c:v>6.75</c:v>
                </c:pt>
                <c:pt idx="15">
                  <c:v>6.8</c:v>
                </c:pt>
                <c:pt idx="16">
                  <c:v>6.85</c:v>
                </c:pt>
              </c:numCache>
            </c:numRef>
          </c:xVal>
          <c:yVal>
            <c:numRef>
              <c:f>'All cells'!$AV$2:$AV$18</c:f>
              <c:numCache>
                <c:formatCode>General</c:formatCode>
                <c:ptCount val="17"/>
                <c:pt idx="0">
                  <c:v>45.777065690089444</c:v>
                </c:pt>
                <c:pt idx="1">
                  <c:v>44.939780693870311</c:v>
                </c:pt>
                <c:pt idx="2">
                  <c:v>41.701417848206809</c:v>
                </c:pt>
                <c:pt idx="3">
                  <c:v>44.089766765133731</c:v>
                </c:pt>
                <c:pt idx="4">
                  <c:v>32.621105855488473</c:v>
                </c:pt>
                <c:pt idx="5">
                  <c:v>35.737259666928779</c:v>
                </c:pt>
                <c:pt idx="6">
                  <c:v>31.769228325444001</c:v>
                </c:pt>
                <c:pt idx="7">
                  <c:v>29.792939073439648</c:v>
                </c:pt>
                <c:pt idx="8">
                  <c:v>51.816156277527391</c:v>
                </c:pt>
                <c:pt idx="9">
                  <c:v>54.996425232359918</c:v>
                </c:pt>
                <c:pt idx="10">
                  <c:v>63.271116735210576</c:v>
                </c:pt>
                <c:pt idx="11">
                  <c:v>50.942435048395325</c:v>
                </c:pt>
                <c:pt idx="12">
                  <c:v>51.538421893521566</c:v>
                </c:pt>
                <c:pt idx="13">
                  <c:v>47.438330170777895</c:v>
                </c:pt>
                <c:pt idx="14">
                  <c:v>53.14343412871338</c:v>
                </c:pt>
                <c:pt idx="15">
                  <c:v>55.524708495280429</c:v>
                </c:pt>
                <c:pt idx="16">
                  <c:v>59.63740458015257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0-481A-937C-2E432540567A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cells'!$J$39:$J$64</c:f>
              <c:numCache>
                <c:formatCode>General</c:formatCode>
                <c:ptCount val="26"/>
                <c:pt idx="0">
                  <c:v>9.5</c:v>
                </c:pt>
                <c:pt idx="1">
                  <c:v>9.0500000000000007</c:v>
                </c:pt>
                <c:pt idx="2">
                  <c:v>9.1</c:v>
                </c:pt>
                <c:pt idx="3">
                  <c:v>9.15</c:v>
                </c:pt>
                <c:pt idx="4">
                  <c:v>9.1999999999999993</c:v>
                </c:pt>
                <c:pt idx="5">
                  <c:v>9.25</c:v>
                </c:pt>
                <c:pt idx="6">
                  <c:v>9.3000000000000007</c:v>
                </c:pt>
                <c:pt idx="7">
                  <c:v>9.3499999999999908</c:v>
                </c:pt>
                <c:pt idx="8">
                  <c:v>9.3999999999999897</c:v>
                </c:pt>
                <c:pt idx="9">
                  <c:v>9.4499999999999904</c:v>
                </c:pt>
                <c:pt idx="10">
                  <c:v>9.4999999999999893</c:v>
                </c:pt>
                <c:pt idx="11">
                  <c:v>9.5499999999999901</c:v>
                </c:pt>
                <c:pt idx="12">
                  <c:v>9.5999999999999908</c:v>
                </c:pt>
                <c:pt idx="13">
                  <c:v>9.6499999999999897</c:v>
                </c:pt>
                <c:pt idx="14">
                  <c:v>9.6999999999999904</c:v>
                </c:pt>
                <c:pt idx="15">
                  <c:v>9.7499999999999893</c:v>
                </c:pt>
                <c:pt idx="16">
                  <c:v>9.7999999999999794</c:v>
                </c:pt>
                <c:pt idx="17">
                  <c:v>9.8499999999999801</c:v>
                </c:pt>
                <c:pt idx="18">
                  <c:v>9.8999999999999808</c:v>
                </c:pt>
                <c:pt idx="19">
                  <c:v>9.9499999999999797</c:v>
                </c:pt>
                <c:pt idx="20">
                  <c:v>9.9999999999999805</c:v>
                </c:pt>
                <c:pt idx="21">
                  <c:v>10.050000000000001</c:v>
                </c:pt>
                <c:pt idx="22">
                  <c:v>10.1</c:v>
                </c:pt>
                <c:pt idx="23">
                  <c:v>10.15</c:v>
                </c:pt>
                <c:pt idx="24">
                  <c:v>10.199999999999999</c:v>
                </c:pt>
                <c:pt idx="25">
                  <c:v>10.25</c:v>
                </c:pt>
              </c:numCache>
            </c:numRef>
          </c:xVal>
          <c:yVal>
            <c:numRef>
              <c:f>'All cells'!$N$39:$N$64</c:f>
              <c:numCache>
                <c:formatCode>General</c:formatCode>
                <c:ptCount val="26"/>
                <c:pt idx="0">
                  <c:v>45.244774228576418</c:v>
                </c:pt>
                <c:pt idx="1">
                  <c:v>59.790732436472268</c:v>
                </c:pt>
                <c:pt idx="2">
                  <c:v>44.712720769058777</c:v>
                </c:pt>
                <c:pt idx="3">
                  <c:v>51.91568892119183</c:v>
                </c:pt>
                <c:pt idx="4">
                  <c:v>97.087378640776592</c:v>
                </c:pt>
                <c:pt idx="5">
                  <c:v>67.186240257995607</c:v>
                </c:pt>
                <c:pt idx="6">
                  <c:v>47.993856786331321</c:v>
                </c:pt>
                <c:pt idx="7">
                  <c:v>47.553378667554341</c:v>
                </c:pt>
                <c:pt idx="8">
                  <c:v>86.850790342192042</c:v>
                </c:pt>
                <c:pt idx="9">
                  <c:v>59.790732436472268</c:v>
                </c:pt>
                <c:pt idx="10">
                  <c:v>50.466818067120727</c:v>
                </c:pt>
                <c:pt idx="11">
                  <c:v>72.679700559633616</c:v>
                </c:pt>
                <c:pt idx="12">
                  <c:v>54.972239019295337</c:v>
                </c:pt>
                <c:pt idx="13">
                  <c:v>31.245117950320267</c:v>
                </c:pt>
                <c:pt idx="14">
                  <c:v>32.70218123548846</c:v>
                </c:pt>
                <c:pt idx="15">
                  <c:v>24.5392751098132</c:v>
                </c:pt>
                <c:pt idx="16">
                  <c:v>43.531255441406969</c:v>
                </c:pt>
                <c:pt idx="17">
                  <c:v>62.034739454094279</c:v>
                </c:pt>
                <c:pt idx="18">
                  <c:v>40.817992571125316</c:v>
                </c:pt>
                <c:pt idx="19">
                  <c:v>37.707390648567142</c:v>
                </c:pt>
                <c:pt idx="20">
                  <c:v>39.33910306844993</c:v>
                </c:pt>
                <c:pt idx="21">
                  <c:v>49.517207229512408</c:v>
                </c:pt>
                <c:pt idx="22">
                  <c:v>32.336297493936989</c:v>
                </c:pt>
                <c:pt idx="23">
                  <c:v>43.94059231918439</c:v>
                </c:pt>
                <c:pt idx="24">
                  <c:v>43.99859204505443</c:v>
                </c:pt>
                <c:pt idx="25">
                  <c:v>27.550486266082576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E1C-A3D3-3470D7FD0DA9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7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cells'!$J$87:$J$104</c:f>
              <c:numCache>
                <c:formatCode>General</c:formatCode>
                <c:ptCount val="18"/>
                <c:pt idx="0">
                  <c:v>16.5</c:v>
                </c:pt>
                <c:pt idx="1">
                  <c:v>16.05</c:v>
                </c:pt>
                <c:pt idx="2">
                  <c:v>16.100000000000001</c:v>
                </c:pt>
                <c:pt idx="3">
                  <c:v>16.149999999999999</c:v>
                </c:pt>
                <c:pt idx="4">
                  <c:v>16.2</c:v>
                </c:pt>
                <c:pt idx="5">
                  <c:v>16.25</c:v>
                </c:pt>
                <c:pt idx="6">
                  <c:v>16.3</c:v>
                </c:pt>
                <c:pt idx="7">
                  <c:v>16.350000000000001</c:v>
                </c:pt>
                <c:pt idx="8">
                  <c:v>16.399999999999999</c:v>
                </c:pt>
                <c:pt idx="9">
                  <c:v>16.45</c:v>
                </c:pt>
                <c:pt idx="10">
                  <c:v>16.5</c:v>
                </c:pt>
                <c:pt idx="11">
                  <c:v>16.55</c:v>
                </c:pt>
                <c:pt idx="12">
                  <c:v>16.600000000000001</c:v>
                </c:pt>
                <c:pt idx="13">
                  <c:v>16.649999999999999</c:v>
                </c:pt>
                <c:pt idx="14">
                  <c:v>16.7</c:v>
                </c:pt>
                <c:pt idx="15">
                  <c:v>16.75</c:v>
                </c:pt>
                <c:pt idx="16">
                  <c:v>16.8</c:v>
                </c:pt>
                <c:pt idx="17">
                  <c:v>16.850000000000001</c:v>
                </c:pt>
              </c:numCache>
            </c:numRef>
          </c:xVal>
          <c:yVal>
            <c:numRef>
              <c:f>'All cells'!$N$87:$N$104</c:f>
              <c:numCache>
                <c:formatCode>General</c:formatCode>
                <c:ptCount val="18"/>
                <c:pt idx="0">
                  <c:v>37.122280792931932</c:v>
                </c:pt>
                <c:pt idx="1">
                  <c:v>40.844667728628117</c:v>
                </c:pt>
                <c:pt idx="2">
                  <c:v>55.00550055005516</c:v>
                </c:pt>
                <c:pt idx="3">
                  <c:v>63.698324734059447</c:v>
                </c:pt>
                <c:pt idx="4">
                  <c:v>67.168189145621</c:v>
                </c:pt>
                <c:pt idx="5">
                  <c:v>44.273254526940299</c:v>
                </c:pt>
                <c:pt idx="6">
                  <c:v>49.522111622839638</c:v>
                </c:pt>
                <c:pt idx="7">
                  <c:v>28.636884306987433</c:v>
                </c:pt>
                <c:pt idx="8">
                  <c:v>48.642864091837744</c:v>
                </c:pt>
                <c:pt idx="9">
                  <c:v>18.026137899954929</c:v>
                </c:pt>
                <c:pt idx="10">
                  <c:v>65.802461012041832</c:v>
                </c:pt>
                <c:pt idx="11">
                  <c:v>60.67961165048537</c:v>
                </c:pt>
                <c:pt idx="12">
                  <c:v>73.653973631877449</c:v>
                </c:pt>
                <c:pt idx="13">
                  <c:v>51.639555899819236</c:v>
                </c:pt>
                <c:pt idx="14">
                  <c:v>53.092646668436316</c:v>
                </c:pt>
                <c:pt idx="15">
                  <c:v>31.226580064951285</c:v>
                </c:pt>
                <c:pt idx="16">
                  <c:v>49.830576041459082</c:v>
                </c:pt>
                <c:pt idx="17">
                  <c:v>61.425061425061102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E1C-A3D3-3470D7FD0DA9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cells'!$AR$39:$AR$62</c:f>
              <c:numCache>
                <c:formatCode>General</c:formatCode>
                <c:ptCount val="24"/>
                <c:pt idx="0">
                  <c:v>12.5</c:v>
                </c:pt>
                <c:pt idx="1">
                  <c:v>12.05</c:v>
                </c:pt>
                <c:pt idx="2">
                  <c:v>12.1</c:v>
                </c:pt>
                <c:pt idx="3">
                  <c:v>12.15</c:v>
                </c:pt>
                <c:pt idx="4">
                  <c:v>12.2</c:v>
                </c:pt>
                <c:pt idx="5">
                  <c:v>12.25</c:v>
                </c:pt>
                <c:pt idx="6">
                  <c:v>12.3</c:v>
                </c:pt>
                <c:pt idx="7">
                  <c:v>12.35</c:v>
                </c:pt>
                <c:pt idx="8">
                  <c:v>12.4</c:v>
                </c:pt>
                <c:pt idx="9">
                  <c:v>12.45</c:v>
                </c:pt>
                <c:pt idx="10">
                  <c:v>12.5</c:v>
                </c:pt>
                <c:pt idx="11">
                  <c:v>12.55</c:v>
                </c:pt>
                <c:pt idx="12">
                  <c:v>12.6</c:v>
                </c:pt>
                <c:pt idx="13">
                  <c:v>12.65</c:v>
                </c:pt>
                <c:pt idx="14">
                  <c:v>12.7</c:v>
                </c:pt>
                <c:pt idx="15">
                  <c:v>12.75</c:v>
                </c:pt>
                <c:pt idx="16">
                  <c:v>12.8</c:v>
                </c:pt>
                <c:pt idx="17">
                  <c:v>12.9</c:v>
                </c:pt>
                <c:pt idx="18">
                  <c:v>12.95</c:v>
                </c:pt>
                <c:pt idx="19">
                  <c:v>13</c:v>
                </c:pt>
                <c:pt idx="20">
                  <c:v>13.05</c:v>
                </c:pt>
                <c:pt idx="21">
                  <c:v>13.1</c:v>
                </c:pt>
                <c:pt idx="22">
                  <c:v>13.15</c:v>
                </c:pt>
                <c:pt idx="23">
                  <c:v>13.2</c:v>
                </c:pt>
              </c:numCache>
            </c:numRef>
          </c:xVal>
          <c:yVal>
            <c:numRef>
              <c:f>'All cells'!$AV$39:$AV$62</c:f>
              <c:numCache>
                <c:formatCode>General</c:formatCode>
                <c:ptCount val="24"/>
                <c:pt idx="0">
                  <c:v>49.120738775911043</c:v>
                </c:pt>
                <c:pt idx="1">
                  <c:v>66.137566137566111</c:v>
                </c:pt>
                <c:pt idx="2">
                  <c:v>73.69739848183319</c:v>
                </c:pt>
                <c:pt idx="3">
                  <c:v>54.02485143165859</c:v>
                </c:pt>
                <c:pt idx="4">
                  <c:v>53.89</c:v>
                </c:pt>
                <c:pt idx="5">
                  <c:v>80.276149955848155</c:v>
                </c:pt>
                <c:pt idx="6">
                  <c:v>67.006164567140274</c:v>
                </c:pt>
                <c:pt idx="7">
                  <c:v>48.376953219486253</c:v>
                </c:pt>
                <c:pt idx="8">
                  <c:v>97.751710654936829</c:v>
                </c:pt>
                <c:pt idx="9">
                  <c:v>39.261876717707239</c:v>
                </c:pt>
                <c:pt idx="10">
                  <c:v>54.525627044710923</c:v>
                </c:pt>
                <c:pt idx="11">
                  <c:v>65.997888067582139</c:v>
                </c:pt>
                <c:pt idx="12">
                  <c:v>51.075131518463643</c:v>
                </c:pt>
                <c:pt idx="13">
                  <c:v>47.621315300728547</c:v>
                </c:pt>
                <c:pt idx="14">
                  <c:v>41.946308724832363</c:v>
                </c:pt>
                <c:pt idx="15">
                  <c:v>35.560613064969118</c:v>
                </c:pt>
                <c:pt idx="16">
                  <c:v>41.088000000000001</c:v>
                </c:pt>
                <c:pt idx="17">
                  <c:v>52.350539210553933</c:v>
                </c:pt>
                <c:pt idx="18">
                  <c:v>39.3391030684501</c:v>
                </c:pt>
                <c:pt idx="19">
                  <c:v>61.57256326580881</c:v>
                </c:pt>
                <c:pt idx="20">
                  <c:v>31.213908917813743</c:v>
                </c:pt>
                <c:pt idx="21">
                  <c:v>40.746475429875453</c:v>
                </c:pt>
                <c:pt idx="22">
                  <c:v>80.860354168350767</c:v>
                </c:pt>
                <c:pt idx="23">
                  <c:v>59.241706161137458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56C-BEB8-65ED684416C2}"/>
            </c:ext>
          </c:extLst>
        </c:ser>
        <c:ser>
          <c:idx val="4"/>
          <c:order val="5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cells'!$N$34,'All cells'!$AV$25,'All cells'!$N$81,'All cells'!$AV$79,'All cells'!$N$113)</c:f>
                <c:numCache>
                  <c:formatCode>General</c:formatCode>
                  <c:ptCount val="5"/>
                  <c:pt idx="0">
                    <c:v>7.8346284764947169</c:v>
                  </c:pt>
                  <c:pt idx="1">
                    <c:v>9.8780463951256774</c:v>
                  </c:pt>
                  <c:pt idx="2">
                    <c:v>17.191835809402949</c:v>
                  </c:pt>
                  <c:pt idx="3">
                    <c:v>15.663416718058146</c:v>
                  </c:pt>
                  <c:pt idx="4">
                    <c:v>15.219785289780489</c:v>
                  </c:pt>
                </c:numCache>
              </c:numRef>
            </c:plus>
            <c:minus>
              <c:numRef>
                <c:f>('All cells'!$N$34,'All cells'!$AV$25,'All cells'!$N$81,'All cells'!$AV$79,'All cells'!$N$113)</c:f>
                <c:numCache>
                  <c:formatCode>General</c:formatCode>
                  <c:ptCount val="5"/>
                  <c:pt idx="0">
                    <c:v>7.8346284764947169</c:v>
                  </c:pt>
                  <c:pt idx="1">
                    <c:v>9.8780463951256774</c:v>
                  </c:pt>
                  <c:pt idx="2">
                    <c:v>17.191835809402949</c:v>
                  </c:pt>
                  <c:pt idx="3">
                    <c:v>15.663416718058146</c:v>
                  </c:pt>
                  <c:pt idx="4">
                    <c:v>15.219785289780489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('All cells'!$J$2,'All cells'!$AR$2,'All cells'!$J$39,'All cells'!$AR$39,'All cells'!$J$87,'All cells'!$AR$82)</c:f>
              <c:numCache>
                <c:formatCode>General</c:formatCode>
                <c:ptCount val="6"/>
                <c:pt idx="0">
                  <c:v>3.5</c:v>
                </c:pt>
                <c:pt idx="1">
                  <c:v>6.05</c:v>
                </c:pt>
                <c:pt idx="2">
                  <c:v>9.5</c:v>
                </c:pt>
                <c:pt idx="3">
                  <c:v>12.5</c:v>
                </c:pt>
                <c:pt idx="4">
                  <c:v>16.5</c:v>
                </c:pt>
                <c:pt idx="5">
                  <c:v>19</c:v>
                </c:pt>
              </c:numCache>
            </c:numRef>
          </c:xVal>
          <c:yVal>
            <c:numRef>
              <c:f>('All cells'!$N$33,'All cells'!$AV$24,'All cells'!$N$80,'All cells'!$AV$78,'All cells'!$N$112,'All cells'!$AV$104)</c:f>
              <c:numCache>
                <c:formatCode>General</c:formatCode>
                <c:ptCount val="6"/>
                <c:pt idx="0">
                  <c:v>41.775021414754903</c:v>
                </c:pt>
                <c:pt idx="1">
                  <c:v>46.749235087090597</c:v>
                </c:pt>
                <c:pt idx="2">
                  <c:v>47.49863687876865</c:v>
                </c:pt>
                <c:pt idx="3">
                  <c:v>59.259157659930644</c:v>
                </c:pt>
                <c:pt idx="4">
                  <c:v>51.8318666507259</c:v>
                </c:pt>
                <c:pt idx="5">
                  <c:v>69.081774893118421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E-452D-A84F-8EACE8E7913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cells'!$AR$82:$AR$101</c:f>
              <c:numCache>
                <c:formatCode>General</c:formatCode>
                <c:ptCount val="20"/>
                <c:pt idx="0">
                  <c:v>19</c:v>
                </c:pt>
                <c:pt idx="1">
                  <c:v>19.05</c:v>
                </c:pt>
                <c:pt idx="2">
                  <c:v>19.100000000000001</c:v>
                </c:pt>
                <c:pt idx="3">
                  <c:v>19.149999999999999</c:v>
                </c:pt>
                <c:pt idx="4">
                  <c:v>19.2</c:v>
                </c:pt>
                <c:pt idx="5">
                  <c:v>19.25</c:v>
                </c:pt>
                <c:pt idx="6">
                  <c:v>19.3</c:v>
                </c:pt>
                <c:pt idx="7">
                  <c:v>19.350000000000001</c:v>
                </c:pt>
                <c:pt idx="8">
                  <c:v>19.399999999999999</c:v>
                </c:pt>
                <c:pt idx="9">
                  <c:v>19.45</c:v>
                </c:pt>
                <c:pt idx="10">
                  <c:v>19.5</c:v>
                </c:pt>
                <c:pt idx="11">
                  <c:v>19.55</c:v>
                </c:pt>
                <c:pt idx="12">
                  <c:v>19.600000000000001</c:v>
                </c:pt>
                <c:pt idx="13">
                  <c:v>19.649999999999999</c:v>
                </c:pt>
                <c:pt idx="14">
                  <c:v>19.7</c:v>
                </c:pt>
                <c:pt idx="15">
                  <c:v>19.75</c:v>
                </c:pt>
                <c:pt idx="16">
                  <c:v>19.8</c:v>
                </c:pt>
                <c:pt idx="17">
                  <c:v>19.850000000000001</c:v>
                </c:pt>
                <c:pt idx="18">
                  <c:v>19.899999999999999</c:v>
                </c:pt>
                <c:pt idx="19">
                  <c:v>19.95</c:v>
                </c:pt>
              </c:numCache>
            </c:numRef>
          </c:xVal>
          <c:yVal>
            <c:numRef>
              <c:f>'All cells'!$AV$82:$AV$101</c:f>
              <c:numCache>
                <c:formatCode>General</c:formatCode>
                <c:ptCount val="20"/>
                <c:pt idx="0">
                  <c:v>112.08249271463765</c:v>
                </c:pt>
                <c:pt idx="1">
                  <c:v>49.385154822460308</c:v>
                </c:pt>
                <c:pt idx="2">
                  <c:v>79.113924050633003</c:v>
                </c:pt>
                <c:pt idx="3">
                  <c:v>66.666666666666671</c:v>
                </c:pt>
                <c:pt idx="4">
                  <c:v>81.947062197820372</c:v>
                </c:pt>
                <c:pt idx="5">
                  <c:v>109.03936321011827</c:v>
                </c:pt>
                <c:pt idx="6">
                  <c:v>87.950747581354406</c:v>
                </c:pt>
                <c:pt idx="7">
                  <c:v>63.19115323854642</c:v>
                </c:pt>
                <c:pt idx="8">
                  <c:v>50.423557886244467</c:v>
                </c:pt>
                <c:pt idx="9">
                  <c:v>44.873233116446102</c:v>
                </c:pt>
                <c:pt idx="10">
                  <c:v>64.226075786769229</c:v>
                </c:pt>
                <c:pt idx="11">
                  <c:v>74.872716382150372</c:v>
                </c:pt>
                <c:pt idx="12">
                  <c:v>65.312520410162477</c:v>
                </c:pt>
                <c:pt idx="13">
                  <c:v>76.405867970659685</c:v>
                </c:pt>
                <c:pt idx="14">
                  <c:v>48.030739673390855</c:v>
                </c:pt>
                <c:pt idx="15">
                  <c:v>70.126227208976204</c:v>
                </c:pt>
                <c:pt idx="16">
                  <c:v>57.803468208092255</c:v>
                </c:pt>
                <c:pt idx="17">
                  <c:v>44.931703810208312</c:v>
                </c:pt>
                <c:pt idx="18">
                  <c:v>70.906899241296415</c:v>
                </c:pt>
                <c:pt idx="19">
                  <c:v>64.345923685734761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0-4AAD-A3DF-B51A4650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3616"/>
        <c:axId val="925064272"/>
      </c:scatterChart>
      <c:valAx>
        <c:axId val="9250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4272"/>
        <c:crosses val="autoZero"/>
        <c:crossBetween val="midCat"/>
      </c:valAx>
      <c:valAx>
        <c:axId val="925064272"/>
        <c:scaling>
          <c:orientation val="minMax"/>
          <c:max val="11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steady state </a:t>
                </a:r>
                <a:r>
                  <a:rPr lang="en-GB"/>
                  <a:t> FF (Hz)</a:t>
                </a:r>
              </a:p>
            </c:rich>
          </c:tx>
          <c:layout>
            <c:manualLayout>
              <c:xMode val="edge"/>
              <c:yMode val="edge"/>
              <c:x val="1.4413504432223546E-2"/>
              <c:y val="0.3518463440537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cells'!$J$2:$J$24</c:f>
              <c:numCache>
                <c:formatCode>General</c:formatCode>
                <c:ptCount val="23"/>
                <c:pt idx="0">
                  <c:v>3.5</c:v>
                </c:pt>
                <c:pt idx="1">
                  <c:v>3.05</c:v>
                </c:pt>
                <c:pt idx="2">
                  <c:v>3.1</c:v>
                </c:pt>
                <c:pt idx="3">
                  <c:v>3.15</c:v>
                </c:pt>
                <c:pt idx="4">
                  <c:v>3.2</c:v>
                </c:pt>
                <c:pt idx="5">
                  <c:v>3.25</c:v>
                </c:pt>
                <c:pt idx="6">
                  <c:v>3.3</c:v>
                </c:pt>
                <c:pt idx="7">
                  <c:v>3.35</c:v>
                </c:pt>
                <c:pt idx="8">
                  <c:v>3.4</c:v>
                </c:pt>
                <c:pt idx="9">
                  <c:v>3.45</c:v>
                </c:pt>
                <c:pt idx="10">
                  <c:v>3.5</c:v>
                </c:pt>
                <c:pt idx="12">
                  <c:v>3.6</c:v>
                </c:pt>
                <c:pt idx="13">
                  <c:v>3.65</c:v>
                </c:pt>
                <c:pt idx="14">
                  <c:v>3.7</c:v>
                </c:pt>
                <c:pt idx="15">
                  <c:v>3.75</c:v>
                </c:pt>
                <c:pt idx="16">
                  <c:v>3.8</c:v>
                </c:pt>
                <c:pt idx="18">
                  <c:v>3.9</c:v>
                </c:pt>
                <c:pt idx="21">
                  <c:v>4.05</c:v>
                </c:pt>
                <c:pt idx="22">
                  <c:v>4.0999999999999996</c:v>
                </c:pt>
              </c:numCache>
            </c:numRef>
          </c:xVal>
          <c:yVal>
            <c:numRef>
              <c:f>'All cells'!$I$2:$I$24</c:f>
              <c:numCache>
                <c:formatCode>General</c:formatCode>
                <c:ptCount val="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8">
                  <c:v>2</c:v>
                </c:pt>
                <c:pt idx="21">
                  <c:v>3</c:v>
                </c:pt>
                <c:pt idx="2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E1C-A3D3-3470D7FD0DA9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cells'!$AR$2:$AR$18</c:f>
              <c:numCache>
                <c:formatCode>General</c:formatCode>
                <c:ptCount val="17"/>
                <c:pt idx="0">
                  <c:v>6.05</c:v>
                </c:pt>
                <c:pt idx="1">
                  <c:v>6.1</c:v>
                </c:pt>
                <c:pt idx="2">
                  <c:v>6.15</c:v>
                </c:pt>
                <c:pt idx="3">
                  <c:v>6.2</c:v>
                </c:pt>
                <c:pt idx="4">
                  <c:v>6.25</c:v>
                </c:pt>
                <c:pt idx="5">
                  <c:v>6.3</c:v>
                </c:pt>
                <c:pt idx="6">
                  <c:v>6.35</c:v>
                </c:pt>
                <c:pt idx="7">
                  <c:v>6.4</c:v>
                </c:pt>
                <c:pt idx="8">
                  <c:v>6.45</c:v>
                </c:pt>
                <c:pt idx="9">
                  <c:v>6.5</c:v>
                </c:pt>
                <c:pt idx="10">
                  <c:v>6.55</c:v>
                </c:pt>
                <c:pt idx="11">
                  <c:v>6.6</c:v>
                </c:pt>
                <c:pt idx="12">
                  <c:v>6.65</c:v>
                </c:pt>
                <c:pt idx="13">
                  <c:v>6.7</c:v>
                </c:pt>
                <c:pt idx="14">
                  <c:v>6.75</c:v>
                </c:pt>
                <c:pt idx="15">
                  <c:v>6.8</c:v>
                </c:pt>
                <c:pt idx="16">
                  <c:v>6.85</c:v>
                </c:pt>
              </c:numCache>
            </c:numRef>
          </c:xVal>
          <c:yVal>
            <c:numRef>
              <c:f>'All cells'!$AQ$2:$AQ$18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D-4EE6-B8F5-A2E8D5131022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cells'!$J$39:$J$64</c:f>
              <c:numCache>
                <c:formatCode>General</c:formatCode>
                <c:ptCount val="26"/>
                <c:pt idx="0">
                  <c:v>9.5</c:v>
                </c:pt>
                <c:pt idx="1">
                  <c:v>9.0500000000000007</c:v>
                </c:pt>
                <c:pt idx="2">
                  <c:v>9.1</c:v>
                </c:pt>
                <c:pt idx="3">
                  <c:v>9.15</c:v>
                </c:pt>
                <c:pt idx="4">
                  <c:v>9.1999999999999993</c:v>
                </c:pt>
                <c:pt idx="5">
                  <c:v>9.25</c:v>
                </c:pt>
                <c:pt idx="6">
                  <c:v>9.3000000000000007</c:v>
                </c:pt>
                <c:pt idx="7">
                  <c:v>9.3499999999999908</c:v>
                </c:pt>
                <c:pt idx="8">
                  <c:v>9.3999999999999897</c:v>
                </c:pt>
                <c:pt idx="9">
                  <c:v>9.4499999999999904</c:v>
                </c:pt>
                <c:pt idx="10">
                  <c:v>9.4999999999999893</c:v>
                </c:pt>
                <c:pt idx="11">
                  <c:v>9.5499999999999901</c:v>
                </c:pt>
                <c:pt idx="12">
                  <c:v>9.5999999999999908</c:v>
                </c:pt>
                <c:pt idx="13">
                  <c:v>9.6499999999999897</c:v>
                </c:pt>
                <c:pt idx="14">
                  <c:v>9.6999999999999904</c:v>
                </c:pt>
                <c:pt idx="15">
                  <c:v>9.7499999999999893</c:v>
                </c:pt>
                <c:pt idx="16">
                  <c:v>9.7999999999999794</c:v>
                </c:pt>
                <c:pt idx="17">
                  <c:v>9.8499999999999801</c:v>
                </c:pt>
                <c:pt idx="18">
                  <c:v>9.8999999999999808</c:v>
                </c:pt>
                <c:pt idx="19">
                  <c:v>9.9499999999999797</c:v>
                </c:pt>
                <c:pt idx="20">
                  <c:v>9.9999999999999805</c:v>
                </c:pt>
                <c:pt idx="21">
                  <c:v>10.050000000000001</c:v>
                </c:pt>
                <c:pt idx="22">
                  <c:v>10.1</c:v>
                </c:pt>
                <c:pt idx="23">
                  <c:v>10.15</c:v>
                </c:pt>
                <c:pt idx="24">
                  <c:v>10.199999999999999</c:v>
                </c:pt>
                <c:pt idx="25">
                  <c:v>10.25</c:v>
                </c:pt>
              </c:numCache>
            </c:numRef>
          </c:xVal>
          <c:yVal>
            <c:numRef>
              <c:f>'All cells'!$I$39:$I$64</c:f>
              <c:numCache>
                <c:formatCode>General</c:formatCode>
                <c:ptCount val="2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E1C-A3D3-3470D7FD0DA9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alpha val="27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cells'!$J$87:$J$108</c:f>
              <c:numCache>
                <c:formatCode>General</c:formatCode>
                <c:ptCount val="22"/>
                <c:pt idx="0">
                  <c:v>16.5</c:v>
                </c:pt>
                <c:pt idx="1">
                  <c:v>16.05</c:v>
                </c:pt>
                <c:pt idx="2">
                  <c:v>16.100000000000001</c:v>
                </c:pt>
                <c:pt idx="3">
                  <c:v>16.149999999999999</c:v>
                </c:pt>
                <c:pt idx="4">
                  <c:v>16.2</c:v>
                </c:pt>
                <c:pt idx="5">
                  <c:v>16.25</c:v>
                </c:pt>
                <c:pt idx="6">
                  <c:v>16.3</c:v>
                </c:pt>
                <c:pt idx="7">
                  <c:v>16.350000000000001</c:v>
                </c:pt>
                <c:pt idx="8">
                  <c:v>16.399999999999999</c:v>
                </c:pt>
                <c:pt idx="9">
                  <c:v>16.45</c:v>
                </c:pt>
                <c:pt idx="10">
                  <c:v>16.5</c:v>
                </c:pt>
                <c:pt idx="11">
                  <c:v>16.55</c:v>
                </c:pt>
                <c:pt idx="12">
                  <c:v>16.600000000000001</c:v>
                </c:pt>
                <c:pt idx="13">
                  <c:v>16.649999999999999</c:v>
                </c:pt>
                <c:pt idx="14">
                  <c:v>16.7</c:v>
                </c:pt>
                <c:pt idx="15">
                  <c:v>16.75</c:v>
                </c:pt>
                <c:pt idx="16">
                  <c:v>16.8</c:v>
                </c:pt>
                <c:pt idx="17">
                  <c:v>16.850000000000001</c:v>
                </c:pt>
                <c:pt idx="18">
                  <c:v>16.899999999999999</c:v>
                </c:pt>
                <c:pt idx="19">
                  <c:v>16.95</c:v>
                </c:pt>
                <c:pt idx="20">
                  <c:v>17</c:v>
                </c:pt>
              </c:numCache>
            </c:numRef>
          </c:xVal>
          <c:yVal>
            <c:numRef>
              <c:f>'All cells'!$I$87:$I$109</c:f>
              <c:numCache>
                <c:formatCode>General</c:formatCode>
                <c:ptCount val="23"/>
                <c:pt idx="0">
                  <c:v>14</c:v>
                </c:pt>
                <c:pt idx="1">
                  <c:v>15</c:v>
                </c:pt>
                <c:pt idx="2">
                  <c:v>21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19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16</c:v>
                </c:pt>
                <c:pt idx="1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E1C-A3D3-3470D7FD0DA9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cells'!$AR$39:$AR$62</c:f>
              <c:numCache>
                <c:formatCode>General</c:formatCode>
                <c:ptCount val="24"/>
                <c:pt idx="0">
                  <c:v>12.5</c:v>
                </c:pt>
                <c:pt idx="1">
                  <c:v>12.05</c:v>
                </c:pt>
                <c:pt idx="2">
                  <c:v>12.1</c:v>
                </c:pt>
                <c:pt idx="3">
                  <c:v>12.15</c:v>
                </c:pt>
                <c:pt idx="4">
                  <c:v>12.2</c:v>
                </c:pt>
                <c:pt idx="5">
                  <c:v>12.25</c:v>
                </c:pt>
                <c:pt idx="6">
                  <c:v>12.3</c:v>
                </c:pt>
                <c:pt idx="7">
                  <c:v>12.35</c:v>
                </c:pt>
                <c:pt idx="8">
                  <c:v>12.4</c:v>
                </c:pt>
                <c:pt idx="9">
                  <c:v>12.45</c:v>
                </c:pt>
                <c:pt idx="10">
                  <c:v>12.5</c:v>
                </c:pt>
                <c:pt idx="11">
                  <c:v>12.55</c:v>
                </c:pt>
                <c:pt idx="12">
                  <c:v>12.6</c:v>
                </c:pt>
                <c:pt idx="13">
                  <c:v>12.65</c:v>
                </c:pt>
                <c:pt idx="14">
                  <c:v>12.7</c:v>
                </c:pt>
                <c:pt idx="15">
                  <c:v>12.75</c:v>
                </c:pt>
                <c:pt idx="16">
                  <c:v>12.8</c:v>
                </c:pt>
                <c:pt idx="17">
                  <c:v>12.9</c:v>
                </c:pt>
                <c:pt idx="18">
                  <c:v>12.95</c:v>
                </c:pt>
                <c:pt idx="19">
                  <c:v>13</c:v>
                </c:pt>
                <c:pt idx="20">
                  <c:v>13.05</c:v>
                </c:pt>
                <c:pt idx="21">
                  <c:v>13.1</c:v>
                </c:pt>
                <c:pt idx="22">
                  <c:v>13.15</c:v>
                </c:pt>
                <c:pt idx="23">
                  <c:v>13.2</c:v>
                </c:pt>
              </c:numCache>
            </c:numRef>
          </c:xVal>
          <c:yVal>
            <c:numRef>
              <c:f>'All cells'!$AQ$39:$AQ$62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56C-BEB8-65ED684416C2}"/>
            </c:ext>
          </c:extLst>
        </c:ser>
        <c:ser>
          <c:idx val="4"/>
          <c:order val="5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cells'!$I$34,'All cells'!$AQ$25,'All cells'!$I$81,'All cells'!$AQ$79,'All cells'!$I$113,'All cells'!$AQ$105)</c:f>
                <c:numCache>
                  <c:formatCode>General</c:formatCode>
                  <c:ptCount val="6"/>
                  <c:pt idx="0">
                    <c:v>0.41885390829169578</c:v>
                  </c:pt>
                  <c:pt idx="1">
                    <c:v>0.49259218307188857</c:v>
                  </c:pt>
                  <c:pt idx="2">
                    <c:v>0.49613893835683365</c:v>
                  </c:pt>
                  <c:pt idx="3">
                    <c:v>0.44781107551989907</c:v>
                  </c:pt>
                  <c:pt idx="4">
                    <c:v>2.6011131220468324</c:v>
                  </c:pt>
                  <c:pt idx="5">
                    <c:v>1.4680814547887784</c:v>
                  </c:pt>
                </c:numCache>
              </c:numRef>
            </c:plus>
            <c:minus>
              <c:numRef>
                <c:f>('All cells'!$I$34,'All cells'!$AQ$25,'All cells'!$I$81,'All cells'!$AQ$79,'All cells'!$I$113,'All cells'!$AQ$105)</c:f>
                <c:numCache>
                  <c:formatCode>General</c:formatCode>
                  <c:ptCount val="6"/>
                  <c:pt idx="0">
                    <c:v>0.41885390829169578</c:v>
                  </c:pt>
                  <c:pt idx="1">
                    <c:v>0.49259218307188857</c:v>
                  </c:pt>
                  <c:pt idx="2">
                    <c:v>0.49613893835683365</c:v>
                  </c:pt>
                  <c:pt idx="3">
                    <c:v>0.44781107551989907</c:v>
                  </c:pt>
                  <c:pt idx="4">
                    <c:v>2.6011131220468324</c:v>
                  </c:pt>
                  <c:pt idx="5">
                    <c:v>1.4680814547887784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('All cells'!$J$2,'All cells'!$AR$2,'All cells'!$J$39,'All cells'!$AR$39,'All cells'!$J$87,'All cells'!$AR$82)</c:f>
              <c:numCache>
                <c:formatCode>General</c:formatCode>
                <c:ptCount val="6"/>
                <c:pt idx="0">
                  <c:v>3.5</c:v>
                </c:pt>
                <c:pt idx="1">
                  <c:v>6.05</c:v>
                </c:pt>
                <c:pt idx="2">
                  <c:v>9.5</c:v>
                </c:pt>
                <c:pt idx="3">
                  <c:v>12.5</c:v>
                </c:pt>
                <c:pt idx="4">
                  <c:v>16.5</c:v>
                </c:pt>
                <c:pt idx="5">
                  <c:v>19</c:v>
                </c:pt>
              </c:numCache>
            </c:numRef>
          </c:xVal>
          <c:yVal>
            <c:numRef>
              <c:f>('All cells'!$I$33,'All cells'!$AQ$24,'All cells'!$I$80,'All cells'!$AQ$78,'All cells'!$I$112,'All cells'!$AQ$104)</c:f>
              <c:numCache>
                <c:formatCode>General</c:formatCode>
                <c:ptCount val="6"/>
                <c:pt idx="0">
                  <c:v>2.6956521739130435</c:v>
                </c:pt>
                <c:pt idx="1">
                  <c:v>2.6470588235294117</c:v>
                </c:pt>
                <c:pt idx="2">
                  <c:v>6.6470588235294121</c:v>
                </c:pt>
                <c:pt idx="3">
                  <c:v>6.7352941176470589</c:v>
                </c:pt>
                <c:pt idx="4">
                  <c:v>18.149999999999999</c:v>
                </c:pt>
                <c:pt idx="5">
                  <c:v>15.95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E-452D-A84F-8EACE8E7913C}"/>
            </c:ext>
          </c:extLst>
        </c:ser>
        <c:ser>
          <c:idx val="6"/>
          <c:order val="6"/>
          <c:tx>
            <c:v>cv14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cells'!$AR$82:$AR$101</c:f>
              <c:numCache>
                <c:formatCode>General</c:formatCode>
                <c:ptCount val="20"/>
                <c:pt idx="0">
                  <c:v>19</c:v>
                </c:pt>
                <c:pt idx="1">
                  <c:v>19.05</c:v>
                </c:pt>
                <c:pt idx="2">
                  <c:v>19.100000000000001</c:v>
                </c:pt>
                <c:pt idx="3">
                  <c:v>19.149999999999999</c:v>
                </c:pt>
                <c:pt idx="4">
                  <c:v>19.2</c:v>
                </c:pt>
                <c:pt idx="5">
                  <c:v>19.25</c:v>
                </c:pt>
                <c:pt idx="6">
                  <c:v>19.3</c:v>
                </c:pt>
                <c:pt idx="7">
                  <c:v>19.350000000000001</c:v>
                </c:pt>
                <c:pt idx="8">
                  <c:v>19.399999999999999</c:v>
                </c:pt>
                <c:pt idx="9">
                  <c:v>19.45</c:v>
                </c:pt>
                <c:pt idx="10">
                  <c:v>19.5</c:v>
                </c:pt>
                <c:pt idx="11">
                  <c:v>19.55</c:v>
                </c:pt>
                <c:pt idx="12">
                  <c:v>19.600000000000001</c:v>
                </c:pt>
                <c:pt idx="13">
                  <c:v>19.649999999999999</c:v>
                </c:pt>
                <c:pt idx="14">
                  <c:v>19.7</c:v>
                </c:pt>
                <c:pt idx="15">
                  <c:v>19.75</c:v>
                </c:pt>
                <c:pt idx="16">
                  <c:v>19.8</c:v>
                </c:pt>
                <c:pt idx="17">
                  <c:v>19.850000000000001</c:v>
                </c:pt>
                <c:pt idx="18">
                  <c:v>19.899999999999999</c:v>
                </c:pt>
                <c:pt idx="19">
                  <c:v>19.95</c:v>
                </c:pt>
              </c:numCache>
            </c:numRef>
          </c:xVal>
          <c:yVal>
            <c:numRef>
              <c:f>'All cells'!$AQ$82:$AQ$101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18</c:v>
                </c:pt>
                <c:pt idx="16">
                  <c:v>18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9-45A7-8B0C-1CF3EC16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3616"/>
        <c:axId val="925064272"/>
      </c:scatterChart>
      <c:valAx>
        <c:axId val="9250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4272"/>
        <c:crosses val="autoZero"/>
        <c:crossBetween val="midCat"/>
      </c:valAx>
      <c:valAx>
        <c:axId val="92506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(Days)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413504432223546E-2"/>
              <c:y val="0.3518463440537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9539007092199"/>
          <c:y val="4.2662999813559331E-2"/>
          <c:w val="0.77032210401891255"/>
          <c:h val="0.921784500341807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cells'!$J$2:$J$30</c:f>
              <c:numCache>
                <c:formatCode>General</c:formatCode>
                <c:ptCount val="29"/>
                <c:pt idx="0">
                  <c:v>3.5</c:v>
                </c:pt>
                <c:pt idx="1">
                  <c:v>3.05</c:v>
                </c:pt>
                <c:pt idx="2">
                  <c:v>3.1</c:v>
                </c:pt>
                <c:pt idx="3">
                  <c:v>3.15</c:v>
                </c:pt>
                <c:pt idx="4">
                  <c:v>3.2</c:v>
                </c:pt>
                <c:pt idx="5">
                  <c:v>3.25</c:v>
                </c:pt>
                <c:pt idx="6">
                  <c:v>3.3</c:v>
                </c:pt>
                <c:pt idx="7">
                  <c:v>3.35</c:v>
                </c:pt>
                <c:pt idx="8">
                  <c:v>3.4</c:v>
                </c:pt>
                <c:pt idx="9">
                  <c:v>3.45</c:v>
                </c:pt>
                <c:pt idx="10">
                  <c:v>3.5</c:v>
                </c:pt>
                <c:pt idx="12">
                  <c:v>3.6</c:v>
                </c:pt>
                <c:pt idx="13">
                  <c:v>3.65</c:v>
                </c:pt>
                <c:pt idx="14">
                  <c:v>3.7</c:v>
                </c:pt>
                <c:pt idx="15">
                  <c:v>3.75</c:v>
                </c:pt>
                <c:pt idx="16">
                  <c:v>3.8</c:v>
                </c:pt>
                <c:pt idx="18">
                  <c:v>3.9</c:v>
                </c:pt>
                <c:pt idx="21">
                  <c:v>4.05</c:v>
                </c:pt>
                <c:pt idx="22">
                  <c:v>4.0999999999999996</c:v>
                </c:pt>
                <c:pt idx="25">
                  <c:v>3.85</c:v>
                </c:pt>
                <c:pt idx="26">
                  <c:v>3.55</c:v>
                </c:pt>
                <c:pt idx="27">
                  <c:v>3.95</c:v>
                </c:pt>
                <c:pt idx="28">
                  <c:v>4</c:v>
                </c:pt>
              </c:numCache>
            </c:numRef>
          </c:xVal>
          <c:yVal>
            <c:numRef>
              <c:f>'All cells'!$AA$2:$AA$30</c:f>
              <c:numCache>
                <c:formatCode>General</c:formatCode>
                <c:ptCount val="29"/>
                <c:pt idx="0">
                  <c:v>78.040000000000006</c:v>
                </c:pt>
                <c:pt idx="1">
                  <c:v>78.25</c:v>
                </c:pt>
                <c:pt idx="2">
                  <c:v>46.524999999999999</c:v>
                </c:pt>
                <c:pt idx="3">
                  <c:v>45.234999999999999</c:v>
                </c:pt>
                <c:pt idx="4">
                  <c:v>62.5</c:v>
                </c:pt>
                <c:pt idx="6">
                  <c:v>84.06</c:v>
                </c:pt>
                <c:pt idx="7">
                  <c:v>47.87</c:v>
                </c:pt>
                <c:pt idx="8">
                  <c:v>102.5</c:v>
                </c:pt>
                <c:pt idx="9">
                  <c:v>78.185000000000002</c:v>
                </c:pt>
                <c:pt idx="10">
                  <c:v>18.055</c:v>
                </c:pt>
                <c:pt idx="12">
                  <c:v>88.084999999999994</c:v>
                </c:pt>
                <c:pt idx="13">
                  <c:v>82.45</c:v>
                </c:pt>
                <c:pt idx="14">
                  <c:v>57.7</c:v>
                </c:pt>
                <c:pt idx="15">
                  <c:v>55</c:v>
                </c:pt>
                <c:pt idx="16">
                  <c:v>53.715000000000003</c:v>
                </c:pt>
                <c:pt idx="18">
                  <c:v>69.5</c:v>
                </c:pt>
                <c:pt idx="21">
                  <c:v>92.78</c:v>
                </c:pt>
                <c:pt idx="22">
                  <c:v>66.409045000000006</c:v>
                </c:pt>
                <c:pt idx="25">
                  <c:v>92.95</c:v>
                </c:pt>
                <c:pt idx="26">
                  <c:v>74.155000000000001</c:v>
                </c:pt>
                <c:pt idx="27">
                  <c:v>108.48511999999999</c:v>
                </c:pt>
                <c:pt idx="28">
                  <c:v>133.37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E1C-A3D3-3470D7FD0DA9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cells'!$AR$2:$AR$22</c:f>
              <c:numCache>
                <c:formatCode>General</c:formatCode>
                <c:ptCount val="21"/>
                <c:pt idx="0">
                  <c:v>6.05</c:v>
                </c:pt>
                <c:pt idx="1">
                  <c:v>6.1</c:v>
                </c:pt>
                <c:pt idx="2">
                  <c:v>6.15</c:v>
                </c:pt>
                <c:pt idx="3">
                  <c:v>6.2</c:v>
                </c:pt>
                <c:pt idx="4">
                  <c:v>6.25</c:v>
                </c:pt>
                <c:pt idx="5">
                  <c:v>6.3</c:v>
                </c:pt>
                <c:pt idx="6">
                  <c:v>6.35</c:v>
                </c:pt>
                <c:pt idx="7">
                  <c:v>6.4</c:v>
                </c:pt>
                <c:pt idx="8">
                  <c:v>6.45</c:v>
                </c:pt>
                <c:pt idx="9">
                  <c:v>6.5</c:v>
                </c:pt>
                <c:pt idx="10">
                  <c:v>6.55</c:v>
                </c:pt>
                <c:pt idx="11">
                  <c:v>6.6</c:v>
                </c:pt>
                <c:pt idx="12">
                  <c:v>6.65</c:v>
                </c:pt>
                <c:pt idx="13">
                  <c:v>6.7</c:v>
                </c:pt>
                <c:pt idx="14">
                  <c:v>6.75</c:v>
                </c:pt>
                <c:pt idx="15">
                  <c:v>6.8</c:v>
                </c:pt>
                <c:pt idx="16">
                  <c:v>6.85</c:v>
                </c:pt>
                <c:pt idx="17">
                  <c:v>6.9</c:v>
                </c:pt>
                <c:pt idx="18">
                  <c:v>6.95</c:v>
                </c:pt>
                <c:pt idx="19">
                  <c:v>7.0000000000000098</c:v>
                </c:pt>
                <c:pt idx="20">
                  <c:v>7.0500000000000096</c:v>
                </c:pt>
              </c:numCache>
            </c:numRef>
          </c:xVal>
          <c:yVal>
            <c:numRef>
              <c:f>'All cells'!$BI$2:$BI$23</c:f>
              <c:numCache>
                <c:formatCode>General</c:formatCode>
                <c:ptCount val="22"/>
                <c:pt idx="0">
                  <c:v>64.245000000000005</c:v>
                </c:pt>
                <c:pt idx="1">
                  <c:v>54.36</c:v>
                </c:pt>
                <c:pt idx="2">
                  <c:v>62.637365000000003</c:v>
                </c:pt>
                <c:pt idx="3">
                  <c:v>113</c:v>
                </c:pt>
                <c:pt idx="4">
                  <c:v>76.02</c:v>
                </c:pt>
                <c:pt idx="5">
                  <c:v>78.669484999999995</c:v>
                </c:pt>
                <c:pt idx="6">
                  <c:v>75.190010000000001</c:v>
                </c:pt>
                <c:pt idx="7">
                  <c:v>82.601534999999998</c:v>
                </c:pt>
                <c:pt idx="8">
                  <c:v>65.582104999999999</c:v>
                </c:pt>
                <c:pt idx="9">
                  <c:v>66.226915000000005</c:v>
                </c:pt>
                <c:pt idx="10">
                  <c:v>56.111409999999999</c:v>
                </c:pt>
                <c:pt idx="11">
                  <c:v>73.680000000000007</c:v>
                </c:pt>
                <c:pt idx="12">
                  <c:v>84.922084999999996</c:v>
                </c:pt>
                <c:pt idx="13">
                  <c:v>94.92698</c:v>
                </c:pt>
                <c:pt idx="14">
                  <c:v>131.48515</c:v>
                </c:pt>
                <c:pt idx="15">
                  <c:v>80.538619999999995</c:v>
                </c:pt>
                <c:pt idx="16">
                  <c:v>60.02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A-4AEE-979D-25E21FF78088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cells'!$J$39:$J$74</c:f>
              <c:numCache>
                <c:formatCode>General</c:formatCode>
                <c:ptCount val="36"/>
                <c:pt idx="0">
                  <c:v>9.5</c:v>
                </c:pt>
                <c:pt idx="1">
                  <c:v>9.0500000000000007</c:v>
                </c:pt>
                <c:pt idx="2">
                  <c:v>9.1</c:v>
                </c:pt>
                <c:pt idx="3">
                  <c:v>9.15</c:v>
                </c:pt>
                <c:pt idx="4">
                  <c:v>9.1999999999999993</c:v>
                </c:pt>
                <c:pt idx="5">
                  <c:v>9.25</c:v>
                </c:pt>
                <c:pt idx="6">
                  <c:v>9.3000000000000007</c:v>
                </c:pt>
                <c:pt idx="7">
                  <c:v>9.3499999999999908</c:v>
                </c:pt>
                <c:pt idx="8">
                  <c:v>9.3999999999999897</c:v>
                </c:pt>
                <c:pt idx="9">
                  <c:v>9.4499999999999904</c:v>
                </c:pt>
                <c:pt idx="10">
                  <c:v>9.4999999999999893</c:v>
                </c:pt>
                <c:pt idx="11">
                  <c:v>9.5499999999999901</c:v>
                </c:pt>
                <c:pt idx="12">
                  <c:v>9.5999999999999908</c:v>
                </c:pt>
                <c:pt idx="13">
                  <c:v>9.6499999999999897</c:v>
                </c:pt>
                <c:pt idx="14">
                  <c:v>9.6999999999999904</c:v>
                </c:pt>
                <c:pt idx="15">
                  <c:v>9.7499999999999893</c:v>
                </c:pt>
                <c:pt idx="16">
                  <c:v>9.7999999999999794</c:v>
                </c:pt>
                <c:pt idx="17">
                  <c:v>9.8499999999999801</c:v>
                </c:pt>
                <c:pt idx="18">
                  <c:v>9.8999999999999808</c:v>
                </c:pt>
                <c:pt idx="19">
                  <c:v>9.9499999999999797</c:v>
                </c:pt>
                <c:pt idx="20">
                  <c:v>9.9999999999999805</c:v>
                </c:pt>
                <c:pt idx="21">
                  <c:v>10.050000000000001</c:v>
                </c:pt>
                <c:pt idx="22">
                  <c:v>10.1</c:v>
                </c:pt>
                <c:pt idx="23">
                  <c:v>10.15</c:v>
                </c:pt>
                <c:pt idx="24">
                  <c:v>10.199999999999999</c:v>
                </c:pt>
                <c:pt idx="25">
                  <c:v>10.25</c:v>
                </c:pt>
                <c:pt idx="26">
                  <c:v>10.3</c:v>
                </c:pt>
                <c:pt idx="27">
                  <c:v>10.35</c:v>
                </c:pt>
                <c:pt idx="29">
                  <c:v>10.45</c:v>
                </c:pt>
                <c:pt idx="30">
                  <c:v>10.5</c:v>
                </c:pt>
                <c:pt idx="31">
                  <c:v>10.55</c:v>
                </c:pt>
                <c:pt idx="32">
                  <c:v>10.6</c:v>
                </c:pt>
                <c:pt idx="33">
                  <c:v>10.65</c:v>
                </c:pt>
              </c:numCache>
            </c:numRef>
          </c:xVal>
          <c:yVal>
            <c:numRef>
              <c:f>'All cells'!$AA$39:$AA$73</c:f>
              <c:numCache>
                <c:formatCode>General</c:formatCode>
                <c:ptCount val="35"/>
                <c:pt idx="13">
                  <c:v>124.035</c:v>
                </c:pt>
                <c:pt idx="14">
                  <c:v>81.155000000000001</c:v>
                </c:pt>
                <c:pt idx="15">
                  <c:v>89.015000000000001</c:v>
                </c:pt>
                <c:pt idx="16">
                  <c:v>31.215</c:v>
                </c:pt>
                <c:pt idx="17">
                  <c:v>70.784999999999997</c:v>
                </c:pt>
                <c:pt idx="18">
                  <c:v>31.5</c:v>
                </c:pt>
                <c:pt idx="19">
                  <c:v>52.54</c:v>
                </c:pt>
                <c:pt idx="20">
                  <c:v>115.6470452179948</c:v>
                </c:pt>
                <c:pt idx="21">
                  <c:v>29.7684675</c:v>
                </c:pt>
                <c:pt idx="22">
                  <c:v>89.45</c:v>
                </c:pt>
                <c:pt idx="23">
                  <c:v>52.45</c:v>
                </c:pt>
                <c:pt idx="24">
                  <c:v>44.924999999999997</c:v>
                </c:pt>
                <c:pt idx="25">
                  <c:v>67.554765000000003</c:v>
                </c:pt>
                <c:pt idx="26">
                  <c:v>99.305000000000007</c:v>
                </c:pt>
                <c:pt idx="27">
                  <c:v>77.069999999999993</c:v>
                </c:pt>
                <c:pt idx="29">
                  <c:v>36.085000000000001</c:v>
                </c:pt>
                <c:pt idx="30">
                  <c:v>189.375</c:v>
                </c:pt>
                <c:pt idx="31">
                  <c:v>52.98</c:v>
                </c:pt>
                <c:pt idx="32">
                  <c:v>48.674999999999997</c:v>
                </c:pt>
                <c:pt idx="33">
                  <c:v>97.013069999999999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E1C-A3D3-3470D7FD0DA9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7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cells'!$J$87:$J$108</c:f>
              <c:numCache>
                <c:formatCode>General</c:formatCode>
                <c:ptCount val="22"/>
                <c:pt idx="0">
                  <c:v>16.5</c:v>
                </c:pt>
                <c:pt idx="1">
                  <c:v>16.05</c:v>
                </c:pt>
                <c:pt idx="2">
                  <c:v>16.100000000000001</c:v>
                </c:pt>
                <c:pt idx="3">
                  <c:v>16.149999999999999</c:v>
                </c:pt>
                <c:pt idx="4">
                  <c:v>16.2</c:v>
                </c:pt>
                <c:pt idx="5">
                  <c:v>16.25</c:v>
                </c:pt>
                <c:pt idx="6">
                  <c:v>16.3</c:v>
                </c:pt>
                <c:pt idx="7">
                  <c:v>16.350000000000001</c:v>
                </c:pt>
                <c:pt idx="8">
                  <c:v>16.399999999999999</c:v>
                </c:pt>
                <c:pt idx="9">
                  <c:v>16.45</c:v>
                </c:pt>
                <c:pt idx="10">
                  <c:v>16.5</c:v>
                </c:pt>
                <c:pt idx="11">
                  <c:v>16.55</c:v>
                </c:pt>
                <c:pt idx="12">
                  <c:v>16.600000000000001</c:v>
                </c:pt>
                <c:pt idx="13">
                  <c:v>16.649999999999999</c:v>
                </c:pt>
                <c:pt idx="14">
                  <c:v>16.7</c:v>
                </c:pt>
                <c:pt idx="15">
                  <c:v>16.75</c:v>
                </c:pt>
                <c:pt idx="16">
                  <c:v>16.8</c:v>
                </c:pt>
                <c:pt idx="17">
                  <c:v>16.850000000000001</c:v>
                </c:pt>
                <c:pt idx="18">
                  <c:v>16.899999999999999</c:v>
                </c:pt>
                <c:pt idx="19">
                  <c:v>16.95</c:v>
                </c:pt>
                <c:pt idx="20">
                  <c:v>17</c:v>
                </c:pt>
              </c:numCache>
            </c:numRef>
          </c:xVal>
          <c:yVal>
            <c:numRef>
              <c:f>'All cells'!$AA$87:$AA$107</c:f>
              <c:numCache>
                <c:formatCode>General</c:formatCode>
                <c:ptCount val="21"/>
                <c:pt idx="2">
                  <c:v>79.696700000000007</c:v>
                </c:pt>
                <c:pt idx="3">
                  <c:v>83.165000000000006</c:v>
                </c:pt>
                <c:pt idx="4">
                  <c:v>41.376421499999999</c:v>
                </c:pt>
                <c:pt idx="5">
                  <c:v>66</c:v>
                </c:pt>
                <c:pt idx="6">
                  <c:v>75.837270000000004</c:v>
                </c:pt>
                <c:pt idx="7">
                  <c:v>136</c:v>
                </c:pt>
                <c:pt idx="8">
                  <c:v>22.17</c:v>
                </c:pt>
                <c:pt idx="9">
                  <c:v>67.34</c:v>
                </c:pt>
                <c:pt idx="10">
                  <c:v>136.99</c:v>
                </c:pt>
                <c:pt idx="11">
                  <c:v>112.5</c:v>
                </c:pt>
                <c:pt idx="13">
                  <c:v>138.5</c:v>
                </c:pt>
                <c:pt idx="14">
                  <c:v>87.67</c:v>
                </c:pt>
                <c:pt idx="15">
                  <c:v>54.99</c:v>
                </c:pt>
                <c:pt idx="16">
                  <c:v>41.83</c:v>
                </c:pt>
                <c:pt idx="17">
                  <c:v>67.22</c:v>
                </c:pt>
                <c:pt idx="18">
                  <c:v>100.36499999999999</c:v>
                </c:pt>
                <c:pt idx="19">
                  <c:v>47.484999999999999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E1C-A3D3-3470D7FD0DA9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cells'!$AR$39:$AR$73</c:f>
              <c:numCache>
                <c:formatCode>General</c:formatCode>
                <c:ptCount val="35"/>
                <c:pt idx="0">
                  <c:v>12.5</c:v>
                </c:pt>
                <c:pt idx="1">
                  <c:v>12.05</c:v>
                </c:pt>
                <c:pt idx="2">
                  <c:v>12.1</c:v>
                </c:pt>
                <c:pt idx="3">
                  <c:v>12.15</c:v>
                </c:pt>
                <c:pt idx="4">
                  <c:v>12.2</c:v>
                </c:pt>
                <c:pt idx="5">
                  <c:v>12.25</c:v>
                </c:pt>
                <c:pt idx="6">
                  <c:v>12.3</c:v>
                </c:pt>
                <c:pt idx="7">
                  <c:v>12.35</c:v>
                </c:pt>
                <c:pt idx="8">
                  <c:v>12.4</c:v>
                </c:pt>
                <c:pt idx="9">
                  <c:v>12.45</c:v>
                </c:pt>
                <c:pt idx="10">
                  <c:v>12.5</c:v>
                </c:pt>
                <c:pt idx="11">
                  <c:v>12.55</c:v>
                </c:pt>
                <c:pt idx="12">
                  <c:v>12.6</c:v>
                </c:pt>
                <c:pt idx="13">
                  <c:v>12.65</c:v>
                </c:pt>
                <c:pt idx="14">
                  <c:v>12.7</c:v>
                </c:pt>
                <c:pt idx="15">
                  <c:v>12.75</c:v>
                </c:pt>
                <c:pt idx="16">
                  <c:v>12.8</c:v>
                </c:pt>
                <c:pt idx="17">
                  <c:v>12.9</c:v>
                </c:pt>
                <c:pt idx="18">
                  <c:v>12.95</c:v>
                </c:pt>
                <c:pt idx="19">
                  <c:v>13</c:v>
                </c:pt>
                <c:pt idx="20">
                  <c:v>13.05</c:v>
                </c:pt>
                <c:pt idx="21">
                  <c:v>13.1</c:v>
                </c:pt>
                <c:pt idx="22">
                  <c:v>13.15</c:v>
                </c:pt>
                <c:pt idx="23">
                  <c:v>13.2</c:v>
                </c:pt>
                <c:pt idx="24">
                  <c:v>13.25</c:v>
                </c:pt>
                <c:pt idx="25">
                  <c:v>13.3</c:v>
                </c:pt>
                <c:pt idx="26">
                  <c:v>13.35</c:v>
                </c:pt>
                <c:pt idx="27">
                  <c:v>13.4</c:v>
                </c:pt>
                <c:pt idx="28">
                  <c:v>13.45</c:v>
                </c:pt>
                <c:pt idx="29">
                  <c:v>13.5</c:v>
                </c:pt>
                <c:pt idx="30">
                  <c:v>13.6</c:v>
                </c:pt>
                <c:pt idx="31">
                  <c:v>13.65</c:v>
                </c:pt>
                <c:pt idx="32">
                  <c:v>13.7</c:v>
                </c:pt>
                <c:pt idx="33">
                  <c:v>13.75</c:v>
                </c:pt>
                <c:pt idx="34">
                  <c:v>13.8</c:v>
                </c:pt>
              </c:numCache>
            </c:numRef>
          </c:xVal>
          <c:yVal>
            <c:numRef>
              <c:f>'All cells'!$BI$39:$BI$75</c:f>
              <c:numCache>
                <c:formatCode>General</c:formatCode>
                <c:ptCount val="37"/>
                <c:pt idx="16">
                  <c:v>137</c:v>
                </c:pt>
                <c:pt idx="17">
                  <c:v>45.784999999999997</c:v>
                </c:pt>
                <c:pt idx="18">
                  <c:v>16.649999999999999</c:v>
                </c:pt>
                <c:pt idx="19">
                  <c:v>67.23</c:v>
                </c:pt>
                <c:pt idx="20">
                  <c:v>52.54</c:v>
                </c:pt>
                <c:pt idx="21">
                  <c:v>62.534999999999997</c:v>
                </c:pt>
                <c:pt idx="22">
                  <c:v>55</c:v>
                </c:pt>
                <c:pt idx="23">
                  <c:v>80.405000000000001</c:v>
                </c:pt>
                <c:pt idx="24">
                  <c:v>52.922939999999997</c:v>
                </c:pt>
                <c:pt idx="25">
                  <c:v>57.832054999999997</c:v>
                </c:pt>
                <c:pt idx="26">
                  <c:v>48.101732499999997</c:v>
                </c:pt>
                <c:pt idx="27">
                  <c:v>67.772390000000001</c:v>
                </c:pt>
                <c:pt idx="28">
                  <c:v>64.417180000000002</c:v>
                </c:pt>
                <c:pt idx="29">
                  <c:v>40.18</c:v>
                </c:pt>
                <c:pt idx="30">
                  <c:v>31.605562500000001</c:v>
                </c:pt>
                <c:pt idx="31">
                  <c:v>41.884999999999998</c:v>
                </c:pt>
                <c:pt idx="32">
                  <c:v>47.975000000000001</c:v>
                </c:pt>
                <c:pt idx="33">
                  <c:v>59.204999999999998</c:v>
                </c:pt>
                <c:pt idx="34">
                  <c:v>49.905000000000001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56C-BEB8-65ED684416C2}"/>
            </c:ext>
          </c:extLst>
        </c:ser>
        <c:ser>
          <c:idx val="4"/>
          <c:order val="5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cells'!$AA$34,'All cells'!$BI$25,'All cells'!$AA$81,'All cells'!$BI$79,'All cells'!$AA$113)</c:f>
                <c:numCache>
                  <c:formatCode>General</c:formatCode>
                  <c:ptCount val="5"/>
                  <c:pt idx="0">
                    <c:v>20.808694845761018</c:v>
                  </c:pt>
                  <c:pt idx="1">
                    <c:v>20.242186886456064</c:v>
                  </c:pt>
                  <c:pt idx="2">
                    <c:v>31.160877276609142</c:v>
                  </c:pt>
                  <c:pt idx="3">
                    <c:v>24.060648423480362</c:v>
                  </c:pt>
                  <c:pt idx="4">
                    <c:v>35.230210517470972</c:v>
                  </c:pt>
                </c:numCache>
              </c:numRef>
            </c:plus>
            <c:minus>
              <c:numRef>
                <c:f>('All cells'!$AA$34,'All cells'!$BI$25,'All cells'!$AA$81,'All cells'!$BI$79,'All cells'!$AA$113)</c:f>
                <c:numCache>
                  <c:formatCode>General</c:formatCode>
                  <c:ptCount val="5"/>
                  <c:pt idx="0">
                    <c:v>20.808694845761018</c:v>
                  </c:pt>
                  <c:pt idx="1">
                    <c:v>20.242186886456064</c:v>
                  </c:pt>
                  <c:pt idx="2">
                    <c:v>31.160877276609142</c:v>
                  </c:pt>
                  <c:pt idx="3">
                    <c:v>24.060648423480362</c:v>
                  </c:pt>
                  <c:pt idx="4">
                    <c:v>35.230210517470972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('All cells'!$J$2,'All cells'!$AR$11,'All cells'!$J$39,'All cells'!$AR$39,'All cells'!$J$87)</c:f>
              <c:numCache>
                <c:formatCode>General</c:formatCode>
                <c:ptCount val="5"/>
                <c:pt idx="0">
                  <c:v>3.5</c:v>
                </c:pt>
                <c:pt idx="1">
                  <c:v>6.5</c:v>
                </c:pt>
                <c:pt idx="2">
                  <c:v>9.5</c:v>
                </c:pt>
                <c:pt idx="3">
                  <c:v>12.5</c:v>
                </c:pt>
                <c:pt idx="4">
                  <c:v>16.5</c:v>
                </c:pt>
              </c:numCache>
            </c:numRef>
          </c:xVal>
          <c:yVal>
            <c:numRef>
              <c:f>('All cells'!$AA$33,'All cells'!$BI$24,'All cells'!$AA$80,'All cells'!$BI$78,'All cells'!$AA$112)</c:f>
              <c:numCache>
                <c:formatCode>General</c:formatCode>
                <c:ptCount val="5"/>
                <c:pt idx="0">
                  <c:v>73.446325681818195</c:v>
                </c:pt>
                <c:pt idx="1">
                  <c:v>77.659803529411761</c:v>
                </c:pt>
                <c:pt idx="2">
                  <c:v>74.54968322466641</c:v>
                </c:pt>
                <c:pt idx="3">
                  <c:v>56.786676842105265</c:v>
                </c:pt>
                <c:pt idx="4">
                  <c:v>79.949140676470591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E-452D-A84F-8EACE8E7913C}"/>
            </c:ext>
          </c:extLst>
        </c:ser>
        <c:ser>
          <c:idx val="6"/>
          <c:order val="6"/>
          <c:tx>
            <c:v>Cervical mature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40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cells'!$AR$82:$AR$103</c:f>
              <c:numCache>
                <c:formatCode>General</c:formatCode>
                <c:ptCount val="22"/>
                <c:pt idx="0">
                  <c:v>19</c:v>
                </c:pt>
                <c:pt idx="1">
                  <c:v>19.05</c:v>
                </c:pt>
                <c:pt idx="2">
                  <c:v>19.100000000000001</c:v>
                </c:pt>
                <c:pt idx="3">
                  <c:v>19.149999999999999</c:v>
                </c:pt>
                <c:pt idx="4">
                  <c:v>19.2</c:v>
                </c:pt>
                <c:pt idx="5">
                  <c:v>19.25</c:v>
                </c:pt>
                <c:pt idx="6">
                  <c:v>19.3</c:v>
                </c:pt>
                <c:pt idx="7">
                  <c:v>19.350000000000001</c:v>
                </c:pt>
                <c:pt idx="8">
                  <c:v>19.399999999999999</c:v>
                </c:pt>
                <c:pt idx="9">
                  <c:v>19.45</c:v>
                </c:pt>
                <c:pt idx="10">
                  <c:v>19.5</c:v>
                </c:pt>
                <c:pt idx="11">
                  <c:v>19.55</c:v>
                </c:pt>
                <c:pt idx="12">
                  <c:v>19.600000000000001</c:v>
                </c:pt>
                <c:pt idx="13">
                  <c:v>19.649999999999999</c:v>
                </c:pt>
                <c:pt idx="14">
                  <c:v>19.7</c:v>
                </c:pt>
                <c:pt idx="15">
                  <c:v>19.75</c:v>
                </c:pt>
                <c:pt idx="16">
                  <c:v>19.8</c:v>
                </c:pt>
                <c:pt idx="17">
                  <c:v>19.850000000000001</c:v>
                </c:pt>
                <c:pt idx="18">
                  <c:v>19.899999999999999</c:v>
                </c:pt>
                <c:pt idx="19">
                  <c:v>19.95</c:v>
                </c:pt>
              </c:numCache>
            </c:numRef>
          </c:xVal>
          <c:yVal>
            <c:numRef>
              <c:f>'All cells'!$BI$82:$BI$103</c:f>
              <c:numCache>
                <c:formatCode>General</c:formatCode>
                <c:ptCount val="22"/>
                <c:pt idx="0">
                  <c:v>76.481480000000005</c:v>
                </c:pt>
                <c:pt idx="1">
                  <c:v>56.937939999999998</c:v>
                </c:pt>
                <c:pt idx="2">
                  <c:v>43.382353000000002</c:v>
                </c:pt>
                <c:pt idx="3">
                  <c:v>35.347043499999998</c:v>
                </c:pt>
                <c:pt idx="4">
                  <c:v>59.603614999999998</c:v>
                </c:pt>
                <c:pt idx="5">
                  <c:v>50.24</c:v>
                </c:pt>
                <c:pt idx="6">
                  <c:v>76.037615000000002</c:v>
                </c:pt>
                <c:pt idx="7">
                  <c:v>50.01</c:v>
                </c:pt>
                <c:pt idx="8">
                  <c:v>60.221870000000003</c:v>
                </c:pt>
                <c:pt idx="9">
                  <c:v>47.608454000000002</c:v>
                </c:pt>
                <c:pt idx="10">
                  <c:v>75.368650000000002</c:v>
                </c:pt>
                <c:pt idx="11">
                  <c:v>54.15</c:v>
                </c:pt>
                <c:pt idx="12">
                  <c:v>61.991349999999997</c:v>
                </c:pt>
                <c:pt idx="13">
                  <c:v>64.694999999999993</c:v>
                </c:pt>
                <c:pt idx="14">
                  <c:v>67.809240000000003</c:v>
                </c:pt>
                <c:pt idx="15">
                  <c:v>48.025455999999998</c:v>
                </c:pt>
                <c:pt idx="16">
                  <c:v>53.791314999999997</c:v>
                </c:pt>
                <c:pt idx="17">
                  <c:v>70.033805000000001</c:v>
                </c:pt>
                <c:pt idx="18">
                  <c:v>39.393939500000002</c:v>
                </c:pt>
                <c:pt idx="19">
                  <c:v>154.73441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3-4109-9002-2E0E696FA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3616"/>
        <c:axId val="925064272"/>
      </c:scatterChart>
      <c:valAx>
        <c:axId val="9250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4272"/>
        <c:crosses val="autoZero"/>
        <c:crossBetween val="midCat"/>
      </c:valAx>
      <c:valAx>
        <c:axId val="92506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mAHP 1/2 Duration  (ms)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1.4413504432223546E-2"/>
              <c:y val="0.3518463440537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cells'!$J$2:$J$24</c:f>
              <c:numCache>
                <c:formatCode>General</c:formatCode>
                <c:ptCount val="23"/>
                <c:pt idx="0">
                  <c:v>3.5</c:v>
                </c:pt>
                <c:pt idx="1">
                  <c:v>3.05</c:v>
                </c:pt>
                <c:pt idx="2">
                  <c:v>3.1</c:v>
                </c:pt>
                <c:pt idx="3">
                  <c:v>3.15</c:v>
                </c:pt>
                <c:pt idx="4">
                  <c:v>3.2</c:v>
                </c:pt>
                <c:pt idx="5">
                  <c:v>3.25</c:v>
                </c:pt>
                <c:pt idx="6">
                  <c:v>3.3</c:v>
                </c:pt>
                <c:pt idx="7">
                  <c:v>3.35</c:v>
                </c:pt>
                <c:pt idx="8">
                  <c:v>3.4</c:v>
                </c:pt>
                <c:pt idx="9">
                  <c:v>3.45</c:v>
                </c:pt>
                <c:pt idx="10">
                  <c:v>3.5</c:v>
                </c:pt>
                <c:pt idx="12">
                  <c:v>3.6</c:v>
                </c:pt>
                <c:pt idx="13">
                  <c:v>3.65</c:v>
                </c:pt>
                <c:pt idx="14">
                  <c:v>3.7</c:v>
                </c:pt>
                <c:pt idx="15">
                  <c:v>3.75</c:v>
                </c:pt>
                <c:pt idx="16">
                  <c:v>3.8</c:v>
                </c:pt>
                <c:pt idx="18">
                  <c:v>3.9</c:v>
                </c:pt>
                <c:pt idx="21">
                  <c:v>4.05</c:v>
                </c:pt>
                <c:pt idx="22">
                  <c:v>4.0999999999999996</c:v>
                </c:pt>
              </c:numCache>
            </c:numRef>
          </c:xVal>
          <c:yVal>
            <c:numRef>
              <c:f>'All cells'!$Y$2:$Y$24</c:f>
              <c:numCache>
                <c:formatCode>General</c:formatCode>
                <c:ptCount val="23"/>
                <c:pt idx="0">
                  <c:v>25</c:v>
                </c:pt>
                <c:pt idx="1">
                  <c:v>18.399999999999999</c:v>
                </c:pt>
                <c:pt idx="2">
                  <c:v>25.757575760000002</c:v>
                </c:pt>
                <c:pt idx="3">
                  <c:v>18.18181818181818</c:v>
                </c:pt>
                <c:pt idx="4">
                  <c:v>17.27272727272727</c:v>
                </c:pt>
                <c:pt idx="5">
                  <c:v>23.75</c:v>
                </c:pt>
                <c:pt idx="6">
                  <c:v>21.538461538461537</c:v>
                </c:pt>
                <c:pt idx="7">
                  <c:v>23.333333329999999</c:v>
                </c:pt>
                <c:pt idx="8">
                  <c:v>15.65217391</c:v>
                </c:pt>
                <c:pt idx="9">
                  <c:v>23.15789474</c:v>
                </c:pt>
                <c:pt idx="10">
                  <c:v>37.142857139999997</c:v>
                </c:pt>
                <c:pt idx="12">
                  <c:v>16.19047619047619</c:v>
                </c:pt>
                <c:pt idx="13">
                  <c:v>17.777777777777779</c:v>
                </c:pt>
                <c:pt idx="14">
                  <c:v>10.588235294117647</c:v>
                </c:pt>
                <c:pt idx="15">
                  <c:v>16.923076923076923</c:v>
                </c:pt>
                <c:pt idx="16">
                  <c:v>16.363636363636363</c:v>
                </c:pt>
                <c:pt idx="18">
                  <c:v>44</c:v>
                </c:pt>
                <c:pt idx="21">
                  <c:v>21.666666666666668</c:v>
                </c:pt>
                <c:pt idx="2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E1C-A3D3-3470D7FD0DA9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cells'!$AR$2:$AR$18</c:f>
              <c:numCache>
                <c:formatCode>General</c:formatCode>
                <c:ptCount val="17"/>
                <c:pt idx="0">
                  <c:v>6.05</c:v>
                </c:pt>
                <c:pt idx="1">
                  <c:v>6.1</c:v>
                </c:pt>
                <c:pt idx="2">
                  <c:v>6.15</c:v>
                </c:pt>
                <c:pt idx="3">
                  <c:v>6.2</c:v>
                </c:pt>
                <c:pt idx="4">
                  <c:v>6.25</c:v>
                </c:pt>
                <c:pt idx="5">
                  <c:v>6.3</c:v>
                </c:pt>
                <c:pt idx="6">
                  <c:v>6.35</c:v>
                </c:pt>
                <c:pt idx="7">
                  <c:v>6.4</c:v>
                </c:pt>
                <c:pt idx="8">
                  <c:v>6.45</c:v>
                </c:pt>
                <c:pt idx="9">
                  <c:v>6.5</c:v>
                </c:pt>
                <c:pt idx="10">
                  <c:v>6.55</c:v>
                </c:pt>
                <c:pt idx="11">
                  <c:v>6.6</c:v>
                </c:pt>
                <c:pt idx="12">
                  <c:v>6.65</c:v>
                </c:pt>
                <c:pt idx="13">
                  <c:v>6.7</c:v>
                </c:pt>
                <c:pt idx="14">
                  <c:v>6.75</c:v>
                </c:pt>
                <c:pt idx="15">
                  <c:v>6.8</c:v>
                </c:pt>
                <c:pt idx="16">
                  <c:v>6.85</c:v>
                </c:pt>
              </c:numCache>
            </c:numRef>
          </c:xVal>
          <c:yVal>
            <c:numRef>
              <c:f>'All cells'!$BG$2:$BG$20</c:f>
              <c:numCache>
                <c:formatCode>General</c:formatCode>
                <c:ptCount val="19"/>
                <c:pt idx="0">
                  <c:v>23.75</c:v>
                </c:pt>
                <c:pt idx="1">
                  <c:v>15.454545454545455</c:v>
                </c:pt>
                <c:pt idx="2">
                  <c:v>28.333333333333332</c:v>
                </c:pt>
                <c:pt idx="3">
                  <c:v>17.552239233490404</c:v>
                </c:pt>
                <c:pt idx="4">
                  <c:v>36.666666666666664</c:v>
                </c:pt>
                <c:pt idx="5">
                  <c:v>31.111111111111111</c:v>
                </c:pt>
                <c:pt idx="6">
                  <c:v>28.888888888888889</c:v>
                </c:pt>
                <c:pt idx="7">
                  <c:v>32</c:v>
                </c:pt>
                <c:pt idx="8">
                  <c:v>16.666666666666668</c:v>
                </c:pt>
                <c:pt idx="9">
                  <c:v>21.666666666666668</c:v>
                </c:pt>
                <c:pt idx="10">
                  <c:v>16.111111111111111</c:v>
                </c:pt>
                <c:pt idx="11">
                  <c:v>20</c:v>
                </c:pt>
                <c:pt idx="12">
                  <c:v>20.90909090909091</c:v>
                </c:pt>
                <c:pt idx="13">
                  <c:v>35</c:v>
                </c:pt>
                <c:pt idx="14">
                  <c:v>15</c:v>
                </c:pt>
                <c:pt idx="15">
                  <c:v>18.18181818181818</c:v>
                </c:pt>
                <c:pt idx="16">
                  <c:v>19.285714285714285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D-4EE6-B8F5-A2E8D5131022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cells'!$J$39:$J$64</c:f>
              <c:numCache>
                <c:formatCode>General</c:formatCode>
                <c:ptCount val="26"/>
                <c:pt idx="0">
                  <c:v>9.5</c:v>
                </c:pt>
                <c:pt idx="1">
                  <c:v>9.0500000000000007</c:v>
                </c:pt>
                <c:pt idx="2">
                  <c:v>9.1</c:v>
                </c:pt>
                <c:pt idx="3">
                  <c:v>9.15</c:v>
                </c:pt>
                <c:pt idx="4">
                  <c:v>9.1999999999999993</c:v>
                </c:pt>
                <c:pt idx="5">
                  <c:v>9.25</c:v>
                </c:pt>
                <c:pt idx="6">
                  <c:v>9.3000000000000007</c:v>
                </c:pt>
                <c:pt idx="7">
                  <c:v>9.3499999999999908</c:v>
                </c:pt>
                <c:pt idx="8">
                  <c:v>9.3999999999999897</c:v>
                </c:pt>
                <c:pt idx="9">
                  <c:v>9.4499999999999904</c:v>
                </c:pt>
                <c:pt idx="10">
                  <c:v>9.4999999999999893</c:v>
                </c:pt>
                <c:pt idx="11">
                  <c:v>9.5499999999999901</c:v>
                </c:pt>
                <c:pt idx="12">
                  <c:v>9.5999999999999908</c:v>
                </c:pt>
                <c:pt idx="13">
                  <c:v>9.6499999999999897</c:v>
                </c:pt>
                <c:pt idx="14">
                  <c:v>9.6999999999999904</c:v>
                </c:pt>
                <c:pt idx="15">
                  <c:v>9.7499999999999893</c:v>
                </c:pt>
                <c:pt idx="16">
                  <c:v>9.7999999999999794</c:v>
                </c:pt>
                <c:pt idx="17">
                  <c:v>9.8499999999999801</c:v>
                </c:pt>
                <c:pt idx="18">
                  <c:v>9.8999999999999808</c:v>
                </c:pt>
                <c:pt idx="19">
                  <c:v>9.9499999999999797</c:v>
                </c:pt>
                <c:pt idx="20">
                  <c:v>9.9999999999999805</c:v>
                </c:pt>
                <c:pt idx="21">
                  <c:v>10.050000000000001</c:v>
                </c:pt>
                <c:pt idx="22">
                  <c:v>10.1</c:v>
                </c:pt>
                <c:pt idx="23">
                  <c:v>10.15</c:v>
                </c:pt>
                <c:pt idx="24">
                  <c:v>10.199999999999999</c:v>
                </c:pt>
                <c:pt idx="25">
                  <c:v>10.25</c:v>
                </c:pt>
              </c:numCache>
            </c:numRef>
          </c:xVal>
          <c:yVal>
            <c:numRef>
              <c:f>'All cells'!$Y$39:$Y$64</c:f>
              <c:numCache>
                <c:formatCode>General</c:formatCode>
                <c:ptCount val="26"/>
                <c:pt idx="0">
                  <c:v>11.515151515151516</c:v>
                </c:pt>
                <c:pt idx="1">
                  <c:v>13.846153846153847</c:v>
                </c:pt>
                <c:pt idx="2">
                  <c:v>13.33333333</c:v>
                </c:pt>
                <c:pt idx="3">
                  <c:v>15.483870967741938</c:v>
                </c:pt>
                <c:pt idx="4">
                  <c:v>18.974358974358978</c:v>
                </c:pt>
                <c:pt idx="5">
                  <c:v>19.310344827586203</c:v>
                </c:pt>
                <c:pt idx="6">
                  <c:v>23.333333333333332</c:v>
                </c:pt>
                <c:pt idx="7">
                  <c:v>25.000000000000007</c:v>
                </c:pt>
                <c:pt idx="8">
                  <c:v>19.130434782608777</c:v>
                </c:pt>
                <c:pt idx="9">
                  <c:v>13</c:v>
                </c:pt>
                <c:pt idx="10">
                  <c:v>1.3894119819908912</c:v>
                </c:pt>
                <c:pt idx="11">
                  <c:v>12.2727272727273</c:v>
                </c:pt>
                <c:pt idx="12">
                  <c:v>18.518518518518519</c:v>
                </c:pt>
                <c:pt idx="13">
                  <c:v>25</c:v>
                </c:pt>
                <c:pt idx="14">
                  <c:v>15</c:v>
                </c:pt>
                <c:pt idx="15">
                  <c:v>20</c:v>
                </c:pt>
                <c:pt idx="16">
                  <c:v>12.5</c:v>
                </c:pt>
                <c:pt idx="17">
                  <c:v>18.461538461538463</c:v>
                </c:pt>
                <c:pt idx="18">
                  <c:v>28</c:v>
                </c:pt>
                <c:pt idx="19">
                  <c:v>15.555555555555555</c:v>
                </c:pt>
                <c:pt idx="20">
                  <c:v>16.25</c:v>
                </c:pt>
                <c:pt idx="21">
                  <c:v>31.428571428571431</c:v>
                </c:pt>
                <c:pt idx="22">
                  <c:v>21.428571428571427</c:v>
                </c:pt>
                <c:pt idx="23">
                  <c:v>17.272727272727273</c:v>
                </c:pt>
                <c:pt idx="24">
                  <c:v>15.454545454545455</c:v>
                </c:pt>
                <c:pt idx="25">
                  <c:v>16.666666666666668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E1C-A3D3-3470D7FD0DA9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alpha val="27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cells'!$J$87:$J$110</c:f>
              <c:numCache>
                <c:formatCode>General</c:formatCode>
                <c:ptCount val="24"/>
                <c:pt idx="0">
                  <c:v>16.5</c:v>
                </c:pt>
                <c:pt idx="1">
                  <c:v>16.05</c:v>
                </c:pt>
                <c:pt idx="2">
                  <c:v>16.100000000000001</c:v>
                </c:pt>
                <c:pt idx="3">
                  <c:v>16.149999999999999</c:v>
                </c:pt>
                <c:pt idx="4">
                  <c:v>16.2</c:v>
                </c:pt>
                <c:pt idx="5">
                  <c:v>16.25</c:v>
                </c:pt>
                <c:pt idx="6">
                  <c:v>16.3</c:v>
                </c:pt>
                <c:pt idx="7">
                  <c:v>16.350000000000001</c:v>
                </c:pt>
                <c:pt idx="8">
                  <c:v>16.399999999999999</c:v>
                </c:pt>
                <c:pt idx="9">
                  <c:v>16.45</c:v>
                </c:pt>
                <c:pt idx="10">
                  <c:v>16.5</c:v>
                </c:pt>
                <c:pt idx="11">
                  <c:v>16.55</c:v>
                </c:pt>
                <c:pt idx="12">
                  <c:v>16.600000000000001</c:v>
                </c:pt>
                <c:pt idx="13">
                  <c:v>16.649999999999999</c:v>
                </c:pt>
                <c:pt idx="14">
                  <c:v>16.7</c:v>
                </c:pt>
                <c:pt idx="15">
                  <c:v>16.75</c:v>
                </c:pt>
                <c:pt idx="16">
                  <c:v>16.8</c:v>
                </c:pt>
                <c:pt idx="17">
                  <c:v>16.850000000000001</c:v>
                </c:pt>
                <c:pt idx="18">
                  <c:v>16.899999999999999</c:v>
                </c:pt>
                <c:pt idx="19">
                  <c:v>16.95</c:v>
                </c:pt>
                <c:pt idx="20">
                  <c:v>17</c:v>
                </c:pt>
              </c:numCache>
            </c:numRef>
          </c:xVal>
          <c:yVal>
            <c:numRef>
              <c:f>'All cells'!$Y$87:$Y$110</c:f>
              <c:numCache>
                <c:formatCode>General</c:formatCode>
                <c:ptCount val="24"/>
                <c:pt idx="0">
                  <c:v>17.89473684210526</c:v>
                </c:pt>
                <c:pt idx="1">
                  <c:v>3.75</c:v>
                </c:pt>
                <c:pt idx="2">
                  <c:v>20</c:v>
                </c:pt>
                <c:pt idx="3">
                  <c:v>9.375</c:v>
                </c:pt>
                <c:pt idx="4">
                  <c:v>14.666666666666666</c:v>
                </c:pt>
                <c:pt idx="5">
                  <c:v>5.5882352941176476</c:v>
                </c:pt>
                <c:pt idx="6">
                  <c:v>10</c:v>
                </c:pt>
                <c:pt idx="7">
                  <c:v>7.8260869565217401</c:v>
                </c:pt>
                <c:pt idx="8">
                  <c:v>18.095238095238095</c:v>
                </c:pt>
                <c:pt idx="9">
                  <c:v>12.727272727272728</c:v>
                </c:pt>
                <c:pt idx="10">
                  <c:v>16.315789473684209</c:v>
                </c:pt>
                <c:pt idx="11">
                  <c:v>7.3684210526315788</c:v>
                </c:pt>
                <c:pt idx="12">
                  <c:v>23.448275862068964</c:v>
                </c:pt>
                <c:pt idx="13">
                  <c:v>19.230769230769234</c:v>
                </c:pt>
                <c:pt idx="14">
                  <c:v>7.2727272727272725</c:v>
                </c:pt>
                <c:pt idx="15">
                  <c:v>5.3571428571428568</c:v>
                </c:pt>
                <c:pt idx="16">
                  <c:v>12.5</c:v>
                </c:pt>
                <c:pt idx="17">
                  <c:v>11.818181818181818</c:v>
                </c:pt>
                <c:pt idx="18">
                  <c:v>3.75</c:v>
                </c:pt>
                <c:pt idx="19">
                  <c:v>4.6875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E1C-A3D3-3470D7FD0DA9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cells'!$AR$39:$AR$62</c:f>
              <c:numCache>
                <c:formatCode>General</c:formatCode>
                <c:ptCount val="24"/>
                <c:pt idx="0">
                  <c:v>12.5</c:v>
                </c:pt>
                <c:pt idx="1">
                  <c:v>12.05</c:v>
                </c:pt>
                <c:pt idx="2">
                  <c:v>12.1</c:v>
                </c:pt>
                <c:pt idx="3">
                  <c:v>12.15</c:v>
                </c:pt>
                <c:pt idx="4">
                  <c:v>12.2</c:v>
                </c:pt>
                <c:pt idx="5">
                  <c:v>12.25</c:v>
                </c:pt>
                <c:pt idx="6">
                  <c:v>12.3</c:v>
                </c:pt>
                <c:pt idx="7">
                  <c:v>12.35</c:v>
                </c:pt>
                <c:pt idx="8">
                  <c:v>12.4</c:v>
                </c:pt>
                <c:pt idx="9">
                  <c:v>12.45</c:v>
                </c:pt>
                <c:pt idx="10">
                  <c:v>12.5</c:v>
                </c:pt>
                <c:pt idx="11">
                  <c:v>12.55</c:v>
                </c:pt>
                <c:pt idx="12">
                  <c:v>12.6</c:v>
                </c:pt>
                <c:pt idx="13">
                  <c:v>12.65</c:v>
                </c:pt>
                <c:pt idx="14">
                  <c:v>12.7</c:v>
                </c:pt>
                <c:pt idx="15">
                  <c:v>12.75</c:v>
                </c:pt>
                <c:pt idx="16">
                  <c:v>12.8</c:v>
                </c:pt>
                <c:pt idx="17">
                  <c:v>12.9</c:v>
                </c:pt>
                <c:pt idx="18">
                  <c:v>12.95</c:v>
                </c:pt>
                <c:pt idx="19">
                  <c:v>13</c:v>
                </c:pt>
                <c:pt idx="20">
                  <c:v>13.05</c:v>
                </c:pt>
                <c:pt idx="21">
                  <c:v>13.1</c:v>
                </c:pt>
                <c:pt idx="22">
                  <c:v>13.15</c:v>
                </c:pt>
                <c:pt idx="23">
                  <c:v>13.2</c:v>
                </c:pt>
              </c:numCache>
            </c:numRef>
          </c:xVal>
          <c:yVal>
            <c:numRef>
              <c:f>'All cells'!$BG$39:$BG$62</c:f>
              <c:numCache>
                <c:formatCode>General</c:formatCode>
                <c:ptCount val="24"/>
                <c:pt idx="0">
                  <c:v>14.375000000000002</c:v>
                </c:pt>
                <c:pt idx="1">
                  <c:v>24.166666666666668</c:v>
                </c:pt>
                <c:pt idx="2">
                  <c:v>15.238095238095237</c:v>
                </c:pt>
                <c:pt idx="3">
                  <c:v>14.193548387096774</c:v>
                </c:pt>
                <c:pt idx="4">
                  <c:v>15.65217391304348</c:v>
                </c:pt>
                <c:pt idx="5">
                  <c:v>13.461538461538462</c:v>
                </c:pt>
                <c:pt idx="6">
                  <c:v>12.558139534883779</c:v>
                </c:pt>
                <c:pt idx="7">
                  <c:v>7.6190476190476559</c:v>
                </c:pt>
                <c:pt idx="8">
                  <c:v>15.600000000000062</c:v>
                </c:pt>
                <c:pt idx="9">
                  <c:v>10.666666666666666</c:v>
                </c:pt>
                <c:pt idx="10">
                  <c:v>12.432432432432433</c:v>
                </c:pt>
                <c:pt idx="11">
                  <c:v>16.875</c:v>
                </c:pt>
                <c:pt idx="12">
                  <c:v>15.714285714285714</c:v>
                </c:pt>
                <c:pt idx="13">
                  <c:v>10.303030303030303</c:v>
                </c:pt>
                <c:pt idx="14">
                  <c:v>14.615384615384617</c:v>
                </c:pt>
                <c:pt idx="15">
                  <c:v>18.571428571428573</c:v>
                </c:pt>
                <c:pt idx="16">
                  <c:v>18.666666666666668</c:v>
                </c:pt>
                <c:pt idx="17">
                  <c:v>9.7142857142857135</c:v>
                </c:pt>
                <c:pt idx="18">
                  <c:v>11.428571428571429</c:v>
                </c:pt>
                <c:pt idx="19">
                  <c:v>10</c:v>
                </c:pt>
                <c:pt idx="20">
                  <c:v>22</c:v>
                </c:pt>
                <c:pt idx="21">
                  <c:v>20</c:v>
                </c:pt>
                <c:pt idx="22">
                  <c:v>10.526315789473683</c:v>
                </c:pt>
                <c:pt idx="23">
                  <c:v>12.272727272727272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56C-BEB8-65ED684416C2}"/>
            </c:ext>
          </c:extLst>
        </c:ser>
        <c:ser>
          <c:idx val="4"/>
          <c:order val="5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cells'!$Y$34,'All cells'!$BG$25,'All cells'!$Y$81,'All cells'!$BG$79,'All cells'!$Y$113,'All cells'!$BH$105)</c:f>
                <c:numCache>
                  <c:formatCode>General</c:formatCode>
                  <c:ptCount val="6"/>
                  <c:pt idx="0">
                    <c:v>7.9773780653509387</c:v>
                  </c:pt>
                  <c:pt idx="1">
                    <c:v>7.2014064185524207</c:v>
                  </c:pt>
                  <c:pt idx="2">
                    <c:v>6.004684023607755</c:v>
                  </c:pt>
                  <c:pt idx="3">
                    <c:v>4.100382511139439</c:v>
                  </c:pt>
                  <c:pt idx="4">
                    <c:v>6.0230916378501922</c:v>
                  </c:pt>
                  <c:pt idx="5">
                    <c:v>1.3122114269230289</c:v>
                  </c:pt>
                </c:numCache>
              </c:numRef>
            </c:plus>
            <c:minus>
              <c:numRef>
                <c:f>('All cells'!$Y$34,'All cells'!$BG$25,'All cells'!$Y$81,'All cells'!$BG$79,'All cells'!$Y$113,'All cells'!$BH$105)</c:f>
                <c:numCache>
                  <c:formatCode>General</c:formatCode>
                  <c:ptCount val="6"/>
                  <c:pt idx="0">
                    <c:v>7.9773780653509387</c:v>
                  </c:pt>
                  <c:pt idx="1">
                    <c:v>7.2014064185524207</c:v>
                  </c:pt>
                  <c:pt idx="2">
                    <c:v>6.004684023607755</c:v>
                  </c:pt>
                  <c:pt idx="3">
                    <c:v>4.100382511139439</c:v>
                  </c:pt>
                  <c:pt idx="4">
                    <c:v>6.0230916378501922</c:v>
                  </c:pt>
                  <c:pt idx="5">
                    <c:v>1.3122114269230289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('All cells'!$J$2,'All cells'!$AR$2,'All cells'!$J$39,'All cells'!$AR$39,'All cells'!$J$87,'All cells'!$AR$82)</c:f>
              <c:numCache>
                <c:formatCode>General</c:formatCode>
                <c:ptCount val="6"/>
                <c:pt idx="0">
                  <c:v>3.5</c:v>
                </c:pt>
                <c:pt idx="1">
                  <c:v>6.05</c:v>
                </c:pt>
                <c:pt idx="2">
                  <c:v>9.5</c:v>
                </c:pt>
                <c:pt idx="3">
                  <c:v>12.5</c:v>
                </c:pt>
                <c:pt idx="4">
                  <c:v>16.5</c:v>
                </c:pt>
                <c:pt idx="5">
                  <c:v>19</c:v>
                </c:pt>
              </c:numCache>
            </c:numRef>
          </c:xVal>
          <c:yVal>
            <c:numRef>
              <c:f>('All cells'!$Y$33,'All cells'!$BG$24,'All cells'!$Y$80,'All cells'!$BG$78,'All cells'!$Y$112,'All cells'!$BH$104)</c:f>
              <c:numCache>
                <c:formatCode>General</c:formatCode>
                <c:ptCount val="6"/>
                <c:pt idx="0">
                  <c:v>26.415154910461322</c:v>
                </c:pt>
                <c:pt idx="1">
                  <c:v>23.328108971123743</c:v>
                </c:pt>
                <c:pt idx="2">
                  <c:v>18.131151439755318</c:v>
                </c:pt>
                <c:pt idx="3">
                  <c:v>13.215136939260374</c:v>
                </c:pt>
                <c:pt idx="4">
                  <c:v>11.583602207456405</c:v>
                </c:pt>
                <c:pt idx="5">
                  <c:v>3.3167499999999999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E-452D-A84F-8EACE8E7913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cells'!$AR$82:$AR$101</c:f>
              <c:numCache>
                <c:formatCode>General</c:formatCode>
                <c:ptCount val="20"/>
                <c:pt idx="0">
                  <c:v>19</c:v>
                </c:pt>
                <c:pt idx="1">
                  <c:v>19.05</c:v>
                </c:pt>
                <c:pt idx="2">
                  <c:v>19.100000000000001</c:v>
                </c:pt>
                <c:pt idx="3">
                  <c:v>19.149999999999999</c:v>
                </c:pt>
                <c:pt idx="4">
                  <c:v>19.2</c:v>
                </c:pt>
                <c:pt idx="5">
                  <c:v>19.25</c:v>
                </c:pt>
                <c:pt idx="6">
                  <c:v>19.3</c:v>
                </c:pt>
                <c:pt idx="7">
                  <c:v>19.350000000000001</c:v>
                </c:pt>
                <c:pt idx="8">
                  <c:v>19.399999999999999</c:v>
                </c:pt>
                <c:pt idx="9">
                  <c:v>19.45</c:v>
                </c:pt>
                <c:pt idx="10">
                  <c:v>19.5</c:v>
                </c:pt>
                <c:pt idx="11">
                  <c:v>19.55</c:v>
                </c:pt>
                <c:pt idx="12">
                  <c:v>19.600000000000001</c:v>
                </c:pt>
                <c:pt idx="13">
                  <c:v>19.649999999999999</c:v>
                </c:pt>
                <c:pt idx="14">
                  <c:v>19.7</c:v>
                </c:pt>
                <c:pt idx="15">
                  <c:v>19.75</c:v>
                </c:pt>
                <c:pt idx="16">
                  <c:v>19.8</c:v>
                </c:pt>
                <c:pt idx="17">
                  <c:v>19.850000000000001</c:v>
                </c:pt>
                <c:pt idx="18">
                  <c:v>19.899999999999999</c:v>
                </c:pt>
                <c:pt idx="19">
                  <c:v>19.95</c:v>
                </c:pt>
              </c:numCache>
            </c:numRef>
          </c:xVal>
          <c:yVal>
            <c:numRef>
              <c:f>'All cells'!$BH$82:$BH$101</c:f>
              <c:numCache>
                <c:formatCode>General</c:formatCode>
                <c:ptCount val="20"/>
                <c:pt idx="0">
                  <c:v>1.7199999999999989</c:v>
                </c:pt>
                <c:pt idx="1">
                  <c:v>4.3499999999999943</c:v>
                </c:pt>
                <c:pt idx="2">
                  <c:v>3.5899999999999892</c:v>
                </c:pt>
                <c:pt idx="3">
                  <c:v>3.4300000000000068</c:v>
                </c:pt>
                <c:pt idx="4">
                  <c:v>4.7959999999999923</c:v>
                </c:pt>
                <c:pt idx="5">
                  <c:v>5.5300000000000011</c:v>
                </c:pt>
                <c:pt idx="6">
                  <c:v>5.4200000000000017</c:v>
                </c:pt>
                <c:pt idx="7">
                  <c:v>1.7199999999999989</c:v>
                </c:pt>
                <c:pt idx="8">
                  <c:v>2.8400000000000034</c:v>
                </c:pt>
                <c:pt idx="9">
                  <c:v>2.8389999999999986</c:v>
                </c:pt>
                <c:pt idx="10">
                  <c:v>2.480000000000004</c:v>
                </c:pt>
                <c:pt idx="11">
                  <c:v>2.9200000000000017</c:v>
                </c:pt>
                <c:pt idx="12">
                  <c:v>3.4099999999999966</c:v>
                </c:pt>
                <c:pt idx="13">
                  <c:v>2.4000000000000057</c:v>
                </c:pt>
                <c:pt idx="14">
                  <c:v>2.1760000000000019</c:v>
                </c:pt>
                <c:pt idx="15">
                  <c:v>5.9900000000000091</c:v>
                </c:pt>
                <c:pt idx="16">
                  <c:v>3.8739999999999952</c:v>
                </c:pt>
                <c:pt idx="17">
                  <c:v>2.2099999999999937</c:v>
                </c:pt>
                <c:pt idx="18">
                  <c:v>2.960000000000008</c:v>
                </c:pt>
                <c:pt idx="19">
                  <c:v>1.6799999999999926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D-46B0-A134-057EC94C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3616"/>
        <c:axId val="925064272"/>
      </c:scatterChart>
      <c:valAx>
        <c:axId val="9250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4272"/>
        <c:crosses val="autoZero"/>
        <c:crossBetween val="midCat"/>
      </c:valAx>
      <c:valAx>
        <c:axId val="92506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  <a:r>
                  <a:rPr lang="en-GB" baseline="0"/>
                  <a:t> (Spikes/nA)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413504432223546E-2"/>
              <c:y val="0.3518463440537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cells'!$J$2:$J$31</c:f>
              <c:numCache>
                <c:formatCode>General</c:formatCode>
                <c:ptCount val="30"/>
                <c:pt idx="0">
                  <c:v>3.5</c:v>
                </c:pt>
                <c:pt idx="1">
                  <c:v>3.05</c:v>
                </c:pt>
                <c:pt idx="2">
                  <c:v>3.1</c:v>
                </c:pt>
                <c:pt idx="3">
                  <c:v>3.15</c:v>
                </c:pt>
                <c:pt idx="4">
                  <c:v>3.2</c:v>
                </c:pt>
                <c:pt idx="5">
                  <c:v>3.25</c:v>
                </c:pt>
                <c:pt idx="6">
                  <c:v>3.3</c:v>
                </c:pt>
                <c:pt idx="7">
                  <c:v>3.35</c:v>
                </c:pt>
                <c:pt idx="8">
                  <c:v>3.4</c:v>
                </c:pt>
                <c:pt idx="9">
                  <c:v>3.45</c:v>
                </c:pt>
                <c:pt idx="10">
                  <c:v>3.5</c:v>
                </c:pt>
                <c:pt idx="12">
                  <c:v>3.6</c:v>
                </c:pt>
                <c:pt idx="13">
                  <c:v>3.65</c:v>
                </c:pt>
                <c:pt idx="14">
                  <c:v>3.7</c:v>
                </c:pt>
                <c:pt idx="15">
                  <c:v>3.75</c:v>
                </c:pt>
                <c:pt idx="16">
                  <c:v>3.8</c:v>
                </c:pt>
                <c:pt idx="18">
                  <c:v>3.9</c:v>
                </c:pt>
                <c:pt idx="21">
                  <c:v>4.05</c:v>
                </c:pt>
                <c:pt idx="22">
                  <c:v>4.0999999999999996</c:v>
                </c:pt>
                <c:pt idx="25">
                  <c:v>3.85</c:v>
                </c:pt>
                <c:pt idx="26">
                  <c:v>3.55</c:v>
                </c:pt>
                <c:pt idx="27">
                  <c:v>3.95</c:v>
                </c:pt>
                <c:pt idx="28">
                  <c:v>4</c:v>
                </c:pt>
              </c:numCache>
            </c:numRef>
          </c:xVal>
          <c:yVal>
            <c:numRef>
              <c:f>'All cells'!$Z$2:$Z$31</c:f>
              <c:numCache>
                <c:formatCode>General</c:formatCode>
                <c:ptCount val="30"/>
                <c:pt idx="0">
                  <c:v>9.0900000000000034</c:v>
                </c:pt>
                <c:pt idx="1">
                  <c:v>6.7099999999999937</c:v>
                </c:pt>
                <c:pt idx="2">
                  <c:v>4.0100000000000051</c:v>
                </c:pt>
                <c:pt idx="3">
                  <c:v>2.3900000000000006</c:v>
                </c:pt>
                <c:pt idx="4">
                  <c:v>5.5500000000000043</c:v>
                </c:pt>
                <c:pt idx="6">
                  <c:v>9.1700000000000017</c:v>
                </c:pt>
                <c:pt idx="7">
                  <c:v>5.6000000000000014</c:v>
                </c:pt>
                <c:pt idx="8">
                  <c:v>5.2659999999999911</c:v>
                </c:pt>
                <c:pt idx="9">
                  <c:v>5.3800000000000026</c:v>
                </c:pt>
                <c:pt idx="10">
                  <c:v>0.56000000000000227</c:v>
                </c:pt>
                <c:pt idx="12">
                  <c:v>5.6000000000000014</c:v>
                </c:pt>
                <c:pt idx="13">
                  <c:v>6.1800000000000068</c:v>
                </c:pt>
                <c:pt idx="14">
                  <c:v>4.32</c:v>
                </c:pt>
                <c:pt idx="15">
                  <c:v>4.9200000000000017</c:v>
                </c:pt>
                <c:pt idx="16">
                  <c:v>4.0600000000000023</c:v>
                </c:pt>
                <c:pt idx="18">
                  <c:v>1.9399999999999977</c:v>
                </c:pt>
                <c:pt idx="21">
                  <c:v>8.8500000000000085</c:v>
                </c:pt>
                <c:pt idx="22">
                  <c:v>10.429999999999993</c:v>
                </c:pt>
                <c:pt idx="25">
                  <c:v>4.5999999999999943</c:v>
                </c:pt>
                <c:pt idx="26">
                  <c:v>3.1700000000000017</c:v>
                </c:pt>
                <c:pt idx="27">
                  <c:v>7.710000000000008</c:v>
                </c:pt>
                <c:pt idx="28">
                  <c:v>8.2400000000000091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E1C-A3D3-3470D7FD0DA9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cells'!$AR$2:$AR$22</c:f>
              <c:numCache>
                <c:formatCode>General</c:formatCode>
                <c:ptCount val="21"/>
                <c:pt idx="0">
                  <c:v>6.05</c:v>
                </c:pt>
                <c:pt idx="1">
                  <c:v>6.1</c:v>
                </c:pt>
                <c:pt idx="2">
                  <c:v>6.15</c:v>
                </c:pt>
                <c:pt idx="3">
                  <c:v>6.2</c:v>
                </c:pt>
                <c:pt idx="4">
                  <c:v>6.25</c:v>
                </c:pt>
                <c:pt idx="5">
                  <c:v>6.3</c:v>
                </c:pt>
                <c:pt idx="6">
                  <c:v>6.35</c:v>
                </c:pt>
                <c:pt idx="7">
                  <c:v>6.4</c:v>
                </c:pt>
                <c:pt idx="8">
                  <c:v>6.45</c:v>
                </c:pt>
                <c:pt idx="9">
                  <c:v>6.5</c:v>
                </c:pt>
                <c:pt idx="10">
                  <c:v>6.55</c:v>
                </c:pt>
                <c:pt idx="11">
                  <c:v>6.6</c:v>
                </c:pt>
                <c:pt idx="12">
                  <c:v>6.65</c:v>
                </c:pt>
                <c:pt idx="13">
                  <c:v>6.7</c:v>
                </c:pt>
                <c:pt idx="14">
                  <c:v>6.75</c:v>
                </c:pt>
                <c:pt idx="15">
                  <c:v>6.8</c:v>
                </c:pt>
                <c:pt idx="16">
                  <c:v>6.85</c:v>
                </c:pt>
                <c:pt idx="17">
                  <c:v>6.9</c:v>
                </c:pt>
                <c:pt idx="18">
                  <c:v>6.95</c:v>
                </c:pt>
                <c:pt idx="19">
                  <c:v>7.0000000000000098</c:v>
                </c:pt>
                <c:pt idx="20">
                  <c:v>7.0500000000000096</c:v>
                </c:pt>
              </c:numCache>
            </c:numRef>
          </c:xVal>
          <c:yVal>
            <c:numRef>
              <c:f>'All cells'!$BH$2:$BH$22</c:f>
              <c:numCache>
                <c:formatCode>General</c:formatCode>
                <c:ptCount val="21"/>
                <c:pt idx="0">
                  <c:v>4.8500000000000085</c:v>
                </c:pt>
                <c:pt idx="1">
                  <c:v>4.8900000000000006</c:v>
                </c:pt>
                <c:pt idx="2">
                  <c:v>2.0889999999999986</c:v>
                </c:pt>
                <c:pt idx="3">
                  <c:v>9.9399999999999977</c:v>
                </c:pt>
                <c:pt idx="4">
                  <c:v>6.5300000000000011</c:v>
                </c:pt>
                <c:pt idx="5">
                  <c:v>4.1670000000000016</c:v>
                </c:pt>
                <c:pt idx="6">
                  <c:v>3.8799999999999955</c:v>
                </c:pt>
                <c:pt idx="7">
                  <c:v>3.2499999999999929</c:v>
                </c:pt>
                <c:pt idx="8">
                  <c:v>7.2740000000000009</c:v>
                </c:pt>
                <c:pt idx="9">
                  <c:v>5.0900000000000034</c:v>
                </c:pt>
                <c:pt idx="10">
                  <c:v>6.7019999999999982</c:v>
                </c:pt>
                <c:pt idx="11">
                  <c:v>4.0869999999999891</c:v>
                </c:pt>
                <c:pt idx="12">
                  <c:v>5.0999999999999943</c:v>
                </c:pt>
                <c:pt idx="13">
                  <c:v>4.5570000000000022</c:v>
                </c:pt>
                <c:pt idx="14">
                  <c:v>8.2999999999999972</c:v>
                </c:pt>
                <c:pt idx="15">
                  <c:v>5.25</c:v>
                </c:pt>
                <c:pt idx="16">
                  <c:v>4.9470000000000027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7-48C4-B95E-59E307AB4CDD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cells'!$J$39:$J$78</c:f>
              <c:numCache>
                <c:formatCode>General</c:formatCode>
                <c:ptCount val="40"/>
                <c:pt idx="0">
                  <c:v>9.5</c:v>
                </c:pt>
                <c:pt idx="1">
                  <c:v>9.0500000000000007</c:v>
                </c:pt>
                <c:pt idx="2">
                  <c:v>9.1</c:v>
                </c:pt>
                <c:pt idx="3">
                  <c:v>9.15</c:v>
                </c:pt>
                <c:pt idx="4">
                  <c:v>9.1999999999999993</c:v>
                </c:pt>
                <c:pt idx="5">
                  <c:v>9.25</c:v>
                </c:pt>
                <c:pt idx="6">
                  <c:v>9.3000000000000007</c:v>
                </c:pt>
                <c:pt idx="7">
                  <c:v>9.3499999999999908</c:v>
                </c:pt>
                <c:pt idx="8">
                  <c:v>9.3999999999999897</c:v>
                </c:pt>
                <c:pt idx="9">
                  <c:v>9.4499999999999904</c:v>
                </c:pt>
                <c:pt idx="10">
                  <c:v>9.4999999999999893</c:v>
                </c:pt>
                <c:pt idx="11">
                  <c:v>9.5499999999999901</c:v>
                </c:pt>
                <c:pt idx="12">
                  <c:v>9.5999999999999908</c:v>
                </c:pt>
                <c:pt idx="13">
                  <c:v>9.6499999999999897</c:v>
                </c:pt>
                <c:pt idx="14">
                  <c:v>9.6999999999999904</c:v>
                </c:pt>
                <c:pt idx="15">
                  <c:v>9.7499999999999893</c:v>
                </c:pt>
                <c:pt idx="16">
                  <c:v>9.7999999999999794</c:v>
                </c:pt>
                <c:pt idx="17">
                  <c:v>9.8499999999999801</c:v>
                </c:pt>
                <c:pt idx="18">
                  <c:v>9.8999999999999808</c:v>
                </c:pt>
                <c:pt idx="19">
                  <c:v>9.9499999999999797</c:v>
                </c:pt>
                <c:pt idx="20">
                  <c:v>9.9999999999999805</c:v>
                </c:pt>
                <c:pt idx="21">
                  <c:v>10.050000000000001</c:v>
                </c:pt>
                <c:pt idx="22">
                  <c:v>10.1</c:v>
                </c:pt>
                <c:pt idx="23">
                  <c:v>10.15</c:v>
                </c:pt>
                <c:pt idx="24">
                  <c:v>10.199999999999999</c:v>
                </c:pt>
                <c:pt idx="25">
                  <c:v>10.25</c:v>
                </c:pt>
                <c:pt idx="26">
                  <c:v>10.3</c:v>
                </c:pt>
                <c:pt idx="27">
                  <c:v>10.35</c:v>
                </c:pt>
                <c:pt idx="29">
                  <c:v>10.45</c:v>
                </c:pt>
                <c:pt idx="30">
                  <c:v>10.5</c:v>
                </c:pt>
                <c:pt idx="31">
                  <c:v>10.55</c:v>
                </c:pt>
                <c:pt idx="32">
                  <c:v>10.6</c:v>
                </c:pt>
                <c:pt idx="33">
                  <c:v>10.65</c:v>
                </c:pt>
                <c:pt idx="37">
                  <c:v>10.4</c:v>
                </c:pt>
              </c:numCache>
            </c:numRef>
          </c:xVal>
          <c:yVal>
            <c:numRef>
              <c:f>'All cells'!$Z$39:$Z$78</c:f>
              <c:numCache>
                <c:formatCode>General</c:formatCode>
                <c:ptCount val="40"/>
                <c:pt idx="13">
                  <c:v>5.2100000000000009</c:v>
                </c:pt>
                <c:pt idx="14">
                  <c:v>5.0099999999999909</c:v>
                </c:pt>
                <c:pt idx="15">
                  <c:v>2.230000000000004</c:v>
                </c:pt>
                <c:pt idx="16">
                  <c:v>2.2900000000000063</c:v>
                </c:pt>
                <c:pt idx="17">
                  <c:v>9.9699999999999989</c:v>
                </c:pt>
                <c:pt idx="18">
                  <c:v>2.0900000000000034</c:v>
                </c:pt>
                <c:pt idx="19">
                  <c:v>5.99</c:v>
                </c:pt>
                <c:pt idx="20">
                  <c:v>3.7600000000000051</c:v>
                </c:pt>
                <c:pt idx="21">
                  <c:v>1.5499999999999972</c:v>
                </c:pt>
                <c:pt idx="22">
                  <c:v>4.9899999999999949</c:v>
                </c:pt>
                <c:pt idx="23">
                  <c:v>4.4199999999999875</c:v>
                </c:pt>
                <c:pt idx="24">
                  <c:v>4.3499999999999943</c:v>
                </c:pt>
                <c:pt idx="25">
                  <c:v>2.2099999999999937</c:v>
                </c:pt>
                <c:pt idx="26">
                  <c:v>3.5300000000000011</c:v>
                </c:pt>
                <c:pt idx="27">
                  <c:v>3.7109999999999914</c:v>
                </c:pt>
                <c:pt idx="29">
                  <c:v>3.1499999999999915</c:v>
                </c:pt>
                <c:pt idx="30">
                  <c:v>2.7800000000000011</c:v>
                </c:pt>
                <c:pt idx="31">
                  <c:v>6.0899999999999963</c:v>
                </c:pt>
                <c:pt idx="32">
                  <c:v>4.6470000000000056</c:v>
                </c:pt>
                <c:pt idx="33">
                  <c:v>4.0679999999999978</c:v>
                </c:pt>
                <c:pt idx="37">
                  <c:v>3.2900000000000063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E1C-A3D3-3470D7FD0DA9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7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cells'!$J$87:$J$109</c:f>
              <c:numCache>
                <c:formatCode>General</c:formatCode>
                <c:ptCount val="23"/>
                <c:pt idx="0">
                  <c:v>16.5</c:v>
                </c:pt>
                <c:pt idx="1">
                  <c:v>16.05</c:v>
                </c:pt>
                <c:pt idx="2">
                  <c:v>16.100000000000001</c:v>
                </c:pt>
                <c:pt idx="3">
                  <c:v>16.149999999999999</c:v>
                </c:pt>
                <c:pt idx="4">
                  <c:v>16.2</c:v>
                </c:pt>
                <c:pt idx="5">
                  <c:v>16.25</c:v>
                </c:pt>
                <c:pt idx="6">
                  <c:v>16.3</c:v>
                </c:pt>
                <c:pt idx="7">
                  <c:v>16.350000000000001</c:v>
                </c:pt>
                <c:pt idx="8">
                  <c:v>16.399999999999999</c:v>
                </c:pt>
                <c:pt idx="9">
                  <c:v>16.45</c:v>
                </c:pt>
                <c:pt idx="10">
                  <c:v>16.5</c:v>
                </c:pt>
                <c:pt idx="11">
                  <c:v>16.55</c:v>
                </c:pt>
                <c:pt idx="12">
                  <c:v>16.600000000000001</c:v>
                </c:pt>
                <c:pt idx="13">
                  <c:v>16.649999999999999</c:v>
                </c:pt>
                <c:pt idx="14">
                  <c:v>16.7</c:v>
                </c:pt>
                <c:pt idx="15">
                  <c:v>16.75</c:v>
                </c:pt>
                <c:pt idx="16">
                  <c:v>16.8</c:v>
                </c:pt>
                <c:pt idx="17">
                  <c:v>16.850000000000001</c:v>
                </c:pt>
                <c:pt idx="18">
                  <c:v>16.899999999999999</c:v>
                </c:pt>
                <c:pt idx="19">
                  <c:v>16.95</c:v>
                </c:pt>
                <c:pt idx="20">
                  <c:v>17</c:v>
                </c:pt>
              </c:numCache>
            </c:numRef>
          </c:xVal>
          <c:yVal>
            <c:numRef>
              <c:f>'All cells'!$Z$87:$Z$107</c:f>
              <c:numCache>
                <c:formatCode>General</c:formatCode>
                <c:ptCount val="21"/>
                <c:pt idx="2">
                  <c:v>2.7800000000000011</c:v>
                </c:pt>
                <c:pt idx="3">
                  <c:v>2.25</c:v>
                </c:pt>
                <c:pt idx="4">
                  <c:v>1.2800000000000011</c:v>
                </c:pt>
                <c:pt idx="5">
                  <c:v>2.2850000000000108</c:v>
                </c:pt>
                <c:pt idx="6">
                  <c:v>3.5</c:v>
                </c:pt>
                <c:pt idx="7">
                  <c:v>4.039999999999992</c:v>
                </c:pt>
                <c:pt idx="8">
                  <c:v>0.40999999999999659</c:v>
                </c:pt>
                <c:pt idx="9">
                  <c:v>4.0999999999999996</c:v>
                </c:pt>
                <c:pt idx="10">
                  <c:v>0.45000000000000284</c:v>
                </c:pt>
                <c:pt idx="11">
                  <c:v>6.8299999999999983</c:v>
                </c:pt>
                <c:pt idx="13">
                  <c:v>0.47999999999999687</c:v>
                </c:pt>
                <c:pt idx="14">
                  <c:v>1.3199999999999932</c:v>
                </c:pt>
                <c:pt idx="15">
                  <c:v>3.519999999999996</c:v>
                </c:pt>
                <c:pt idx="16">
                  <c:v>2.3899999999999864</c:v>
                </c:pt>
                <c:pt idx="17">
                  <c:v>5.1800000000000068</c:v>
                </c:pt>
                <c:pt idx="18">
                  <c:v>1.3830000000000098</c:v>
                </c:pt>
                <c:pt idx="19">
                  <c:v>2.4830000000000041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E1C-A3D3-3470D7FD0DA9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cells'!$AR$39:$AR$73</c:f>
              <c:numCache>
                <c:formatCode>General</c:formatCode>
                <c:ptCount val="35"/>
                <c:pt idx="0">
                  <c:v>12.5</c:v>
                </c:pt>
                <c:pt idx="1">
                  <c:v>12.05</c:v>
                </c:pt>
                <c:pt idx="2">
                  <c:v>12.1</c:v>
                </c:pt>
                <c:pt idx="3">
                  <c:v>12.15</c:v>
                </c:pt>
                <c:pt idx="4">
                  <c:v>12.2</c:v>
                </c:pt>
                <c:pt idx="5">
                  <c:v>12.25</c:v>
                </c:pt>
                <c:pt idx="6">
                  <c:v>12.3</c:v>
                </c:pt>
                <c:pt idx="7">
                  <c:v>12.35</c:v>
                </c:pt>
                <c:pt idx="8">
                  <c:v>12.4</c:v>
                </c:pt>
                <c:pt idx="9">
                  <c:v>12.45</c:v>
                </c:pt>
                <c:pt idx="10">
                  <c:v>12.5</c:v>
                </c:pt>
                <c:pt idx="11">
                  <c:v>12.55</c:v>
                </c:pt>
                <c:pt idx="12">
                  <c:v>12.6</c:v>
                </c:pt>
                <c:pt idx="13">
                  <c:v>12.65</c:v>
                </c:pt>
                <c:pt idx="14">
                  <c:v>12.7</c:v>
                </c:pt>
                <c:pt idx="15">
                  <c:v>12.75</c:v>
                </c:pt>
                <c:pt idx="16">
                  <c:v>12.8</c:v>
                </c:pt>
                <c:pt idx="17">
                  <c:v>12.9</c:v>
                </c:pt>
                <c:pt idx="18">
                  <c:v>12.95</c:v>
                </c:pt>
                <c:pt idx="19">
                  <c:v>13</c:v>
                </c:pt>
                <c:pt idx="20">
                  <c:v>13.05</c:v>
                </c:pt>
                <c:pt idx="21">
                  <c:v>13.1</c:v>
                </c:pt>
                <c:pt idx="22">
                  <c:v>13.15</c:v>
                </c:pt>
                <c:pt idx="23">
                  <c:v>13.2</c:v>
                </c:pt>
                <c:pt idx="24">
                  <c:v>13.25</c:v>
                </c:pt>
                <c:pt idx="25">
                  <c:v>13.3</c:v>
                </c:pt>
                <c:pt idx="26">
                  <c:v>13.35</c:v>
                </c:pt>
                <c:pt idx="27">
                  <c:v>13.4</c:v>
                </c:pt>
                <c:pt idx="28">
                  <c:v>13.45</c:v>
                </c:pt>
                <c:pt idx="29">
                  <c:v>13.5</c:v>
                </c:pt>
                <c:pt idx="30">
                  <c:v>13.6</c:v>
                </c:pt>
                <c:pt idx="31">
                  <c:v>13.65</c:v>
                </c:pt>
                <c:pt idx="32">
                  <c:v>13.7</c:v>
                </c:pt>
                <c:pt idx="33">
                  <c:v>13.75</c:v>
                </c:pt>
                <c:pt idx="34">
                  <c:v>13.8</c:v>
                </c:pt>
              </c:numCache>
            </c:numRef>
          </c:xVal>
          <c:yVal>
            <c:numRef>
              <c:f>'All cells'!$BH$39:$BH$73</c:f>
              <c:numCache>
                <c:formatCode>General</c:formatCode>
                <c:ptCount val="35"/>
                <c:pt idx="16">
                  <c:v>12.479999999999997</c:v>
                </c:pt>
                <c:pt idx="17">
                  <c:v>3.3999999999999915</c:v>
                </c:pt>
                <c:pt idx="18">
                  <c:v>0.50999999999999801</c:v>
                </c:pt>
                <c:pt idx="19">
                  <c:v>5.3400000000000034</c:v>
                </c:pt>
                <c:pt idx="20">
                  <c:v>1.1700000000000017</c:v>
                </c:pt>
                <c:pt idx="21">
                  <c:v>4.25</c:v>
                </c:pt>
                <c:pt idx="22">
                  <c:v>5.820999999999998</c:v>
                </c:pt>
                <c:pt idx="23">
                  <c:v>4.8799999999999955</c:v>
                </c:pt>
                <c:pt idx="24">
                  <c:v>3.9499999999999886</c:v>
                </c:pt>
                <c:pt idx="25">
                  <c:v>4.1539999999999964</c:v>
                </c:pt>
                <c:pt idx="26">
                  <c:v>2.6820000000000022</c:v>
                </c:pt>
                <c:pt idx="27">
                  <c:v>5.509999999999998</c:v>
                </c:pt>
                <c:pt idx="28">
                  <c:v>6.402000000000001</c:v>
                </c:pt>
                <c:pt idx="29">
                  <c:v>3.5999999999999943</c:v>
                </c:pt>
                <c:pt idx="30">
                  <c:v>1.769999999999996</c:v>
                </c:pt>
                <c:pt idx="31">
                  <c:v>4.0310000000000059</c:v>
                </c:pt>
                <c:pt idx="32">
                  <c:v>1.7800000000000011</c:v>
                </c:pt>
                <c:pt idx="33">
                  <c:v>5.8900000000000006</c:v>
                </c:pt>
                <c:pt idx="34">
                  <c:v>6.0100000000000051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56C-BEB8-65ED684416C2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cells'!$AR$82:$AR$103</c:f>
              <c:numCache>
                <c:formatCode>General</c:formatCode>
                <c:ptCount val="22"/>
                <c:pt idx="0">
                  <c:v>19</c:v>
                </c:pt>
                <c:pt idx="1">
                  <c:v>19.05</c:v>
                </c:pt>
                <c:pt idx="2">
                  <c:v>19.100000000000001</c:v>
                </c:pt>
                <c:pt idx="3">
                  <c:v>19.149999999999999</c:v>
                </c:pt>
                <c:pt idx="4">
                  <c:v>19.2</c:v>
                </c:pt>
                <c:pt idx="5">
                  <c:v>19.25</c:v>
                </c:pt>
                <c:pt idx="6">
                  <c:v>19.3</c:v>
                </c:pt>
                <c:pt idx="7">
                  <c:v>19.350000000000001</c:v>
                </c:pt>
                <c:pt idx="8">
                  <c:v>19.399999999999999</c:v>
                </c:pt>
                <c:pt idx="9">
                  <c:v>19.45</c:v>
                </c:pt>
                <c:pt idx="10">
                  <c:v>19.5</c:v>
                </c:pt>
                <c:pt idx="11">
                  <c:v>19.55</c:v>
                </c:pt>
                <c:pt idx="12">
                  <c:v>19.600000000000001</c:v>
                </c:pt>
                <c:pt idx="13">
                  <c:v>19.649999999999999</c:v>
                </c:pt>
                <c:pt idx="14">
                  <c:v>19.7</c:v>
                </c:pt>
                <c:pt idx="15">
                  <c:v>19.75</c:v>
                </c:pt>
                <c:pt idx="16">
                  <c:v>19.8</c:v>
                </c:pt>
                <c:pt idx="17">
                  <c:v>19.850000000000001</c:v>
                </c:pt>
                <c:pt idx="18">
                  <c:v>19.899999999999999</c:v>
                </c:pt>
                <c:pt idx="19">
                  <c:v>19.95</c:v>
                </c:pt>
              </c:numCache>
            </c:numRef>
          </c:xVal>
          <c:yVal>
            <c:numRef>
              <c:f>'All cells'!$BH$82:$BH$102</c:f>
              <c:numCache>
                <c:formatCode>General</c:formatCode>
                <c:ptCount val="21"/>
                <c:pt idx="0">
                  <c:v>1.7199999999999989</c:v>
                </c:pt>
                <c:pt idx="1">
                  <c:v>4.3499999999999943</c:v>
                </c:pt>
                <c:pt idx="2">
                  <c:v>3.5899999999999892</c:v>
                </c:pt>
                <c:pt idx="3">
                  <c:v>3.4300000000000068</c:v>
                </c:pt>
                <c:pt idx="4">
                  <c:v>4.7959999999999923</c:v>
                </c:pt>
                <c:pt idx="5">
                  <c:v>5.5300000000000011</c:v>
                </c:pt>
                <c:pt idx="6">
                  <c:v>5.4200000000000017</c:v>
                </c:pt>
                <c:pt idx="7">
                  <c:v>1.7199999999999989</c:v>
                </c:pt>
                <c:pt idx="8">
                  <c:v>2.8400000000000034</c:v>
                </c:pt>
                <c:pt idx="9">
                  <c:v>2.8389999999999986</c:v>
                </c:pt>
                <c:pt idx="10">
                  <c:v>2.480000000000004</c:v>
                </c:pt>
                <c:pt idx="11">
                  <c:v>2.9200000000000017</c:v>
                </c:pt>
                <c:pt idx="12">
                  <c:v>3.4099999999999966</c:v>
                </c:pt>
                <c:pt idx="13">
                  <c:v>2.4000000000000057</c:v>
                </c:pt>
                <c:pt idx="14">
                  <c:v>2.1760000000000019</c:v>
                </c:pt>
                <c:pt idx="15">
                  <c:v>5.9900000000000091</c:v>
                </c:pt>
                <c:pt idx="16">
                  <c:v>3.8739999999999952</c:v>
                </c:pt>
                <c:pt idx="17">
                  <c:v>2.2099999999999937</c:v>
                </c:pt>
                <c:pt idx="18">
                  <c:v>2.960000000000008</c:v>
                </c:pt>
                <c:pt idx="19">
                  <c:v>1.6799999999999926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0-4074-A944-6F337261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3616"/>
        <c:axId val="925064272"/>
      </c:scatterChart>
      <c:valAx>
        <c:axId val="9250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4272"/>
        <c:crosses val="autoZero"/>
        <c:crossBetween val="midCat"/>
      </c:valAx>
      <c:valAx>
        <c:axId val="92506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mAHP amp</a:t>
                </a:r>
              </a:p>
            </c:rich>
          </c:tx>
          <c:layout>
            <c:manualLayout>
              <c:xMode val="edge"/>
              <c:yMode val="edge"/>
              <c:x val="1.4413504432223546E-2"/>
              <c:y val="0.3518463440537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CX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(Sheet1!$M$18,Sheet1!$AC$18)</c:f>
              <c:numCache>
                <c:formatCode>General</c:formatCode>
                <c:ptCount val="2"/>
                <c:pt idx="0">
                  <c:v>34.848484848485633</c:v>
                </c:pt>
                <c:pt idx="1">
                  <c:v>31.060606060605959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4-4E4B-94A8-6D13F70FD30B}"/>
            </c:ext>
          </c:extLst>
        </c:ser>
        <c:ser>
          <c:idx val="1"/>
          <c:order val="1"/>
          <c:tx>
            <c:v>CP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(Sheet1!$M$19,Sheet1!$AC$19)</c:f>
              <c:numCache>
                <c:formatCode>General</c:formatCode>
                <c:ptCount val="2"/>
                <c:pt idx="0">
                  <c:v>16.444444444444649</c:v>
                </c:pt>
                <c:pt idx="1">
                  <c:v>30.222222222222527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4-4E4B-94A8-6D13F70FD30B}"/>
            </c:ext>
          </c:extLst>
        </c:ser>
        <c:ser>
          <c:idx val="2"/>
          <c:order val="2"/>
          <c:tx>
            <c:v>CP2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(Sheet1!$M$20,Sheet1!$AC$20)</c:f>
              <c:numCache>
                <c:formatCode>General</c:formatCode>
                <c:ptCount val="2"/>
                <c:pt idx="0">
                  <c:v>20.312499999999272</c:v>
                </c:pt>
                <c:pt idx="1">
                  <c:v>32.031249999999709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4-4E4B-94A8-6D13F70FD30B}"/>
            </c:ext>
          </c:extLst>
        </c:ser>
        <c:ser>
          <c:idx val="3"/>
          <c:order val="3"/>
          <c:tx>
            <c:v>CT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(Sheet1!$M$21,Sheet1!$AC$21)</c:f>
              <c:numCache>
                <c:formatCode>General</c:formatCode>
                <c:ptCount val="2"/>
                <c:pt idx="0">
                  <c:v>48.888888888888324</c:v>
                </c:pt>
                <c:pt idx="1">
                  <c:v>73.333333333335645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4-4E4B-94A8-6D13F70FD30B}"/>
            </c:ext>
          </c:extLst>
        </c:ser>
        <c:ser>
          <c:idx val="4"/>
          <c:order val="4"/>
          <c:tx>
            <c:v>BV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(Sheet1!$M$23,Sheet1!$AC$23)</c:f>
              <c:numCache>
                <c:formatCode>General</c:formatCode>
                <c:ptCount val="2"/>
                <c:pt idx="0">
                  <c:v>41.428571428571345</c:v>
                </c:pt>
                <c:pt idx="1">
                  <c:v>55.000000000000284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94-4E4B-94A8-6D13F70FD30B}"/>
            </c:ext>
          </c:extLst>
        </c:ser>
        <c:ser>
          <c:idx val="5"/>
          <c:order val="5"/>
          <c:tx>
            <c:v>CV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(Sheet1!$M$24,Sheet1!$AC$24)</c:f>
              <c:numCache>
                <c:formatCode>General</c:formatCode>
                <c:ptCount val="2"/>
                <c:pt idx="0">
                  <c:v>27.086383601757085</c:v>
                </c:pt>
                <c:pt idx="1">
                  <c:v>34.260614934114052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94-4E4B-94A8-6D13F70FD30B}"/>
            </c:ext>
          </c:extLst>
        </c:ser>
        <c:ser>
          <c:idx val="6"/>
          <c:order val="6"/>
          <c:tx>
            <c:v>Mean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val>
            <c:numRef>
              <c:f>Sheet1!$B$13:$C$13</c:f>
              <c:numCache>
                <c:formatCode>General</c:formatCode>
                <c:ptCount val="2"/>
                <c:pt idx="0">
                  <c:v>31.501545535357721</c:v>
                </c:pt>
                <c:pt idx="1">
                  <c:v>42.651337758379697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E-4B13-A866-425414C03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87416"/>
        <c:axId val="932792336"/>
      </c:lineChart>
      <c:catAx>
        <c:axId val="9327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92336"/>
        <c:crosses val="autoZero"/>
        <c:auto val="1"/>
        <c:lblAlgn val="ctr"/>
        <c:lblOffset val="100"/>
        <c:noMultiLvlLbl val="0"/>
      </c:catAx>
      <c:valAx>
        <c:axId val="93279233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AHP amp (%</a:t>
                </a:r>
                <a:r>
                  <a:rPr lang="en-GB" baseline="0"/>
                  <a:t> of control)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CX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(Sheet1!$D$18,Sheet1!$T$18)</c:f>
              <c:numCache>
                <c:formatCode>General</c:formatCode>
                <c:ptCount val="2"/>
                <c:pt idx="0">
                  <c:v>129.53952717964376</c:v>
                </c:pt>
                <c:pt idx="1">
                  <c:v>82.724106964308888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4-4E4B-94A8-6D13F70FD30B}"/>
            </c:ext>
          </c:extLst>
        </c:ser>
        <c:ser>
          <c:idx val="1"/>
          <c:order val="1"/>
          <c:tx>
            <c:v>CP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(Sheet1!$D$19,Sheet1!$T$19)</c:f>
              <c:numCache>
                <c:formatCode>General</c:formatCode>
                <c:ptCount val="2"/>
                <c:pt idx="0">
                  <c:v>102.59425332136888</c:v>
                </c:pt>
                <c:pt idx="1">
                  <c:v>89.301143461428012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4-4E4B-94A8-6D13F70FD30B}"/>
            </c:ext>
          </c:extLst>
        </c:ser>
        <c:ser>
          <c:idx val="2"/>
          <c:order val="2"/>
          <c:tx>
            <c:v>CP2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(Sheet1!$D$20,Sheet1!$T$20)</c:f>
              <c:numCache>
                <c:formatCode>General</c:formatCode>
                <c:ptCount val="2"/>
                <c:pt idx="0">
                  <c:v>97.061209783715483</c:v>
                </c:pt>
                <c:pt idx="1">
                  <c:v>88.063458550639567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4-4E4B-94A8-6D13F70FD30B}"/>
            </c:ext>
          </c:extLst>
        </c:ser>
        <c:ser>
          <c:idx val="3"/>
          <c:order val="3"/>
          <c:tx>
            <c:v>CT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(Sheet1!$D$21,Sheet1!$T$21)</c:f>
              <c:numCache>
                <c:formatCode>General</c:formatCode>
                <c:ptCount val="2"/>
                <c:pt idx="0">
                  <c:v>102.99080617107623</c:v>
                </c:pt>
                <c:pt idx="1">
                  <c:v>88.152797091758671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4-4E4B-94A8-6D13F70FD30B}"/>
            </c:ext>
          </c:extLst>
        </c:ser>
        <c:ser>
          <c:idx val="4"/>
          <c:order val="4"/>
          <c:tx>
            <c:v>BV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noFill/>
                <a:ln w="9525">
                  <a:solidFill>
                    <a:schemeClr val="tx1">
                      <a:alpha val="8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0E-4330-9D4E-8B2CE212E9EB}"/>
              </c:ext>
            </c:extLst>
          </c:dPt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(Sheet1!$D$22,Sheet1!$T$22)</c:f>
              <c:numCache>
                <c:formatCode>General</c:formatCode>
                <c:ptCount val="2"/>
                <c:pt idx="0">
                  <c:v>142.45540224063728</c:v>
                </c:pt>
                <c:pt idx="1">
                  <c:v>118.83316711971001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94-4E4B-94A8-6D13F70FD30B}"/>
            </c:ext>
          </c:extLst>
        </c:ser>
        <c:ser>
          <c:idx val="5"/>
          <c:order val="5"/>
          <c:tx>
            <c:v>CV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Sheet1!$D$24</c:f>
              <c:numCache>
                <c:formatCode>General</c:formatCode>
                <c:ptCount val="1"/>
                <c:pt idx="0">
                  <c:v>104.21088654632851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94-4E4B-94A8-6D13F70FD30B}"/>
            </c:ext>
          </c:extLst>
        </c:ser>
        <c:ser>
          <c:idx val="6"/>
          <c:order val="6"/>
          <c:tx>
            <c:v>Mean</c:v>
          </c:tx>
          <c:spPr>
            <a:ln w="28575" cap="rnd">
              <a:solidFill>
                <a:srgbClr val="FF0000">
                  <a:alpha val="80000"/>
                </a:srgb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Sheet1!$B$4:$C$4</c:f>
              <c:numCache>
                <c:formatCode>General</c:formatCode>
                <c:ptCount val="2"/>
                <c:pt idx="0">
                  <c:v>113.27618792387723</c:v>
                </c:pt>
                <c:pt idx="1">
                  <c:v>95.12832376170536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B-4F41-9B14-E3E0F0B4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87416"/>
        <c:axId val="932792336"/>
      </c:lineChart>
      <c:catAx>
        <c:axId val="9327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92336"/>
        <c:crosses val="autoZero"/>
        <c:auto val="1"/>
        <c:lblAlgn val="ctr"/>
        <c:lblOffset val="100"/>
        <c:noMultiLvlLbl val="0"/>
      </c:catAx>
      <c:valAx>
        <c:axId val="932792336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mean FF (%</a:t>
                </a:r>
                <a:r>
                  <a:rPr lang="en-GB" baseline="0"/>
                  <a:t> of control)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CX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(Sheet1!$E$18,Sheet1!$U$18)</c:f>
              <c:numCache>
                <c:formatCode>General</c:formatCode>
                <c:ptCount val="2"/>
                <c:pt idx="0">
                  <c:v>190.43602978879881</c:v>
                </c:pt>
                <c:pt idx="1">
                  <c:v>141.90488205784538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4-4E4B-94A8-6D13F70FD30B}"/>
            </c:ext>
          </c:extLst>
        </c:ser>
        <c:ser>
          <c:idx val="1"/>
          <c:order val="1"/>
          <c:tx>
            <c:v>CP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(Sheet1!$E$19,Sheet1!$U$19)</c:f>
              <c:numCache>
                <c:formatCode>General</c:formatCode>
                <c:ptCount val="2"/>
                <c:pt idx="0">
                  <c:v>166.9881771130797</c:v>
                </c:pt>
                <c:pt idx="1">
                  <c:v>117.51694076748669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4-4E4B-94A8-6D13F70FD30B}"/>
            </c:ext>
          </c:extLst>
        </c:ser>
        <c:ser>
          <c:idx val="2"/>
          <c:order val="2"/>
          <c:tx>
            <c:v>CP2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(Sheet1!$E$20,Sheet1!$U$20)</c:f>
              <c:numCache>
                <c:formatCode>General</c:formatCode>
                <c:ptCount val="2"/>
                <c:pt idx="0">
                  <c:v>144.16701398090808</c:v>
                </c:pt>
                <c:pt idx="1">
                  <c:v>114.21333662356344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4-4E4B-94A8-6D13F70FD30B}"/>
            </c:ext>
          </c:extLst>
        </c:ser>
        <c:ser>
          <c:idx val="3"/>
          <c:order val="3"/>
          <c:tx>
            <c:v>CT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(Sheet1!$E$21,Sheet1!$U$21)</c:f>
              <c:numCache>
                <c:formatCode>General</c:formatCode>
                <c:ptCount val="2"/>
                <c:pt idx="0">
                  <c:v>119.00628766023891</c:v>
                </c:pt>
                <c:pt idx="1">
                  <c:v>96.867072261080551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4-4E4B-94A8-6D13F70FD30B}"/>
            </c:ext>
          </c:extLst>
        </c:ser>
        <c:ser>
          <c:idx val="4"/>
          <c:order val="4"/>
          <c:tx>
            <c:v>BV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(Sheet1!$E$23,Sheet1!$U$23)</c:f>
              <c:numCache>
                <c:formatCode>General</c:formatCode>
                <c:ptCount val="2"/>
                <c:pt idx="0">
                  <c:v>115.99127760707817</c:v>
                </c:pt>
                <c:pt idx="1">
                  <c:v>97.961383417947403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94-4E4B-94A8-6D13F70FD30B}"/>
            </c:ext>
          </c:extLst>
        </c:ser>
        <c:ser>
          <c:idx val="5"/>
          <c:order val="5"/>
          <c:tx>
            <c:v>CV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(Sheet1!$E$24,Sheet1!$U$24)</c:f>
              <c:numCache>
                <c:formatCode>General</c:formatCode>
                <c:ptCount val="2"/>
                <c:pt idx="0">
                  <c:v>147.0545130134326</c:v>
                </c:pt>
                <c:pt idx="1">
                  <c:v>128.2214620773488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94-4E4B-94A8-6D13F70FD30B}"/>
            </c:ext>
          </c:extLst>
        </c:ser>
        <c:ser>
          <c:idx val="6"/>
          <c:order val="6"/>
          <c:tx>
            <c:v>BP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(Sheet1!$E$22,Sheet1!$U$22)</c:f>
              <c:numCache>
                <c:formatCode>General</c:formatCode>
                <c:ptCount val="2"/>
                <c:pt idx="0">
                  <c:v>139.28317972218835</c:v>
                </c:pt>
                <c:pt idx="1">
                  <c:v>132.64794285481369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3-4874-851D-23FF00E4713C}"/>
            </c:ext>
          </c:extLst>
        </c:ser>
        <c:ser>
          <c:idx val="7"/>
          <c:order val="7"/>
          <c:tx>
            <c:v>Mean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val>
            <c:numRef>
              <c:f>Sheet1!$B$5:$C$5</c:f>
              <c:numCache>
                <c:formatCode>General</c:formatCode>
                <c:ptCount val="2"/>
                <c:pt idx="0">
                  <c:v>146.13235412653208</c:v>
                </c:pt>
                <c:pt idx="1">
                  <c:v>118.47614572286943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6-42C2-B10D-5947C713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87416"/>
        <c:axId val="932792336"/>
      </c:lineChart>
      <c:catAx>
        <c:axId val="9327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92336"/>
        <c:crosses val="autoZero"/>
        <c:auto val="1"/>
        <c:lblAlgn val="ctr"/>
        <c:lblOffset val="100"/>
        <c:noMultiLvlLbl val="0"/>
      </c:catAx>
      <c:valAx>
        <c:axId val="932792336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FF slope  (%</a:t>
                </a:r>
                <a:r>
                  <a:rPr lang="en-GB" baseline="0"/>
                  <a:t> of control)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CX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(Sheet1!$H$18,Sheet1!$X$18)</c:f>
              <c:numCache>
                <c:formatCode>General</c:formatCode>
                <c:ptCount val="2"/>
                <c:pt idx="0">
                  <c:v>140</c:v>
                </c:pt>
                <c:pt idx="1">
                  <c:v>103.33333333333334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4-4E4B-94A8-6D13F70FD30B}"/>
            </c:ext>
          </c:extLst>
        </c:ser>
        <c:ser>
          <c:idx val="1"/>
          <c:order val="1"/>
          <c:tx>
            <c:v>CP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(Sheet1!$H$19,Sheet1!$X$19)</c:f>
              <c:numCache>
                <c:formatCode>General</c:formatCode>
                <c:ptCount val="2"/>
                <c:pt idx="0">
                  <c:v>126.47058823529412</c:v>
                </c:pt>
                <c:pt idx="1">
                  <c:v>108.8235294117647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4-4E4B-94A8-6D13F70FD30B}"/>
            </c:ext>
          </c:extLst>
        </c:ser>
        <c:ser>
          <c:idx val="2"/>
          <c:order val="2"/>
          <c:tx>
            <c:v>CP2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(Sheet1!$H$20,Sheet1!$X$20)</c:f>
              <c:numCache>
                <c:formatCode>General</c:formatCode>
                <c:ptCount val="2"/>
                <c:pt idx="0">
                  <c:v>94.871794871794862</c:v>
                </c:pt>
                <c:pt idx="1">
                  <c:v>87.179487179487182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4-4E4B-94A8-6D13F70FD30B}"/>
            </c:ext>
          </c:extLst>
        </c:ser>
        <c:ser>
          <c:idx val="3"/>
          <c:order val="3"/>
          <c:tx>
            <c:v>CT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(Sheet1!$H$21,Sheet1!$X$21)</c:f>
              <c:numCache>
                <c:formatCode>General</c:formatCode>
                <c:ptCount val="2"/>
                <c:pt idx="0">
                  <c:v>105</c:v>
                </c:pt>
                <c:pt idx="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4-4E4B-94A8-6D13F70FD30B}"/>
            </c:ext>
          </c:extLst>
        </c:ser>
        <c:ser>
          <c:idx val="4"/>
          <c:order val="4"/>
          <c:tx>
            <c:v>BV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(Sheet1!$H$23,Sheet1!$X$23)</c:f>
              <c:numCache>
                <c:formatCode>General</c:formatCode>
                <c:ptCount val="2"/>
                <c:pt idx="0">
                  <c:v>116.66666666666667</c:v>
                </c:pt>
                <c:pt idx="1">
                  <c:v>105.55555555555556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94-4E4B-94A8-6D13F70FD30B}"/>
            </c:ext>
          </c:extLst>
        </c:ser>
        <c:ser>
          <c:idx val="5"/>
          <c:order val="5"/>
          <c:tx>
            <c:v>CV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(Sheet1!$H$24,Sheet1!$X$24)</c:f>
              <c:numCache>
                <c:formatCode>General</c:formatCode>
                <c:ptCount val="2"/>
                <c:pt idx="0">
                  <c:v>106.25</c:v>
                </c:pt>
                <c:pt idx="1">
                  <c:v>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94-4E4B-94A8-6D13F70FD30B}"/>
            </c:ext>
          </c:extLst>
        </c:ser>
        <c:ser>
          <c:idx val="6"/>
          <c:order val="6"/>
          <c:tx>
            <c:v>BP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(Sheet1!$H$22,Sheet1!$X$22)</c:f>
              <c:numCache>
                <c:formatCode>General</c:formatCode>
                <c:ptCount val="2"/>
                <c:pt idx="0">
                  <c:v>141.66666666666669</c:v>
                </c:pt>
                <c:pt idx="1">
                  <c:v>116.66666666666667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3-4874-851D-23FF00E4713C}"/>
            </c:ext>
          </c:extLst>
        </c:ser>
        <c:ser>
          <c:idx val="7"/>
          <c:order val="7"/>
          <c:tx>
            <c:v>Max spikes Mean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rgbClr val="FF0000">
                    <a:alpha val="25000"/>
                  </a:srgb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1C-4DFE-B780-6768ABECFF31}"/>
              </c:ext>
            </c:extLst>
          </c:dPt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118.70367377720319</c:v>
                </c:pt>
                <c:pt idx="1">
                  <c:v>100.75836744954393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C-4DFE-B780-6768ABECF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87416"/>
        <c:axId val="932792336"/>
      </c:lineChart>
      <c:catAx>
        <c:axId val="9327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92336"/>
        <c:crosses val="autoZero"/>
        <c:auto val="1"/>
        <c:lblAlgn val="ctr"/>
        <c:lblOffset val="100"/>
        <c:noMultiLvlLbl val="0"/>
      </c:catAx>
      <c:valAx>
        <c:axId val="932792336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spikes (%</a:t>
                </a:r>
                <a:r>
                  <a:rPr lang="en-GB" baseline="0"/>
                  <a:t> of control)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CX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(Sheet1!$B$18,Sheet1!$R$18)</c:f>
              <c:numCache>
                <c:formatCode>General</c:formatCode>
                <c:ptCount val="2"/>
                <c:pt idx="0">
                  <c:v>103.61721611721646</c:v>
                </c:pt>
                <c:pt idx="1">
                  <c:v>77.025187202178472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4-4E4B-94A8-6D13F70FD30B}"/>
            </c:ext>
          </c:extLst>
        </c:ser>
        <c:ser>
          <c:idx val="1"/>
          <c:order val="1"/>
          <c:tx>
            <c:v>CP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(Sheet1!$B$19,Sheet1!$R$19)</c:f>
              <c:numCache>
                <c:formatCode>General</c:formatCode>
                <c:ptCount val="2"/>
                <c:pt idx="0">
                  <c:v>99.438202247191626</c:v>
                </c:pt>
                <c:pt idx="1">
                  <c:v>89.879180528804483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4-4E4B-94A8-6D13F70FD30B}"/>
            </c:ext>
          </c:extLst>
        </c:ser>
        <c:ser>
          <c:idx val="2"/>
          <c:order val="2"/>
          <c:tx>
            <c:v>CP2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(Sheet1!$B$20,Sheet1!$R$20)</c:f>
              <c:numCache>
                <c:formatCode>General</c:formatCode>
                <c:ptCount val="2"/>
                <c:pt idx="0">
                  <c:v>95.530145530145361</c:v>
                </c:pt>
                <c:pt idx="1">
                  <c:v>92.207357859531186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4-4E4B-94A8-6D13F70FD30B}"/>
            </c:ext>
          </c:extLst>
        </c:ser>
        <c:ser>
          <c:idx val="3"/>
          <c:order val="3"/>
          <c:tx>
            <c:v>CT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(Sheet1!$B$21,Sheet1!$R$21)</c:f>
              <c:numCache>
                <c:formatCode>General</c:formatCode>
                <c:ptCount val="2"/>
                <c:pt idx="0">
                  <c:v>88.664031620553587</c:v>
                </c:pt>
                <c:pt idx="1">
                  <c:v>81.98830409356728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4-4E4B-94A8-6D13F70FD30B}"/>
            </c:ext>
          </c:extLst>
        </c:ser>
        <c:ser>
          <c:idx val="4"/>
          <c:order val="4"/>
          <c:tx>
            <c:v>BV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(Sheet1!$B$23,Sheet1!$R$23)</c:f>
              <c:numCache>
                <c:formatCode>General</c:formatCode>
                <c:ptCount val="2"/>
                <c:pt idx="0">
                  <c:v>96.804544647612161</c:v>
                </c:pt>
                <c:pt idx="1">
                  <c:v>95.919085312225178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94-4E4B-94A8-6D13F70FD30B}"/>
            </c:ext>
          </c:extLst>
        </c:ser>
        <c:ser>
          <c:idx val="5"/>
          <c:order val="5"/>
          <c:tx>
            <c:v>CV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(Sheet1!$B$24,Sheet1!$R$24)</c:f>
              <c:numCache>
                <c:formatCode>General</c:formatCode>
                <c:ptCount val="2"/>
                <c:pt idx="0">
                  <c:v>95.88426427355688</c:v>
                </c:pt>
                <c:pt idx="1">
                  <c:v>88.377067883628087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94-4E4B-94A8-6D13F70FD30B}"/>
            </c:ext>
          </c:extLst>
        </c:ser>
        <c:ser>
          <c:idx val="6"/>
          <c:order val="6"/>
          <c:tx>
            <c:v>BP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(Sheet1!$B$22,Sheet1!$R$22)</c:f>
              <c:numCache>
                <c:formatCode>General</c:formatCode>
                <c:ptCount val="2"/>
                <c:pt idx="0">
                  <c:v>108.84834216205597</c:v>
                </c:pt>
                <c:pt idx="1">
                  <c:v>100.4526525439074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3-4874-851D-23FF00E4713C}"/>
            </c:ext>
          </c:extLst>
        </c:ser>
        <c:ser>
          <c:idx val="7"/>
          <c:order val="7"/>
          <c:tx>
            <c:v>Mean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98.398106656904574</c:v>
                </c:pt>
                <c:pt idx="1">
                  <c:v>89.406976489120296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1-4D9F-AF34-AABACDE4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87416"/>
        <c:axId val="932792336"/>
      </c:lineChart>
      <c:catAx>
        <c:axId val="9327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92336"/>
        <c:crosses val="autoZero"/>
        <c:auto val="1"/>
        <c:lblAlgn val="ctr"/>
        <c:lblOffset val="100"/>
        <c:noMultiLvlLbl val="0"/>
      </c:catAx>
      <c:valAx>
        <c:axId val="932792336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Initial</a:t>
                </a:r>
                <a:r>
                  <a:rPr lang="en-GB" baseline="0"/>
                  <a:t> FF </a:t>
                </a:r>
                <a:r>
                  <a:rPr lang="en-GB"/>
                  <a:t>(%</a:t>
                </a:r>
                <a:r>
                  <a:rPr lang="en-GB" baseline="0"/>
                  <a:t> of control)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cells'!$J$2:$J$24</c:f>
              <c:numCache>
                <c:formatCode>General</c:formatCode>
                <c:ptCount val="23"/>
                <c:pt idx="0">
                  <c:v>3.5</c:v>
                </c:pt>
                <c:pt idx="1">
                  <c:v>3.05</c:v>
                </c:pt>
                <c:pt idx="2">
                  <c:v>3.1</c:v>
                </c:pt>
                <c:pt idx="3">
                  <c:v>3.15</c:v>
                </c:pt>
                <c:pt idx="4">
                  <c:v>3.2</c:v>
                </c:pt>
                <c:pt idx="5">
                  <c:v>3.25</c:v>
                </c:pt>
                <c:pt idx="6">
                  <c:v>3.3</c:v>
                </c:pt>
                <c:pt idx="7">
                  <c:v>3.35</c:v>
                </c:pt>
                <c:pt idx="8">
                  <c:v>3.4</c:v>
                </c:pt>
                <c:pt idx="9">
                  <c:v>3.45</c:v>
                </c:pt>
                <c:pt idx="10">
                  <c:v>3.5</c:v>
                </c:pt>
                <c:pt idx="12">
                  <c:v>3.6</c:v>
                </c:pt>
                <c:pt idx="13">
                  <c:v>3.65</c:v>
                </c:pt>
                <c:pt idx="14">
                  <c:v>3.7</c:v>
                </c:pt>
                <c:pt idx="15">
                  <c:v>3.75</c:v>
                </c:pt>
                <c:pt idx="16">
                  <c:v>3.8</c:v>
                </c:pt>
                <c:pt idx="18">
                  <c:v>3.9</c:v>
                </c:pt>
                <c:pt idx="21">
                  <c:v>4.05</c:v>
                </c:pt>
                <c:pt idx="22">
                  <c:v>4.0999999999999996</c:v>
                </c:pt>
              </c:numCache>
            </c:numRef>
          </c:xVal>
          <c:yVal>
            <c:numRef>
              <c:f>'All cells'!$O$2:$O$24</c:f>
              <c:numCache>
                <c:formatCode>General</c:formatCode>
                <c:ptCount val="23"/>
                <c:pt idx="0">
                  <c:v>54.455264954119357</c:v>
                </c:pt>
                <c:pt idx="1">
                  <c:v>36.601035346339991</c:v>
                </c:pt>
                <c:pt idx="3">
                  <c:v>30.765043223897777</c:v>
                </c:pt>
                <c:pt idx="4">
                  <c:v>41.517383479595537</c:v>
                </c:pt>
                <c:pt idx="5">
                  <c:v>38.250522227164204</c:v>
                </c:pt>
                <c:pt idx="6">
                  <c:v>49.263212126250615</c:v>
                </c:pt>
                <c:pt idx="7">
                  <c:v>41.67872725936013</c:v>
                </c:pt>
                <c:pt idx="8">
                  <c:v>32.951694898611805</c:v>
                </c:pt>
                <c:pt idx="9">
                  <c:v>37.667935620091164</c:v>
                </c:pt>
                <c:pt idx="10">
                  <c:v>64.723825497101359</c:v>
                </c:pt>
                <c:pt idx="12">
                  <c:v>29.828993252302599</c:v>
                </c:pt>
                <c:pt idx="13">
                  <c:v>34.389827211812545</c:v>
                </c:pt>
                <c:pt idx="14">
                  <c:v>21.422137197544586</c:v>
                </c:pt>
                <c:pt idx="15">
                  <c:v>32.287966252831055</c:v>
                </c:pt>
                <c:pt idx="16">
                  <c:v>33.57948829193321</c:v>
                </c:pt>
                <c:pt idx="18">
                  <c:v>82.595498245948818</c:v>
                </c:pt>
                <c:pt idx="21">
                  <c:v>47.129545483954388</c:v>
                </c:pt>
                <c:pt idx="22">
                  <c:v>28.012926152269795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E1C-A3D3-3470D7FD0DA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cells'!$J$39:$J$64</c:f>
              <c:numCache>
                <c:formatCode>General</c:formatCode>
                <c:ptCount val="26"/>
                <c:pt idx="0">
                  <c:v>9.5</c:v>
                </c:pt>
                <c:pt idx="1">
                  <c:v>9.0500000000000007</c:v>
                </c:pt>
                <c:pt idx="2">
                  <c:v>9.1</c:v>
                </c:pt>
                <c:pt idx="3">
                  <c:v>9.15</c:v>
                </c:pt>
                <c:pt idx="4">
                  <c:v>9.1999999999999993</c:v>
                </c:pt>
                <c:pt idx="5">
                  <c:v>9.25</c:v>
                </c:pt>
                <c:pt idx="6">
                  <c:v>9.3000000000000007</c:v>
                </c:pt>
                <c:pt idx="7">
                  <c:v>9.3499999999999908</c:v>
                </c:pt>
                <c:pt idx="8">
                  <c:v>9.3999999999999897</c:v>
                </c:pt>
                <c:pt idx="9">
                  <c:v>9.4499999999999904</c:v>
                </c:pt>
                <c:pt idx="10">
                  <c:v>9.4999999999999893</c:v>
                </c:pt>
                <c:pt idx="11">
                  <c:v>9.5499999999999901</c:v>
                </c:pt>
                <c:pt idx="12">
                  <c:v>9.5999999999999908</c:v>
                </c:pt>
                <c:pt idx="13">
                  <c:v>9.6499999999999897</c:v>
                </c:pt>
                <c:pt idx="14">
                  <c:v>9.6999999999999904</c:v>
                </c:pt>
                <c:pt idx="15">
                  <c:v>9.7499999999999893</c:v>
                </c:pt>
                <c:pt idx="16">
                  <c:v>9.7999999999999794</c:v>
                </c:pt>
                <c:pt idx="17">
                  <c:v>9.8499999999999801</c:v>
                </c:pt>
                <c:pt idx="18">
                  <c:v>9.8999999999999808</c:v>
                </c:pt>
                <c:pt idx="19">
                  <c:v>9.9499999999999797</c:v>
                </c:pt>
                <c:pt idx="20">
                  <c:v>9.9999999999999805</c:v>
                </c:pt>
                <c:pt idx="21">
                  <c:v>10.050000000000001</c:v>
                </c:pt>
                <c:pt idx="22">
                  <c:v>10.1</c:v>
                </c:pt>
                <c:pt idx="23">
                  <c:v>10.15</c:v>
                </c:pt>
                <c:pt idx="24">
                  <c:v>10.199999999999999</c:v>
                </c:pt>
                <c:pt idx="25">
                  <c:v>10.25</c:v>
                </c:pt>
              </c:numCache>
            </c:numRef>
          </c:xVal>
          <c:yVal>
            <c:numRef>
              <c:f>'All cells'!$O$39:$O$64</c:f>
              <c:numCache>
                <c:formatCode>General</c:formatCode>
                <c:ptCount val="26"/>
                <c:pt idx="0">
                  <c:v>19.97439062390723</c:v>
                </c:pt>
                <c:pt idx="1">
                  <c:v>25.153718757965603</c:v>
                </c:pt>
                <c:pt idx="2">
                  <c:v>22.772227962309596</c:v>
                </c:pt>
                <c:pt idx="3">
                  <c:v>28.902525252755247</c:v>
                </c:pt>
                <c:pt idx="4">
                  <c:v>34.400583099617123</c:v>
                </c:pt>
                <c:pt idx="5">
                  <c:v>34.787494099745892</c:v>
                </c:pt>
                <c:pt idx="6">
                  <c:v>37.754931159439892</c:v>
                </c:pt>
                <c:pt idx="7">
                  <c:v>40.560379275338143</c:v>
                </c:pt>
                <c:pt idx="8">
                  <c:v>34.236378652509295</c:v>
                </c:pt>
                <c:pt idx="9">
                  <c:v>22.678190997400009</c:v>
                </c:pt>
                <c:pt idx="10">
                  <c:v>26.983517277889138</c:v>
                </c:pt>
                <c:pt idx="11">
                  <c:v>20.473906673570124</c:v>
                </c:pt>
                <c:pt idx="12">
                  <c:v>99.322237368160216</c:v>
                </c:pt>
                <c:pt idx="13">
                  <c:v>50.760024571598215</c:v>
                </c:pt>
                <c:pt idx="14">
                  <c:v>24.908275197820124</c:v>
                </c:pt>
                <c:pt idx="15">
                  <c:v>5.0698045333642199</c:v>
                </c:pt>
                <c:pt idx="16">
                  <c:v>25.761996888529723</c:v>
                </c:pt>
                <c:pt idx="17">
                  <c:v>37.212086022578319</c:v>
                </c:pt>
                <c:pt idx="18">
                  <c:v>56.731493571905297</c:v>
                </c:pt>
                <c:pt idx="19">
                  <c:v>31.631661005225602</c:v>
                </c:pt>
                <c:pt idx="20">
                  <c:v>34.500548785893045</c:v>
                </c:pt>
                <c:pt idx="21">
                  <c:v>60.532671126159606</c:v>
                </c:pt>
                <c:pt idx="22">
                  <c:v>42.099256870711201</c:v>
                </c:pt>
                <c:pt idx="23">
                  <c:v>36.64124030820566</c:v>
                </c:pt>
                <c:pt idx="24">
                  <c:v>90.316010958869398</c:v>
                </c:pt>
                <c:pt idx="25">
                  <c:v>35.47711048967404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E1C-A3D3-3470D7FD0DA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7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cells'!$J$87:$J$104</c:f>
              <c:numCache>
                <c:formatCode>General</c:formatCode>
                <c:ptCount val="18"/>
                <c:pt idx="0">
                  <c:v>16.5</c:v>
                </c:pt>
                <c:pt idx="1">
                  <c:v>16.05</c:v>
                </c:pt>
                <c:pt idx="2">
                  <c:v>16.100000000000001</c:v>
                </c:pt>
                <c:pt idx="3">
                  <c:v>16.149999999999999</c:v>
                </c:pt>
                <c:pt idx="4">
                  <c:v>16.2</c:v>
                </c:pt>
                <c:pt idx="5">
                  <c:v>16.25</c:v>
                </c:pt>
                <c:pt idx="6">
                  <c:v>16.3</c:v>
                </c:pt>
                <c:pt idx="7">
                  <c:v>16.350000000000001</c:v>
                </c:pt>
                <c:pt idx="8">
                  <c:v>16.399999999999999</c:v>
                </c:pt>
                <c:pt idx="9">
                  <c:v>16.45</c:v>
                </c:pt>
                <c:pt idx="10">
                  <c:v>16.5</c:v>
                </c:pt>
                <c:pt idx="11">
                  <c:v>16.55</c:v>
                </c:pt>
                <c:pt idx="12">
                  <c:v>16.600000000000001</c:v>
                </c:pt>
                <c:pt idx="13">
                  <c:v>16.649999999999999</c:v>
                </c:pt>
                <c:pt idx="14">
                  <c:v>16.7</c:v>
                </c:pt>
                <c:pt idx="15">
                  <c:v>16.75</c:v>
                </c:pt>
                <c:pt idx="16">
                  <c:v>16.8</c:v>
                </c:pt>
                <c:pt idx="17">
                  <c:v>16.850000000000001</c:v>
                </c:pt>
              </c:numCache>
            </c:numRef>
          </c:xVal>
          <c:yVal>
            <c:numRef>
              <c:f>'All cells'!$O$87:$O$104</c:f>
              <c:numCache>
                <c:formatCode>General</c:formatCode>
                <c:ptCount val="18"/>
                <c:pt idx="0">
                  <c:v>20.84445863644109</c:v>
                </c:pt>
                <c:pt idx="1">
                  <c:v>7.5803639556376936</c:v>
                </c:pt>
                <c:pt idx="2">
                  <c:v>43.330474462751994</c:v>
                </c:pt>
                <c:pt idx="3">
                  <c:v>19.196806036618</c:v>
                </c:pt>
                <c:pt idx="4">
                  <c:v>31.740093566191099</c:v>
                </c:pt>
                <c:pt idx="5">
                  <c:v>9.4460006879060643</c:v>
                </c:pt>
                <c:pt idx="6">
                  <c:v>25.977798957572428</c:v>
                </c:pt>
                <c:pt idx="7">
                  <c:v>3.7813252151700283</c:v>
                </c:pt>
                <c:pt idx="8">
                  <c:v>31.064006681309554</c:v>
                </c:pt>
                <c:pt idx="9">
                  <c:v>31.538137121645335</c:v>
                </c:pt>
                <c:pt idx="10">
                  <c:v>29.512673443562189</c:v>
                </c:pt>
                <c:pt idx="11">
                  <c:v>15.434358764965921</c:v>
                </c:pt>
                <c:pt idx="12">
                  <c:v>38.506228434081294</c:v>
                </c:pt>
                <c:pt idx="13">
                  <c:v>19.134816788906637</c:v>
                </c:pt>
                <c:pt idx="14">
                  <c:v>14.914113830434998</c:v>
                </c:pt>
                <c:pt idx="15">
                  <c:v>11.485346090192815</c:v>
                </c:pt>
                <c:pt idx="16">
                  <c:v>5.4006744538614546</c:v>
                </c:pt>
                <c:pt idx="17">
                  <c:v>25.272117440565982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E1C-A3D3-3470D7FD0DA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cells'!$AR$39:$AR$62</c:f>
              <c:numCache>
                <c:formatCode>General</c:formatCode>
                <c:ptCount val="24"/>
                <c:pt idx="0">
                  <c:v>12.5</c:v>
                </c:pt>
                <c:pt idx="1">
                  <c:v>12.05</c:v>
                </c:pt>
                <c:pt idx="2">
                  <c:v>12.1</c:v>
                </c:pt>
                <c:pt idx="3">
                  <c:v>12.15</c:v>
                </c:pt>
                <c:pt idx="4">
                  <c:v>12.2</c:v>
                </c:pt>
                <c:pt idx="5">
                  <c:v>12.25</c:v>
                </c:pt>
                <c:pt idx="6">
                  <c:v>12.3</c:v>
                </c:pt>
                <c:pt idx="7">
                  <c:v>12.35</c:v>
                </c:pt>
                <c:pt idx="8">
                  <c:v>12.4</c:v>
                </c:pt>
                <c:pt idx="9">
                  <c:v>12.45</c:v>
                </c:pt>
                <c:pt idx="10">
                  <c:v>12.5</c:v>
                </c:pt>
                <c:pt idx="11">
                  <c:v>12.55</c:v>
                </c:pt>
                <c:pt idx="12">
                  <c:v>12.6</c:v>
                </c:pt>
                <c:pt idx="13">
                  <c:v>12.65</c:v>
                </c:pt>
                <c:pt idx="14">
                  <c:v>12.7</c:v>
                </c:pt>
                <c:pt idx="15">
                  <c:v>12.75</c:v>
                </c:pt>
                <c:pt idx="16">
                  <c:v>12.8</c:v>
                </c:pt>
                <c:pt idx="17">
                  <c:v>12.9</c:v>
                </c:pt>
                <c:pt idx="18">
                  <c:v>12.95</c:v>
                </c:pt>
                <c:pt idx="19">
                  <c:v>13</c:v>
                </c:pt>
                <c:pt idx="20">
                  <c:v>13.05</c:v>
                </c:pt>
                <c:pt idx="21">
                  <c:v>13.1</c:v>
                </c:pt>
                <c:pt idx="22">
                  <c:v>13.15</c:v>
                </c:pt>
                <c:pt idx="23">
                  <c:v>13.2</c:v>
                </c:pt>
              </c:numCache>
            </c:numRef>
          </c:xVal>
          <c:yVal>
            <c:numRef>
              <c:f>'All cells'!$AW$39:$AW$62</c:f>
              <c:numCache>
                <c:formatCode>General</c:formatCode>
                <c:ptCount val="24"/>
                <c:pt idx="0">
                  <c:v>26.832202484214477</c:v>
                </c:pt>
                <c:pt idx="1">
                  <c:v>32.601053198102299</c:v>
                </c:pt>
                <c:pt idx="2">
                  <c:v>22.869375327810527</c:v>
                </c:pt>
                <c:pt idx="3">
                  <c:v>22.87123879681344</c:v>
                </c:pt>
                <c:pt idx="4">
                  <c:v>30.22682040081289</c:v>
                </c:pt>
                <c:pt idx="5">
                  <c:v>25.503106126382363</c:v>
                </c:pt>
                <c:pt idx="6">
                  <c:v>26.989727009542765</c:v>
                </c:pt>
                <c:pt idx="7">
                  <c:v>14.548259124894136</c:v>
                </c:pt>
                <c:pt idx="8">
                  <c:v>30.674949015894903</c:v>
                </c:pt>
                <c:pt idx="9">
                  <c:v>19.815638021875227</c:v>
                </c:pt>
                <c:pt idx="10">
                  <c:v>24.259992871741964</c:v>
                </c:pt>
                <c:pt idx="11">
                  <c:v>30.113098948903222</c:v>
                </c:pt>
                <c:pt idx="12">
                  <c:v>27.880335760043426</c:v>
                </c:pt>
                <c:pt idx="13">
                  <c:v>16.543137713990237</c:v>
                </c:pt>
                <c:pt idx="14">
                  <c:v>30.681951089650415</c:v>
                </c:pt>
                <c:pt idx="15">
                  <c:v>36.253889483355238</c:v>
                </c:pt>
                <c:pt idx="16">
                  <c:v>30.831106823316134</c:v>
                </c:pt>
                <c:pt idx="17">
                  <c:v>17.16325957077429</c:v>
                </c:pt>
                <c:pt idx="18">
                  <c:v>23.230123596285377</c:v>
                </c:pt>
                <c:pt idx="19">
                  <c:v>20.818327162915494</c:v>
                </c:pt>
                <c:pt idx="20">
                  <c:v>45.917628188302146</c:v>
                </c:pt>
                <c:pt idx="21">
                  <c:v>35.209879244806388</c:v>
                </c:pt>
                <c:pt idx="22">
                  <c:v>21.799142906487415</c:v>
                </c:pt>
                <c:pt idx="23">
                  <c:v>23.764951869885202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56C-BEB8-65ED684416C2}"/>
            </c:ext>
          </c:extLst>
        </c:ser>
        <c:ser>
          <c:idx val="4"/>
          <c:order val="4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cells'!$Q$34,'All cells'!$AY$25,'All cells'!$Q$81,'All cells'!$AY$79,'All cells'!$Q$113,'All cells'!$AY$105)</c:f>
                <c:numCache>
                  <c:formatCode>General</c:formatCode>
                  <c:ptCount val="6"/>
                  <c:pt idx="0">
                    <c:v>11.869296794420572</c:v>
                  </c:pt>
                  <c:pt idx="1">
                    <c:v>14.725278674996437</c:v>
                  </c:pt>
                  <c:pt idx="2">
                    <c:v>8.7682248680687671</c:v>
                  </c:pt>
                  <c:pt idx="3">
                    <c:v>6.2712693843794014</c:v>
                  </c:pt>
                  <c:pt idx="4">
                    <c:v>11.320543914111765</c:v>
                  </c:pt>
                  <c:pt idx="5">
                    <c:v>5.8879012913262123</c:v>
                  </c:pt>
                </c:numCache>
              </c:numRef>
            </c:plus>
            <c:minus>
              <c:numRef>
                <c:f>('All cells'!$Q$34,'All cells'!$AY$25,'All cells'!$Q$81,'All cells'!$AY$79,'All cells'!$Q$113,'All cells'!$AY$105)</c:f>
                <c:numCache>
                  <c:formatCode>General</c:formatCode>
                  <c:ptCount val="6"/>
                  <c:pt idx="0">
                    <c:v>11.869296794420572</c:v>
                  </c:pt>
                  <c:pt idx="1">
                    <c:v>14.725278674996437</c:v>
                  </c:pt>
                  <c:pt idx="2">
                    <c:v>8.7682248680687671</c:v>
                  </c:pt>
                  <c:pt idx="3">
                    <c:v>6.2712693843794014</c:v>
                  </c:pt>
                  <c:pt idx="4">
                    <c:v>11.320543914111765</c:v>
                  </c:pt>
                  <c:pt idx="5">
                    <c:v>5.8879012913262123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('All cells'!$J$2,'All cells'!$AR$2,'All cells'!$J$39,'All cells'!$AR$39,'All cells'!$J$87,'All cells'!$AR$82)</c:f>
              <c:numCache>
                <c:formatCode>General</c:formatCode>
                <c:ptCount val="6"/>
                <c:pt idx="0">
                  <c:v>3.5</c:v>
                </c:pt>
                <c:pt idx="1">
                  <c:v>6.05</c:v>
                </c:pt>
                <c:pt idx="2">
                  <c:v>9.5</c:v>
                </c:pt>
                <c:pt idx="3">
                  <c:v>12.5</c:v>
                </c:pt>
                <c:pt idx="4">
                  <c:v>16.5</c:v>
                </c:pt>
                <c:pt idx="5">
                  <c:v>19</c:v>
                </c:pt>
              </c:numCache>
            </c:numRef>
          </c:xVal>
          <c:yVal>
            <c:numRef>
              <c:f>('All cells'!$Q$33,'All cells'!$AY$24,'All cells'!$Q$80,'All cells'!$AY$78,'All cells'!$Q$112,'All cells'!$AY$104)</c:f>
              <c:numCache>
                <c:formatCode>General</c:formatCode>
                <c:ptCount val="6"/>
                <c:pt idx="0">
                  <c:v>41.930192042766407</c:v>
                </c:pt>
                <c:pt idx="1">
                  <c:v>42.854988415876029</c:v>
                </c:pt>
                <c:pt idx="2">
                  <c:v>29.61080415494693</c:v>
                </c:pt>
                <c:pt idx="3">
                  <c:v>20.935940665497888</c:v>
                </c:pt>
                <c:pt idx="4">
                  <c:v>19.628689699992158</c:v>
                </c:pt>
                <c:pt idx="5">
                  <c:v>13.586086224024374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E-452D-A84F-8EACE8E7913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cells'!$AR$2:$AR$18</c:f>
              <c:numCache>
                <c:formatCode>General</c:formatCode>
                <c:ptCount val="17"/>
                <c:pt idx="0">
                  <c:v>6.05</c:v>
                </c:pt>
                <c:pt idx="1">
                  <c:v>6.1</c:v>
                </c:pt>
                <c:pt idx="2">
                  <c:v>6.15</c:v>
                </c:pt>
                <c:pt idx="3">
                  <c:v>6.2</c:v>
                </c:pt>
                <c:pt idx="4">
                  <c:v>6.25</c:v>
                </c:pt>
                <c:pt idx="5">
                  <c:v>6.3</c:v>
                </c:pt>
                <c:pt idx="6">
                  <c:v>6.35</c:v>
                </c:pt>
                <c:pt idx="7">
                  <c:v>6.4</c:v>
                </c:pt>
                <c:pt idx="8">
                  <c:v>6.45</c:v>
                </c:pt>
                <c:pt idx="9">
                  <c:v>6.5</c:v>
                </c:pt>
                <c:pt idx="10">
                  <c:v>6.55</c:v>
                </c:pt>
                <c:pt idx="11">
                  <c:v>6.6</c:v>
                </c:pt>
                <c:pt idx="12">
                  <c:v>6.65</c:v>
                </c:pt>
                <c:pt idx="13">
                  <c:v>6.7</c:v>
                </c:pt>
                <c:pt idx="14">
                  <c:v>6.75</c:v>
                </c:pt>
                <c:pt idx="15">
                  <c:v>6.8</c:v>
                </c:pt>
                <c:pt idx="16">
                  <c:v>6.85</c:v>
                </c:pt>
              </c:numCache>
            </c:numRef>
          </c:xVal>
          <c:yVal>
            <c:numRef>
              <c:f>'All cells'!$AW$2:$AW$15</c:f>
              <c:numCache>
                <c:formatCode>General</c:formatCode>
                <c:ptCount val="14"/>
                <c:pt idx="0">
                  <c:v>47.785732310286164</c:v>
                </c:pt>
                <c:pt idx="1">
                  <c:v>29.53707288819966</c:v>
                </c:pt>
                <c:pt idx="2">
                  <c:v>58.105359002158444</c:v>
                </c:pt>
                <c:pt idx="3">
                  <c:v>46.559098831906873</c:v>
                </c:pt>
                <c:pt idx="4">
                  <c:v>65.630454844507298</c:v>
                </c:pt>
                <c:pt idx="5">
                  <c:v>55.332610478661039</c:v>
                </c:pt>
                <c:pt idx="6">
                  <c:v>61.67247750619476</c:v>
                </c:pt>
                <c:pt idx="7">
                  <c:v>73.301080146631165</c:v>
                </c:pt>
                <c:pt idx="8">
                  <c:v>30.843542435344453</c:v>
                </c:pt>
                <c:pt idx="9">
                  <c:v>42.096397839996477</c:v>
                </c:pt>
                <c:pt idx="10">
                  <c:v>30.339626480898261</c:v>
                </c:pt>
                <c:pt idx="11">
                  <c:v>38.273365243423299</c:v>
                </c:pt>
                <c:pt idx="12">
                  <c:v>41.111287612228807</c:v>
                </c:pt>
                <c:pt idx="13">
                  <c:v>71.964899697943764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0-44B2-99C9-9C16247B5D5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cells'!$AR$82:$AR$101</c:f>
              <c:numCache>
                <c:formatCode>General</c:formatCode>
                <c:ptCount val="20"/>
                <c:pt idx="0">
                  <c:v>19</c:v>
                </c:pt>
                <c:pt idx="1">
                  <c:v>19.05</c:v>
                </c:pt>
                <c:pt idx="2">
                  <c:v>19.100000000000001</c:v>
                </c:pt>
                <c:pt idx="3">
                  <c:v>19.149999999999999</c:v>
                </c:pt>
                <c:pt idx="4">
                  <c:v>19.2</c:v>
                </c:pt>
                <c:pt idx="5">
                  <c:v>19.25</c:v>
                </c:pt>
                <c:pt idx="6">
                  <c:v>19.3</c:v>
                </c:pt>
                <c:pt idx="7">
                  <c:v>19.350000000000001</c:v>
                </c:pt>
                <c:pt idx="8">
                  <c:v>19.399999999999999</c:v>
                </c:pt>
                <c:pt idx="9">
                  <c:v>19.45</c:v>
                </c:pt>
                <c:pt idx="10">
                  <c:v>19.5</c:v>
                </c:pt>
                <c:pt idx="11">
                  <c:v>19.55</c:v>
                </c:pt>
                <c:pt idx="12">
                  <c:v>19.600000000000001</c:v>
                </c:pt>
                <c:pt idx="13">
                  <c:v>19.649999999999999</c:v>
                </c:pt>
                <c:pt idx="14">
                  <c:v>19.7</c:v>
                </c:pt>
                <c:pt idx="15">
                  <c:v>19.75</c:v>
                </c:pt>
                <c:pt idx="16">
                  <c:v>19.8</c:v>
                </c:pt>
                <c:pt idx="17">
                  <c:v>19.850000000000001</c:v>
                </c:pt>
                <c:pt idx="18">
                  <c:v>19.899999999999999</c:v>
                </c:pt>
                <c:pt idx="19">
                  <c:v>19.95</c:v>
                </c:pt>
              </c:numCache>
            </c:numRef>
          </c:xVal>
          <c:yVal>
            <c:numRef>
              <c:f>'All cells'!$AY$82:$AY$101</c:f>
              <c:numCache>
                <c:formatCode>General</c:formatCode>
                <c:ptCount val="20"/>
                <c:pt idx="0">
                  <c:v>21.600150464215464</c:v>
                </c:pt>
                <c:pt idx="1">
                  <c:v>21.055415018364858</c:v>
                </c:pt>
                <c:pt idx="2">
                  <c:v>11.509598948366358</c:v>
                </c:pt>
                <c:pt idx="3">
                  <c:v>11.301313830657529</c:v>
                </c:pt>
                <c:pt idx="4">
                  <c:v>16.696508715810143</c:v>
                </c:pt>
                <c:pt idx="5">
                  <c:v>20.665024458328702</c:v>
                </c:pt>
                <c:pt idx="6">
                  <c:v>18.076218695802158</c:v>
                </c:pt>
                <c:pt idx="7">
                  <c:v>11.291706914511861</c:v>
                </c:pt>
                <c:pt idx="8">
                  <c:v>7.3457422064955225</c:v>
                </c:pt>
                <c:pt idx="9">
                  <c:v>6.4200921815980871</c:v>
                </c:pt>
                <c:pt idx="10">
                  <c:v>20.466764471228466</c:v>
                </c:pt>
                <c:pt idx="11">
                  <c:v>10.485104198948871</c:v>
                </c:pt>
                <c:pt idx="12">
                  <c:v>14.343956035656374</c:v>
                </c:pt>
                <c:pt idx="13">
                  <c:v>14.479808319702482</c:v>
                </c:pt>
                <c:pt idx="14">
                  <c:v>7.5614981981624636</c:v>
                </c:pt>
                <c:pt idx="15">
                  <c:v>9.3154438382385525</c:v>
                </c:pt>
                <c:pt idx="16">
                  <c:v>8.3444050551417259</c:v>
                </c:pt>
                <c:pt idx="17">
                  <c:v>8.4448019979527977</c:v>
                </c:pt>
                <c:pt idx="18">
                  <c:v>6.8421226424859904</c:v>
                </c:pt>
                <c:pt idx="19">
                  <c:v>25.476048288819086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D-4D0B-BD5B-58FCCE0F5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3616"/>
        <c:axId val="925064272"/>
      </c:scatterChart>
      <c:valAx>
        <c:axId val="9250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4272"/>
        <c:crosses val="autoZero"/>
        <c:crossBetween val="midCat"/>
      </c:valAx>
      <c:valAx>
        <c:axId val="92506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FF slope (Hz/nA)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413504432223546E-2"/>
              <c:y val="0.3518463440537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90373369320741"/>
          <c:y val="4.5566051881841353E-2"/>
          <c:w val="0.83129396325459315"/>
          <c:h val="0.84353732919239"/>
        </c:manualLayout>
      </c:layout>
      <c:lineChart>
        <c:grouping val="standard"/>
        <c:varyColors val="0"/>
        <c:ser>
          <c:idx val="1"/>
          <c:order val="0"/>
          <c:tx>
            <c:v>CP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(Sheet1!$G$19,Sheet1!$U$19)</c:f>
              <c:numCache>
                <c:formatCode>General</c:formatCode>
                <c:ptCount val="2"/>
                <c:pt idx="0">
                  <c:v>178.62382373015797</c:v>
                </c:pt>
                <c:pt idx="1">
                  <c:v>117.51694076748669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4-4E4B-94A8-6D13F70FD30B}"/>
            </c:ext>
          </c:extLst>
        </c:ser>
        <c:ser>
          <c:idx val="2"/>
          <c:order val="1"/>
          <c:tx>
            <c:v>CP2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(Sheet1!$G$20,Sheet1!$W$20)</c:f>
              <c:numCache>
                <c:formatCode>General</c:formatCode>
                <c:ptCount val="2"/>
                <c:pt idx="0">
                  <c:v>147.72545100228444</c:v>
                </c:pt>
                <c:pt idx="1">
                  <c:v>105.38269336346502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4-4E4B-94A8-6D13F70FD30B}"/>
            </c:ext>
          </c:extLst>
        </c:ser>
        <c:ser>
          <c:idx val="3"/>
          <c:order val="2"/>
          <c:tx>
            <c:v>CT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(Sheet1!$G$21,Sheet1!$W$21)</c:f>
              <c:numCache>
                <c:formatCode>General</c:formatCode>
                <c:ptCount val="2"/>
                <c:pt idx="0">
                  <c:v>144.75318674342833</c:v>
                </c:pt>
                <c:pt idx="1">
                  <c:v>120.72951865370514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4-4E4B-94A8-6D13F70FD30B}"/>
            </c:ext>
          </c:extLst>
        </c:ser>
        <c:ser>
          <c:idx val="4"/>
          <c:order val="3"/>
          <c:tx>
            <c:v>BV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(Sheet1!$G$23,Sheet1!$V$23)</c:f>
              <c:numCache>
                <c:formatCode>General</c:formatCode>
                <c:ptCount val="2"/>
                <c:pt idx="0">
                  <c:v>139.30310477335175</c:v>
                </c:pt>
                <c:pt idx="1">
                  <c:v>104.90702114120029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94-4E4B-94A8-6D13F70FD30B}"/>
            </c:ext>
          </c:extLst>
        </c:ser>
        <c:ser>
          <c:idx val="5"/>
          <c:order val="4"/>
          <c:tx>
            <c:v>CV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>
                    <a:alpha val="80000"/>
                  </a:schemeClr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(Sheet1!$G$24,Sheet1!$W$24)</c:f>
              <c:numCache>
                <c:formatCode>General</c:formatCode>
                <c:ptCount val="2"/>
                <c:pt idx="0">
                  <c:v>138.9426441091714</c:v>
                </c:pt>
                <c:pt idx="1">
                  <c:v>129.91545825276611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94-4E4B-94A8-6D13F70FD30B}"/>
            </c:ext>
          </c:extLst>
        </c:ser>
        <c:ser>
          <c:idx val="6"/>
          <c:order val="5"/>
          <c:tx>
            <c:v>BP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Sheet1!$H$1:$I$1</c:f>
              <c:strCache>
                <c:ptCount val="2"/>
                <c:pt idx="0">
                  <c:v>Muscarine </c:v>
                </c:pt>
                <c:pt idx="1">
                  <c:v>Muscarine + GxTx</c:v>
                </c:pt>
              </c:strCache>
            </c:strRef>
          </c:cat>
          <c:val>
            <c:numRef>
              <c:f>(Sheet1!$G$22,Sheet1!$W$22)</c:f>
              <c:numCache>
                <c:formatCode>General</c:formatCode>
                <c:ptCount val="2"/>
                <c:pt idx="0">
                  <c:v>185.4218908113983</c:v>
                </c:pt>
                <c:pt idx="1">
                  <c:v>207.51109899122983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3-4874-851D-23FF00E4713C}"/>
            </c:ext>
          </c:extLst>
        </c:ser>
        <c:ser>
          <c:idx val="7"/>
          <c:order val="6"/>
          <c:tx>
            <c:v>Mean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val>
            <c:numRef>
              <c:f>Sheet1!$B$7:$C$7</c:f>
              <c:numCache>
                <c:formatCode>General</c:formatCode>
                <c:ptCount val="2"/>
                <c:pt idx="0">
                  <c:v>155.79501686163204</c:v>
                </c:pt>
                <c:pt idx="1">
                  <c:v>132.31299446355936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6-42C2-B10D-5947C713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87416"/>
        <c:axId val="932792336"/>
      </c:lineChart>
      <c:catAx>
        <c:axId val="9327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92336"/>
        <c:crosses val="autoZero"/>
        <c:auto val="1"/>
        <c:lblAlgn val="ctr"/>
        <c:lblOffset val="100"/>
        <c:noMultiLvlLbl val="0"/>
      </c:catAx>
      <c:valAx>
        <c:axId val="932792336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Steady</a:t>
                </a:r>
                <a:r>
                  <a:rPr lang="en-GB" baseline="0"/>
                  <a:t> state</a:t>
                </a:r>
                <a:r>
                  <a:rPr lang="en-GB"/>
                  <a:t> FF slope  (%</a:t>
                </a:r>
                <a:r>
                  <a:rPr lang="en-GB" baseline="0"/>
                  <a:t> of control)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"/>
              <c:y val="0.12617885264341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Sheet3!$A$3:$A$7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Sheet3!$D$3:$D$7</c:f>
              <c:numCache>
                <c:formatCode>General</c:formatCode>
                <c:ptCount val="5"/>
                <c:pt idx="0">
                  <c:v>3</c:v>
                </c:pt>
                <c:pt idx="1">
                  <c:v>4.5</c:v>
                </c:pt>
                <c:pt idx="2">
                  <c:v>9.5</c:v>
                </c:pt>
                <c:pt idx="3">
                  <c:v>12.599999999999994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7-4CE7-9077-2036BB7B2BB2}"/>
            </c:ext>
          </c:extLst>
        </c:ser>
        <c:ser>
          <c:idx val="1"/>
          <c:order val="1"/>
          <c:tx>
            <c:v>P6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Sheet3!$A$3:$A$7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Sheet3!$C$3:$C$7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1.25</c:v>
                </c:pt>
                <c:pt idx="3">
                  <c:v>2.2400000000000091</c:v>
                </c:pt>
                <c:pt idx="4">
                  <c:v>3.3599999999999994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7-4CE7-9077-2036BB7B2BB2}"/>
            </c:ext>
          </c:extLst>
        </c:ser>
        <c:ser>
          <c:idx val="2"/>
          <c:order val="2"/>
          <c:tx>
            <c:v>P15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Sheet3!$A$3:$A$7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Sheet3!$B$3:$B$7</c:f>
              <c:numCache>
                <c:formatCode>General</c:formatCode>
                <c:ptCount val="5"/>
                <c:pt idx="0">
                  <c:v>1.4400000000000119</c:v>
                </c:pt>
                <c:pt idx="1">
                  <c:v>3.5700000000000074</c:v>
                </c:pt>
                <c:pt idx="2">
                  <c:v>5.9900000000000091</c:v>
                </c:pt>
                <c:pt idx="3">
                  <c:v>8.4099999999999966</c:v>
                </c:pt>
                <c:pt idx="4">
                  <c:v>10.438019999999995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7-4CE7-9077-2036BB7B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70648"/>
        <c:axId val="523474912"/>
      </c:scatterChart>
      <c:valAx>
        <c:axId val="52347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 (nA)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3474912"/>
        <c:crosses val="autoZero"/>
        <c:crossBetween val="midCat"/>
      </c:valAx>
      <c:valAx>
        <c:axId val="52347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Sag amplitude  (mV)</a:t>
                </a:r>
              </a:p>
            </c:rich>
          </c:tx>
          <c:layout>
            <c:manualLayout>
              <c:xMode val="edge"/>
              <c:yMode val="edge"/>
              <c:x val="2.8962611901000527E-2"/>
              <c:y val="7.87118360518611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347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6851043182923"/>
          <c:y val="6.8512110726643594E-2"/>
          <c:w val="0.79759825327510914"/>
          <c:h val="0.8595924644367550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Sheet3!$J$2:$J$10</c:f>
              <c:numCache>
                <c:formatCode>General</c:formatCod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</c:numCache>
            </c:numRef>
          </c:xVal>
          <c:yVal>
            <c:numRef>
              <c:f>Sheet3!$M$2:$M$10</c:f>
              <c:numCache>
                <c:formatCode>General</c:formatCode>
                <c:ptCount val="9"/>
                <c:pt idx="0">
                  <c:v>-77.09</c:v>
                </c:pt>
                <c:pt idx="1">
                  <c:v>-72.06</c:v>
                </c:pt>
                <c:pt idx="2">
                  <c:v>-67.58</c:v>
                </c:pt>
                <c:pt idx="3">
                  <c:v>-63</c:v>
                </c:pt>
                <c:pt idx="4">
                  <c:v>-58.47</c:v>
                </c:pt>
                <c:pt idx="5">
                  <c:v>-53.85</c:v>
                </c:pt>
                <c:pt idx="6">
                  <c:v>-48.95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7-4CE7-9077-2036BB7B2B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Sheet3!$J$2:$J$10</c:f>
              <c:numCache>
                <c:formatCode>General</c:formatCod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</c:numCache>
            </c:numRef>
          </c:xVal>
          <c:yVal>
            <c:numRef>
              <c:f>Sheet3!$L$2:$L$10</c:f>
              <c:numCache>
                <c:formatCode>General</c:formatCode>
                <c:ptCount val="9"/>
                <c:pt idx="0">
                  <c:v>-72.599999999999994</c:v>
                </c:pt>
                <c:pt idx="1">
                  <c:v>-69.099999999999994</c:v>
                </c:pt>
                <c:pt idx="2">
                  <c:v>-66.7</c:v>
                </c:pt>
                <c:pt idx="3">
                  <c:v>-63.8</c:v>
                </c:pt>
                <c:pt idx="4">
                  <c:v>-61.4</c:v>
                </c:pt>
                <c:pt idx="5">
                  <c:v>-59</c:v>
                </c:pt>
                <c:pt idx="6">
                  <c:v>-56.7</c:v>
                </c:pt>
                <c:pt idx="7">
                  <c:v>-54.6</c:v>
                </c:pt>
                <c:pt idx="8">
                  <c:v>-52.2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7-4CE7-9077-2036BB7B2BB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Sheet3!$J$2:$J$10</c:f>
              <c:numCache>
                <c:formatCode>General</c:formatCod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</c:numCache>
            </c:numRef>
          </c:xVal>
          <c:yVal>
            <c:numRef>
              <c:f>Sheet3!$K$2:$K$10</c:f>
              <c:numCache>
                <c:formatCode>General</c:formatCode>
                <c:ptCount val="9"/>
                <c:pt idx="0">
                  <c:v>-67.81</c:v>
                </c:pt>
                <c:pt idx="1">
                  <c:v>-66.89</c:v>
                </c:pt>
                <c:pt idx="2">
                  <c:v>-65.63</c:v>
                </c:pt>
                <c:pt idx="3">
                  <c:v>-64.88</c:v>
                </c:pt>
                <c:pt idx="4">
                  <c:v>-63.7</c:v>
                </c:pt>
                <c:pt idx="5">
                  <c:v>-62.61</c:v>
                </c:pt>
                <c:pt idx="6">
                  <c:v>-61.52</c:v>
                </c:pt>
                <c:pt idx="7">
                  <c:v>-60.76</c:v>
                </c:pt>
                <c:pt idx="8">
                  <c:v>-59.76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7-4CE7-9077-2036BB7B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70648"/>
        <c:axId val="523474912"/>
      </c:scatterChart>
      <c:valAx>
        <c:axId val="523470648"/>
        <c:scaling>
          <c:orientation val="minMax"/>
          <c:max val="0.60000000000000009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nA</a:t>
                </a:r>
              </a:p>
            </c:rich>
          </c:tx>
          <c:layout>
            <c:manualLayout>
              <c:xMode val="edge"/>
              <c:yMode val="edge"/>
              <c:x val="0.84687656401028477"/>
              <c:y val="0.66282199154171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3474912"/>
        <c:crossesAt val="-65"/>
        <c:crossBetween val="midCat"/>
        <c:majorUnit val="0.30000000000000004"/>
      </c:valAx>
      <c:valAx>
        <c:axId val="523474912"/>
        <c:scaling>
          <c:orientation val="minMax"/>
          <c:max val="-50"/>
          <c:min val="-8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mV</a:t>
                </a:r>
              </a:p>
            </c:rich>
          </c:tx>
          <c:layout>
            <c:manualLayout>
              <c:xMode val="edge"/>
              <c:yMode val="edge"/>
              <c:x val="0.44638524987869965"/>
              <c:y val="0.84582852748942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347064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>
              <a:noFill/>
            </a:ln>
          </c:spPr>
          <c:marker>
            <c:symbol val="circle"/>
            <c:size val="9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[2]Sheet1!$K$3:$K$12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[2]Sheet1!$L$3:$L$12</c:f>
              <c:numCache>
                <c:formatCode>General</c:formatCode>
                <c:ptCount val="10"/>
                <c:pt idx="0">
                  <c:v>11.659432106142161</c:v>
                </c:pt>
                <c:pt idx="1">
                  <c:v>21.074819681529892</c:v>
                </c:pt>
                <c:pt idx="2">
                  <c:v>26.57313259563043</c:v>
                </c:pt>
                <c:pt idx="3">
                  <c:v>29.940226680826793</c:v>
                </c:pt>
                <c:pt idx="4">
                  <c:v>33.48240016164155</c:v>
                </c:pt>
                <c:pt idx="5">
                  <c:v>36.508410731799948</c:v>
                </c:pt>
                <c:pt idx="6">
                  <c:v>39.383683173915024</c:v>
                </c:pt>
                <c:pt idx="7">
                  <c:v>42.16677383674331</c:v>
                </c:pt>
                <c:pt idx="8">
                  <c:v>44.900574250581911</c:v>
                </c:pt>
                <c:pt idx="9">
                  <c:v>48.330630531078008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0-4D7F-B012-8FD82EE18646}"/>
            </c:ext>
          </c:extLst>
        </c:ser>
        <c:ser>
          <c:idx val="4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9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[3]Sheet1!$K$3:$K$13</c:f>
              <c:numCache>
                <c:formatCode>General</c:formatCode>
                <c:ptCount val="11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</c:numCache>
            </c:numRef>
          </c:xVal>
          <c:yVal>
            <c:numRef>
              <c:f>[3]Sheet1!$L$3:$L$13</c:f>
              <c:numCache>
                <c:formatCode>General</c:formatCode>
                <c:ptCount val="11"/>
                <c:pt idx="0">
                  <c:v>8.4025125532059999</c:v>
                </c:pt>
                <c:pt idx="1">
                  <c:v>13.915254244804386</c:v>
                </c:pt>
                <c:pt idx="2">
                  <c:v>17.321600098848521</c:v>
                </c:pt>
                <c:pt idx="3">
                  <c:v>20.498003050194963</c:v>
                </c:pt>
                <c:pt idx="4">
                  <c:v>23.457528175818926</c:v>
                </c:pt>
                <c:pt idx="5">
                  <c:v>27.174949262605992</c:v>
                </c:pt>
                <c:pt idx="6">
                  <c:v>30.454511909945776</c:v>
                </c:pt>
                <c:pt idx="7">
                  <c:v>33.029043824868658</c:v>
                </c:pt>
                <c:pt idx="8">
                  <c:v>34.475383810095082</c:v>
                </c:pt>
                <c:pt idx="9">
                  <c:v>36.569913894440994</c:v>
                </c:pt>
                <c:pt idx="10">
                  <c:v>38.626042294107165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0-4D7F-B012-8FD82EE18646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[4]Sheet1!$AH$5:$AH$13</c:f>
              <c:numCache>
                <c:formatCode>General</c:formatCode>
                <c:ptCount val="9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</c:numCache>
            </c:numRef>
          </c:xVal>
          <c:yVal>
            <c:numRef>
              <c:f>[4]Sheet1!$AI$5:$AI$13</c:f>
              <c:numCache>
                <c:formatCode>General</c:formatCode>
                <c:ptCount val="9"/>
                <c:pt idx="0">
                  <c:v>6.5457431529383188</c:v>
                </c:pt>
                <c:pt idx="1">
                  <c:v>8.7258055272527564</c:v>
                </c:pt>
                <c:pt idx="2">
                  <c:v>10.412504320829907</c:v>
                </c:pt>
                <c:pt idx="3">
                  <c:v>11.940251092185791</c:v>
                </c:pt>
                <c:pt idx="4">
                  <c:v>13.297673923402144</c:v>
                </c:pt>
                <c:pt idx="5">
                  <c:v>14.549053912091193</c:v>
                </c:pt>
                <c:pt idx="6">
                  <c:v>15.994168451018661</c:v>
                </c:pt>
                <c:pt idx="7">
                  <c:v>17.30376875267352</c:v>
                </c:pt>
                <c:pt idx="8">
                  <c:v>18.221917548745544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0-4D7F-B012-8FD82EE18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38920"/>
        <c:axId val="421832360"/>
      </c:scatterChart>
      <c:valAx>
        <c:axId val="42183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32360"/>
        <c:crosses val="autoZero"/>
        <c:crossBetween val="midCat"/>
      </c:valAx>
      <c:valAx>
        <c:axId val="421832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389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cells'!$J$2:$J$24</c:f>
              <c:numCache>
                <c:formatCode>General</c:formatCode>
                <c:ptCount val="23"/>
                <c:pt idx="0">
                  <c:v>3.5</c:v>
                </c:pt>
                <c:pt idx="1">
                  <c:v>3.05</c:v>
                </c:pt>
                <c:pt idx="2">
                  <c:v>3.1</c:v>
                </c:pt>
                <c:pt idx="3">
                  <c:v>3.15</c:v>
                </c:pt>
                <c:pt idx="4">
                  <c:v>3.2</c:v>
                </c:pt>
                <c:pt idx="5">
                  <c:v>3.25</c:v>
                </c:pt>
                <c:pt idx="6">
                  <c:v>3.3</c:v>
                </c:pt>
                <c:pt idx="7">
                  <c:v>3.35</c:v>
                </c:pt>
                <c:pt idx="8">
                  <c:v>3.4</c:v>
                </c:pt>
                <c:pt idx="9">
                  <c:v>3.45</c:v>
                </c:pt>
                <c:pt idx="10">
                  <c:v>3.5</c:v>
                </c:pt>
                <c:pt idx="12">
                  <c:v>3.6</c:v>
                </c:pt>
                <c:pt idx="13">
                  <c:v>3.65</c:v>
                </c:pt>
                <c:pt idx="14">
                  <c:v>3.7</c:v>
                </c:pt>
                <c:pt idx="15">
                  <c:v>3.75</c:v>
                </c:pt>
                <c:pt idx="16">
                  <c:v>3.8</c:v>
                </c:pt>
                <c:pt idx="18">
                  <c:v>3.9</c:v>
                </c:pt>
                <c:pt idx="21">
                  <c:v>4.05</c:v>
                </c:pt>
                <c:pt idx="22">
                  <c:v>4.0999999999999996</c:v>
                </c:pt>
              </c:numCache>
            </c:numRef>
          </c:xVal>
          <c:yVal>
            <c:numRef>
              <c:f>'All cells'!$E$2:$E$24</c:f>
              <c:numCache>
                <c:formatCode>General</c:formatCode>
                <c:ptCount val="23"/>
                <c:pt idx="0">
                  <c:v>77.549437766576133</c:v>
                </c:pt>
                <c:pt idx="1">
                  <c:v>122.9105211406097</c:v>
                </c:pt>
                <c:pt idx="2">
                  <c:v>138.66258572218629</c:v>
                </c:pt>
                <c:pt idx="3">
                  <c:v>151.05740181268936</c:v>
                </c:pt>
                <c:pt idx="4">
                  <c:v>135.2447930754665</c:v>
                </c:pt>
                <c:pt idx="5">
                  <c:v>115.02185415228909</c:v>
                </c:pt>
                <c:pt idx="6">
                  <c:v>110</c:v>
                </c:pt>
                <c:pt idx="7">
                  <c:v>141.63</c:v>
                </c:pt>
                <c:pt idx="8">
                  <c:v>126.1352169525732</c:v>
                </c:pt>
                <c:pt idx="9">
                  <c:v>120.90436464756397</c:v>
                </c:pt>
                <c:pt idx="10">
                  <c:v>103.45541071798058</c:v>
                </c:pt>
                <c:pt idx="12">
                  <c:v>104.3841336116912</c:v>
                </c:pt>
                <c:pt idx="13">
                  <c:v>94.759783947692625</c:v>
                </c:pt>
                <c:pt idx="14">
                  <c:v>131.09596224436262</c:v>
                </c:pt>
                <c:pt idx="15">
                  <c:v>128.98232942086909</c:v>
                </c:pt>
                <c:pt idx="16">
                  <c:v>114.42956860052632</c:v>
                </c:pt>
                <c:pt idx="18">
                  <c:v>62.586055826761765</c:v>
                </c:pt>
                <c:pt idx="21">
                  <c:v>76.103500761034923</c:v>
                </c:pt>
                <c:pt idx="22">
                  <c:v>93.808630393996282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E1C-A3D3-3470D7FD0DA9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cells'!$AR$2:$AR$18</c:f>
              <c:numCache>
                <c:formatCode>General</c:formatCode>
                <c:ptCount val="17"/>
                <c:pt idx="0">
                  <c:v>6.05</c:v>
                </c:pt>
                <c:pt idx="1">
                  <c:v>6.1</c:v>
                </c:pt>
                <c:pt idx="2">
                  <c:v>6.15</c:v>
                </c:pt>
                <c:pt idx="3">
                  <c:v>6.2</c:v>
                </c:pt>
                <c:pt idx="4">
                  <c:v>6.25</c:v>
                </c:pt>
                <c:pt idx="5">
                  <c:v>6.3</c:v>
                </c:pt>
                <c:pt idx="6">
                  <c:v>6.35</c:v>
                </c:pt>
                <c:pt idx="7">
                  <c:v>6.4</c:v>
                </c:pt>
                <c:pt idx="8">
                  <c:v>6.45</c:v>
                </c:pt>
                <c:pt idx="9">
                  <c:v>6.5</c:v>
                </c:pt>
                <c:pt idx="10">
                  <c:v>6.55</c:v>
                </c:pt>
                <c:pt idx="11">
                  <c:v>6.6</c:v>
                </c:pt>
                <c:pt idx="12">
                  <c:v>6.65</c:v>
                </c:pt>
                <c:pt idx="13">
                  <c:v>6.7</c:v>
                </c:pt>
                <c:pt idx="14">
                  <c:v>6.75</c:v>
                </c:pt>
                <c:pt idx="15">
                  <c:v>6.8</c:v>
                </c:pt>
                <c:pt idx="16">
                  <c:v>6.85</c:v>
                </c:pt>
              </c:numCache>
            </c:numRef>
          </c:xVal>
          <c:yVal>
            <c:numRef>
              <c:f>'All cells'!$AM$2:$AM$18</c:f>
              <c:numCache>
                <c:formatCode>General</c:formatCode>
                <c:ptCount val="17"/>
                <c:pt idx="0">
                  <c:v>102.63779123473267</c:v>
                </c:pt>
                <c:pt idx="1">
                  <c:v>112.04481792717073</c:v>
                </c:pt>
                <c:pt idx="2">
                  <c:v>110.90163025396478</c:v>
                </c:pt>
                <c:pt idx="3">
                  <c:v>110.21712774165096</c:v>
                </c:pt>
                <c:pt idx="4">
                  <c:v>42.74417610600554</c:v>
                </c:pt>
                <c:pt idx="5">
                  <c:v>78.204426370532531</c:v>
                </c:pt>
                <c:pt idx="6">
                  <c:v>90.637179370978075</c:v>
                </c:pt>
                <c:pt idx="7">
                  <c:v>67.226890756302524</c:v>
                </c:pt>
                <c:pt idx="8">
                  <c:v>117.564072419469</c:v>
                </c:pt>
                <c:pt idx="9">
                  <c:v>132.27513227513222</c:v>
                </c:pt>
                <c:pt idx="10">
                  <c:v>139.0047261606897</c:v>
                </c:pt>
                <c:pt idx="11">
                  <c:v>108.18998160770319</c:v>
                </c:pt>
                <c:pt idx="12">
                  <c:v>119.58861516383648</c:v>
                </c:pt>
                <c:pt idx="13">
                  <c:v>95.147478591817148</c:v>
                </c:pt>
                <c:pt idx="14">
                  <c:v>130.0052002080082</c:v>
                </c:pt>
                <c:pt idx="15">
                  <c:v>118.45534233593965</c:v>
                </c:pt>
                <c:pt idx="16">
                  <c:v>127.92631444288125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2-4D81-B87D-CDC4D3411EFF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cells'!$J$39:$J$64</c:f>
              <c:numCache>
                <c:formatCode>General</c:formatCode>
                <c:ptCount val="26"/>
                <c:pt idx="0">
                  <c:v>9.5</c:v>
                </c:pt>
                <c:pt idx="1">
                  <c:v>9.0500000000000007</c:v>
                </c:pt>
                <c:pt idx="2">
                  <c:v>9.1</c:v>
                </c:pt>
                <c:pt idx="3">
                  <c:v>9.15</c:v>
                </c:pt>
                <c:pt idx="4">
                  <c:v>9.1999999999999993</c:v>
                </c:pt>
                <c:pt idx="5">
                  <c:v>9.25</c:v>
                </c:pt>
                <c:pt idx="6">
                  <c:v>9.3000000000000007</c:v>
                </c:pt>
                <c:pt idx="7">
                  <c:v>9.3499999999999908</c:v>
                </c:pt>
                <c:pt idx="8">
                  <c:v>9.3999999999999897</c:v>
                </c:pt>
                <c:pt idx="9">
                  <c:v>9.4499999999999904</c:v>
                </c:pt>
                <c:pt idx="10">
                  <c:v>9.4999999999999893</c:v>
                </c:pt>
                <c:pt idx="11">
                  <c:v>9.5499999999999901</c:v>
                </c:pt>
                <c:pt idx="12">
                  <c:v>9.5999999999999908</c:v>
                </c:pt>
                <c:pt idx="13">
                  <c:v>9.6499999999999897</c:v>
                </c:pt>
                <c:pt idx="14">
                  <c:v>9.6999999999999904</c:v>
                </c:pt>
                <c:pt idx="15">
                  <c:v>9.7499999999999893</c:v>
                </c:pt>
                <c:pt idx="16">
                  <c:v>9.7999999999999794</c:v>
                </c:pt>
                <c:pt idx="17">
                  <c:v>9.8499999999999801</c:v>
                </c:pt>
                <c:pt idx="18">
                  <c:v>9.8999999999999808</c:v>
                </c:pt>
                <c:pt idx="19">
                  <c:v>9.9499999999999797</c:v>
                </c:pt>
                <c:pt idx="20">
                  <c:v>9.9999999999999805</c:v>
                </c:pt>
                <c:pt idx="21">
                  <c:v>10.050000000000001</c:v>
                </c:pt>
                <c:pt idx="22">
                  <c:v>10.1</c:v>
                </c:pt>
                <c:pt idx="23">
                  <c:v>10.15</c:v>
                </c:pt>
                <c:pt idx="24">
                  <c:v>10.199999999999999</c:v>
                </c:pt>
                <c:pt idx="25">
                  <c:v>10.25</c:v>
                </c:pt>
              </c:numCache>
            </c:numRef>
          </c:xVal>
          <c:yVal>
            <c:numRef>
              <c:f>'All cells'!$E$39:$E$64</c:f>
              <c:numCache>
                <c:formatCode>General</c:formatCode>
                <c:ptCount val="26"/>
                <c:pt idx="0">
                  <c:v>130.7531380753139</c:v>
                </c:pt>
                <c:pt idx="1">
                  <c:v>164.20361247947449</c:v>
                </c:pt>
                <c:pt idx="2">
                  <c:v>130.17443374121291</c:v>
                </c:pt>
                <c:pt idx="3">
                  <c:v>145.39110206455391</c:v>
                </c:pt>
                <c:pt idx="4">
                  <c:v>172.9206294310915</c:v>
                </c:pt>
                <c:pt idx="5">
                  <c:v>174.52006980802739</c:v>
                </c:pt>
                <c:pt idx="6">
                  <c:v>165.8374792703151</c:v>
                </c:pt>
                <c:pt idx="7">
                  <c:v>173.2501732501735</c:v>
                </c:pt>
                <c:pt idx="8">
                  <c:v>214.13276231263441</c:v>
                </c:pt>
                <c:pt idx="9">
                  <c:v>177.935</c:v>
                </c:pt>
                <c:pt idx="10">
                  <c:v>154.15446277169735</c:v>
                </c:pt>
                <c:pt idx="11">
                  <c:v>167.1961210499918</c:v>
                </c:pt>
                <c:pt idx="12">
                  <c:v>153.35071308081615</c:v>
                </c:pt>
                <c:pt idx="13">
                  <c:v>66.56460094521735</c:v>
                </c:pt>
                <c:pt idx="14">
                  <c:v>115.76753878212543</c:v>
                </c:pt>
                <c:pt idx="15">
                  <c:v>88.144557073600708</c:v>
                </c:pt>
                <c:pt idx="16">
                  <c:v>128.86597938144345</c:v>
                </c:pt>
                <c:pt idx="17">
                  <c:v>121.06537530266357</c:v>
                </c:pt>
                <c:pt idx="18">
                  <c:v>122.88031457360523</c:v>
                </c:pt>
                <c:pt idx="19">
                  <c:v>107.57314974182454</c:v>
                </c:pt>
                <c:pt idx="20">
                  <c:v>115.6470452179948</c:v>
                </c:pt>
                <c:pt idx="21">
                  <c:v>115.16756881262208</c:v>
                </c:pt>
                <c:pt idx="22">
                  <c:v>109.20607185759515</c:v>
                </c:pt>
                <c:pt idx="23">
                  <c:v>128.98232942086909</c:v>
                </c:pt>
                <c:pt idx="24">
                  <c:v>113.25028312570765</c:v>
                </c:pt>
                <c:pt idx="25">
                  <c:v>82.257135806531338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E1C-A3D3-3470D7FD0DA9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7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cells'!$J$87:$J$104</c:f>
              <c:numCache>
                <c:formatCode>General</c:formatCode>
                <c:ptCount val="18"/>
                <c:pt idx="0">
                  <c:v>16.5</c:v>
                </c:pt>
                <c:pt idx="1">
                  <c:v>16.05</c:v>
                </c:pt>
                <c:pt idx="2">
                  <c:v>16.100000000000001</c:v>
                </c:pt>
                <c:pt idx="3">
                  <c:v>16.149999999999999</c:v>
                </c:pt>
                <c:pt idx="4">
                  <c:v>16.2</c:v>
                </c:pt>
                <c:pt idx="5">
                  <c:v>16.25</c:v>
                </c:pt>
                <c:pt idx="6">
                  <c:v>16.3</c:v>
                </c:pt>
                <c:pt idx="7">
                  <c:v>16.350000000000001</c:v>
                </c:pt>
                <c:pt idx="8">
                  <c:v>16.399999999999999</c:v>
                </c:pt>
                <c:pt idx="9">
                  <c:v>16.45</c:v>
                </c:pt>
                <c:pt idx="10">
                  <c:v>16.5</c:v>
                </c:pt>
                <c:pt idx="11">
                  <c:v>16.55</c:v>
                </c:pt>
                <c:pt idx="12">
                  <c:v>16.600000000000001</c:v>
                </c:pt>
                <c:pt idx="13">
                  <c:v>16.649999999999999</c:v>
                </c:pt>
                <c:pt idx="14">
                  <c:v>16.7</c:v>
                </c:pt>
                <c:pt idx="15">
                  <c:v>16.75</c:v>
                </c:pt>
                <c:pt idx="16">
                  <c:v>16.8</c:v>
                </c:pt>
                <c:pt idx="17">
                  <c:v>16.850000000000001</c:v>
                </c:pt>
              </c:numCache>
            </c:numRef>
          </c:xVal>
          <c:yVal>
            <c:numRef>
              <c:f>'All cells'!$E$87:$E$104</c:f>
              <c:numCache>
                <c:formatCode>General</c:formatCode>
                <c:ptCount val="18"/>
                <c:pt idx="0">
                  <c:v>127.9099513942183</c:v>
                </c:pt>
                <c:pt idx="1">
                  <c:v>144.15453366008401</c:v>
                </c:pt>
                <c:pt idx="2">
                  <c:v>157.15857300015716</c:v>
                </c:pt>
                <c:pt idx="3">
                  <c:v>194.81784531463046</c:v>
                </c:pt>
                <c:pt idx="4">
                  <c:v>181.35654697134626</c:v>
                </c:pt>
                <c:pt idx="5">
                  <c:v>225.07314877335216</c:v>
                </c:pt>
                <c:pt idx="6">
                  <c:v>168.54879487611683</c:v>
                </c:pt>
                <c:pt idx="7">
                  <c:v>116.10356437942646</c:v>
                </c:pt>
                <c:pt idx="8">
                  <c:v>148.21402104639068</c:v>
                </c:pt>
                <c:pt idx="9">
                  <c:v>67.953248165262266</c:v>
                </c:pt>
                <c:pt idx="10">
                  <c:v>178.31669044222525</c:v>
                </c:pt>
                <c:pt idx="11">
                  <c:v>161.36840406648372</c:v>
                </c:pt>
                <c:pt idx="12">
                  <c:v>194.09937888198809</c:v>
                </c:pt>
                <c:pt idx="13">
                  <c:v>169.57775139901588</c:v>
                </c:pt>
                <c:pt idx="14">
                  <c:v>220.94564737074629</c:v>
                </c:pt>
                <c:pt idx="15">
                  <c:v>221.63120567375884</c:v>
                </c:pt>
                <c:pt idx="16">
                  <c:v>198.01980198019868</c:v>
                </c:pt>
                <c:pt idx="17">
                  <c:v>162.89297931259136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E1C-A3D3-3470D7FD0DA9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cells'!$AR$39:$AR$62</c:f>
              <c:numCache>
                <c:formatCode>General</c:formatCode>
                <c:ptCount val="24"/>
                <c:pt idx="0">
                  <c:v>12.5</c:v>
                </c:pt>
                <c:pt idx="1">
                  <c:v>12.05</c:v>
                </c:pt>
                <c:pt idx="2">
                  <c:v>12.1</c:v>
                </c:pt>
                <c:pt idx="3">
                  <c:v>12.15</c:v>
                </c:pt>
                <c:pt idx="4">
                  <c:v>12.2</c:v>
                </c:pt>
                <c:pt idx="5">
                  <c:v>12.25</c:v>
                </c:pt>
                <c:pt idx="6">
                  <c:v>12.3</c:v>
                </c:pt>
                <c:pt idx="7">
                  <c:v>12.35</c:v>
                </c:pt>
                <c:pt idx="8">
                  <c:v>12.4</c:v>
                </c:pt>
                <c:pt idx="9">
                  <c:v>12.45</c:v>
                </c:pt>
                <c:pt idx="10">
                  <c:v>12.5</c:v>
                </c:pt>
                <c:pt idx="11">
                  <c:v>12.55</c:v>
                </c:pt>
                <c:pt idx="12">
                  <c:v>12.6</c:v>
                </c:pt>
                <c:pt idx="13">
                  <c:v>12.65</c:v>
                </c:pt>
                <c:pt idx="14">
                  <c:v>12.7</c:v>
                </c:pt>
                <c:pt idx="15">
                  <c:v>12.75</c:v>
                </c:pt>
                <c:pt idx="16">
                  <c:v>12.8</c:v>
                </c:pt>
                <c:pt idx="17">
                  <c:v>12.9</c:v>
                </c:pt>
                <c:pt idx="18">
                  <c:v>12.95</c:v>
                </c:pt>
                <c:pt idx="19">
                  <c:v>13</c:v>
                </c:pt>
                <c:pt idx="20">
                  <c:v>13.05</c:v>
                </c:pt>
                <c:pt idx="21">
                  <c:v>13.1</c:v>
                </c:pt>
                <c:pt idx="22">
                  <c:v>13.15</c:v>
                </c:pt>
                <c:pt idx="23">
                  <c:v>13.2</c:v>
                </c:pt>
              </c:numCache>
            </c:numRef>
          </c:xVal>
          <c:yVal>
            <c:numRef>
              <c:f>'All cells'!$AM$39:$AM$62</c:f>
              <c:numCache>
                <c:formatCode>General</c:formatCode>
                <c:ptCount val="24"/>
                <c:pt idx="0">
                  <c:v>141.1432604093153</c:v>
                </c:pt>
                <c:pt idx="1">
                  <c:v>172.1170395869199</c:v>
                </c:pt>
                <c:pt idx="2">
                  <c:v>180.53800324968361</c:v>
                </c:pt>
                <c:pt idx="3">
                  <c:v>183.2172957127153</c:v>
                </c:pt>
                <c:pt idx="4">
                  <c:v>150.3759398496239</c:v>
                </c:pt>
                <c:pt idx="5">
                  <c:v>175.43859649122751</c:v>
                </c:pt>
                <c:pt idx="6">
                  <c:v>185.56318426424161</c:v>
                </c:pt>
                <c:pt idx="7">
                  <c:v>117.12344811431269</c:v>
                </c:pt>
                <c:pt idx="8">
                  <c:v>216.73168617251821</c:v>
                </c:pt>
                <c:pt idx="9">
                  <c:v>108.3775875149019</c:v>
                </c:pt>
                <c:pt idx="10">
                  <c:v>149.76785981728341</c:v>
                </c:pt>
                <c:pt idx="11">
                  <c:v>163.61256544502629</c:v>
                </c:pt>
                <c:pt idx="12">
                  <c:v>114.968958381237</c:v>
                </c:pt>
                <c:pt idx="13">
                  <c:v>164.7717910693685</c:v>
                </c:pt>
                <c:pt idx="14">
                  <c:v>114.2074006395614</c:v>
                </c:pt>
                <c:pt idx="15">
                  <c:v>98.54158454867958</c:v>
                </c:pt>
                <c:pt idx="16">
                  <c:v>116.85</c:v>
                </c:pt>
                <c:pt idx="17">
                  <c:v>141.26289023873468</c:v>
                </c:pt>
                <c:pt idx="18">
                  <c:v>109.22992900054614</c:v>
                </c:pt>
                <c:pt idx="19">
                  <c:v>143.51320321469538</c:v>
                </c:pt>
                <c:pt idx="20">
                  <c:v>87.519691930684502</c:v>
                </c:pt>
                <c:pt idx="21">
                  <c:v>100.90817356205856</c:v>
                </c:pt>
                <c:pt idx="22">
                  <c:v>179.6622349982033</c:v>
                </c:pt>
                <c:pt idx="23">
                  <c:v>146.77821811243174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56C-BEB8-65ED684416C2}"/>
            </c:ext>
          </c:extLst>
        </c:ser>
        <c:ser>
          <c:idx val="4"/>
          <c:order val="5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cells'!$E$34,'All cells'!$AM$25,'All cells'!$E$81,'All cells'!$AM$79,'All cells'!$E$113,'All cells'!$AM$105)</c:f>
                <c:numCache>
                  <c:formatCode>General</c:formatCode>
                  <c:ptCount val="6"/>
                  <c:pt idx="0">
                    <c:v>24.012211872911589</c:v>
                  </c:pt>
                  <c:pt idx="1">
                    <c:v>25.044556968436535</c:v>
                  </c:pt>
                  <c:pt idx="2">
                    <c:v>34.253614912916461</c:v>
                  </c:pt>
                  <c:pt idx="3">
                    <c:v>34.563869824947979</c:v>
                  </c:pt>
                  <c:pt idx="4">
                    <c:v>43.583821597469367</c:v>
                  </c:pt>
                  <c:pt idx="5">
                    <c:v>27.217427319207893</c:v>
                  </c:pt>
                </c:numCache>
              </c:numRef>
            </c:plus>
            <c:minus>
              <c:numRef>
                <c:f>('All cells'!$E$34,'All cells'!$AM$25,'All cells'!$E$81,'All cells'!$AM$79,'All cells'!$E$113,'All cells'!$AM$105)</c:f>
                <c:numCache>
                  <c:formatCode>General</c:formatCode>
                  <c:ptCount val="6"/>
                  <c:pt idx="0">
                    <c:v>24.012211872911589</c:v>
                  </c:pt>
                  <c:pt idx="1">
                    <c:v>25.044556968436535</c:v>
                  </c:pt>
                  <c:pt idx="2">
                    <c:v>34.253614912916461</c:v>
                  </c:pt>
                  <c:pt idx="3">
                    <c:v>34.563869824947979</c:v>
                  </c:pt>
                  <c:pt idx="4">
                    <c:v>43.583821597469367</c:v>
                  </c:pt>
                  <c:pt idx="5">
                    <c:v>27.217427319207893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('All cells'!$J$2,'All cells'!$AR$2,'All cells'!$J$39,'All cells'!$AR$39,'All cells'!$J$87,'All cells'!$AR$82)</c:f>
              <c:numCache>
                <c:formatCode>General</c:formatCode>
                <c:ptCount val="6"/>
                <c:pt idx="0">
                  <c:v>3.5</c:v>
                </c:pt>
                <c:pt idx="1">
                  <c:v>6.05</c:v>
                </c:pt>
                <c:pt idx="2">
                  <c:v>9.5</c:v>
                </c:pt>
                <c:pt idx="3">
                  <c:v>12.5</c:v>
                </c:pt>
                <c:pt idx="4">
                  <c:v>16.5</c:v>
                </c:pt>
                <c:pt idx="5">
                  <c:v>19</c:v>
                </c:pt>
              </c:numCache>
            </c:numRef>
          </c:xVal>
          <c:yVal>
            <c:numRef>
              <c:f>('All cells'!$E$33,'All cells'!$AM$24,'All cells'!$E$80,'All cells'!$AM$78,'All cells'!$E$112,'All cells'!$AM$104)</c:f>
              <c:numCache>
                <c:formatCode>General</c:formatCode>
                <c:ptCount val="6"/>
                <c:pt idx="0">
                  <c:v>104.71631487006354</c:v>
                </c:pt>
                <c:pt idx="1">
                  <c:v>106.04534723334203</c:v>
                </c:pt>
                <c:pt idx="2">
                  <c:v>127.26353815044786</c:v>
                </c:pt>
                <c:pt idx="3">
                  <c:v>155.55962216333896</c:v>
                </c:pt>
                <c:pt idx="4">
                  <c:v>175.7888764789451</c:v>
                </c:pt>
                <c:pt idx="5">
                  <c:v>214.72430576020525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E-452D-A84F-8EACE8E7913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cells'!$AR$82:$AR$101</c:f>
              <c:numCache>
                <c:formatCode>General</c:formatCode>
                <c:ptCount val="20"/>
                <c:pt idx="0">
                  <c:v>19</c:v>
                </c:pt>
                <c:pt idx="1">
                  <c:v>19.05</c:v>
                </c:pt>
                <c:pt idx="2">
                  <c:v>19.100000000000001</c:v>
                </c:pt>
                <c:pt idx="3">
                  <c:v>19.149999999999999</c:v>
                </c:pt>
                <c:pt idx="4">
                  <c:v>19.2</c:v>
                </c:pt>
                <c:pt idx="5">
                  <c:v>19.25</c:v>
                </c:pt>
                <c:pt idx="6">
                  <c:v>19.3</c:v>
                </c:pt>
                <c:pt idx="7">
                  <c:v>19.350000000000001</c:v>
                </c:pt>
                <c:pt idx="8">
                  <c:v>19.399999999999999</c:v>
                </c:pt>
                <c:pt idx="9">
                  <c:v>19.45</c:v>
                </c:pt>
                <c:pt idx="10">
                  <c:v>19.5</c:v>
                </c:pt>
                <c:pt idx="11">
                  <c:v>19.55</c:v>
                </c:pt>
                <c:pt idx="12">
                  <c:v>19.600000000000001</c:v>
                </c:pt>
                <c:pt idx="13">
                  <c:v>19.649999999999999</c:v>
                </c:pt>
                <c:pt idx="14">
                  <c:v>19.7</c:v>
                </c:pt>
                <c:pt idx="15">
                  <c:v>19.75</c:v>
                </c:pt>
                <c:pt idx="16">
                  <c:v>19.8</c:v>
                </c:pt>
                <c:pt idx="17">
                  <c:v>19.850000000000001</c:v>
                </c:pt>
                <c:pt idx="18">
                  <c:v>19.899999999999999</c:v>
                </c:pt>
                <c:pt idx="19">
                  <c:v>19.95</c:v>
                </c:pt>
              </c:numCache>
            </c:numRef>
          </c:xVal>
          <c:yVal>
            <c:numRef>
              <c:f>'All cells'!$AM$82:$AM$101</c:f>
              <c:numCache>
                <c:formatCode>General</c:formatCode>
                <c:ptCount val="20"/>
                <c:pt idx="0">
                  <c:v>253.61399949277305</c:v>
                </c:pt>
                <c:pt idx="1">
                  <c:v>169.72165648336738</c:v>
                </c:pt>
                <c:pt idx="2">
                  <c:v>251.88916876574314</c:v>
                </c:pt>
                <c:pt idx="3">
                  <c:v>229.46305644791167</c:v>
                </c:pt>
                <c:pt idx="4">
                  <c:v>239.23444976076516</c:v>
                </c:pt>
                <c:pt idx="5">
                  <c:v>231.64234422052465</c:v>
                </c:pt>
                <c:pt idx="6">
                  <c:v>227.94620469569179</c:v>
                </c:pt>
                <c:pt idx="7">
                  <c:v>196.07843137254923</c:v>
                </c:pt>
                <c:pt idx="8">
                  <c:v>171.90991920233861</c:v>
                </c:pt>
                <c:pt idx="9">
                  <c:v>168.77637130801736</c:v>
                </c:pt>
                <c:pt idx="10">
                  <c:v>177.49378771742943</c:v>
                </c:pt>
                <c:pt idx="11">
                  <c:v>234.7417840375592</c:v>
                </c:pt>
                <c:pt idx="12">
                  <c:v>219.78021978021923</c:v>
                </c:pt>
                <c:pt idx="13">
                  <c:v>233.31777881474562</c:v>
                </c:pt>
                <c:pt idx="14">
                  <c:v>205.0440844781624</c:v>
                </c:pt>
                <c:pt idx="15">
                  <c:v>201.04543626859711</c:v>
                </c:pt>
                <c:pt idx="16">
                  <c:v>221.97558268590478</c:v>
                </c:pt>
                <c:pt idx="17">
                  <c:v>224.61814914645112</c:v>
                </c:pt>
                <c:pt idx="18">
                  <c:v>240.15369836695393</c:v>
                </c:pt>
                <c:pt idx="19">
                  <c:v>196.03999215840034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4-45AB-98A2-5010C2AA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3616"/>
        <c:axId val="925064272"/>
      </c:scatterChart>
      <c:valAx>
        <c:axId val="9250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4272"/>
        <c:crosses val="autoZero"/>
        <c:crossBetween val="midCat"/>
      </c:valAx>
      <c:valAx>
        <c:axId val="92506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inst FF (Hz)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413504432223546E-2"/>
              <c:y val="0.3518463440537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21792613493577"/>
          <c:y val="3.9061259217243335E-2"/>
          <c:w val="0.77032210401891255"/>
          <c:h val="0.921784500341807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cells'!$J$2:$J$24</c:f>
              <c:numCache>
                <c:formatCode>General</c:formatCode>
                <c:ptCount val="23"/>
                <c:pt idx="0">
                  <c:v>3.5</c:v>
                </c:pt>
                <c:pt idx="1">
                  <c:v>3.05</c:v>
                </c:pt>
                <c:pt idx="2">
                  <c:v>3.1</c:v>
                </c:pt>
                <c:pt idx="3">
                  <c:v>3.15</c:v>
                </c:pt>
                <c:pt idx="4">
                  <c:v>3.2</c:v>
                </c:pt>
                <c:pt idx="5">
                  <c:v>3.25</c:v>
                </c:pt>
                <c:pt idx="6">
                  <c:v>3.3</c:v>
                </c:pt>
                <c:pt idx="7">
                  <c:v>3.35</c:v>
                </c:pt>
                <c:pt idx="8">
                  <c:v>3.4</c:v>
                </c:pt>
                <c:pt idx="9">
                  <c:v>3.45</c:v>
                </c:pt>
                <c:pt idx="10">
                  <c:v>3.5</c:v>
                </c:pt>
                <c:pt idx="12">
                  <c:v>3.6</c:v>
                </c:pt>
                <c:pt idx="13">
                  <c:v>3.65</c:v>
                </c:pt>
                <c:pt idx="14">
                  <c:v>3.7</c:v>
                </c:pt>
                <c:pt idx="15">
                  <c:v>3.75</c:v>
                </c:pt>
                <c:pt idx="16">
                  <c:v>3.8</c:v>
                </c:pt>
                <c:pt idx="18">
                  <c:v>3.9</c:v>
                </c:pt>
                <c:pt idx="21">
                  <c:v>4.05</c:v>
                </c:pt>
                <c:pt idx="22">
                  <c:v>4.0999999999999996</c:v>
                </c:pt>
              </c:numCache>
            </c:numRef>
          </c:xVal>
          <c:yVal>
            <c:numRef>
              <c:f>'All cells'!$AB$2:$AB$24</c:f>
              <c:numCache>
                <c:formatCode>General</c:formatCode>
                <c:ptCount val="23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2.4600000000000009</c:v>
                </c:pt>
                <c:pt idx="4">
                  <c:v>0.32999999999999829</c:v>
                </c:pt>
                <c:pt idx="6">
                  <c:v>0.29099999999999682</c:v>
                </c:pt>
                <c:pt idx="7">
                  <c:v>1.6700000000000017</c:v>
                </c:pt>
                <c:pt idx="8">
                  <c:v>0.71000000000000085</c:v>
                </c:pt>
                <c:pt idx="9">
                  <c:v>0.90999999999999659</c:v>
                </c:pt>
                <c:pt idx="10">
                  <c:v>1.6559999999999988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1.0000000000000001E-5</c:v>
                </c:pt>
                <c:pt idx="18">
                  <c:v>1.0000000000000001E-5</c:v>
                </c:pt>
                <c:pt idx="21">
                  <c:v>0.74000000000000199</c:v>
                </c:pt>
                <c:pt idx="22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E1C-A3D3-3470D7FD0DA9}"/>
            </c:ext>
          </c:extLst>
        </c:ser>
        <c:ser>
          <c:idx val="5"/>
          <c:order val="1"/>
          <c:tx>
            <c:v>cvP3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cells'!$AR$2:$AR$18</c:f>
              <c:numCache>
                <c:formatCode>General</c:formatCode>
                <c:ptCount val="17"/>
                <c:pt idx="0">
                  <c:v>6.05</c:v>
                </c:pt>
                <c:pt idx="1">
                  <c:v>6.1</c:v>
                </c:pt>
                <c:pt idx="2">
                  <c:v>6.15</c:v>
                </c:pt>
                <c:pt idx="3">
                  <c:v>6.2</c:v>
                </c:pt>
                <c:pt idx="4">
                  <c:v>6.25</c:v>
                </c:pt>
                <c:pt idx="5">
                  <c:v>6.3</c:v>
                </c:pt>
                <c:pt idx="6">
                  <c:v>6.35</c:v>
                </c:pt>
                <c:pt idx="7">
                  <c:v>6.4</c:v>
                </c:pt>
                <c:pt idx="8">
                  <c:v>6.45</c:v>
                </c:pt>
                <c:pt idx="9">
                  <c:v>6.5</c:v>
                </c:pt>
                <c:pt idx="10">
                  <c:v>6.55</c:v>
                </c:pt>
                <c:pt idx="11">
                  <c:v>6.6</c:v>
                </c:pt>
                <c:pt idx="12">
                  <c:v>6.65</c:v>
                </c:pt>
                <c:pt idx="13">
                  <c:v>6.7</c:v>
                </c:pt>
                <c:pt idx="14">
                  <c:v>6.75</c:v>
                </c:pt>
                <c:pt idx="15">
                  <c:v>6.8</c:v>
                </c:pt>
                <c:pt idx="16">
                  <c:v>6.85</c:v>
                </c:pt>
              </c:numCache>
            </c:numRef>
          </c:xVal>
          <c:yVal>
            <c:numRef>
              <c:f>'All cells'!$BJ$2:$BJ$18</c:f>
              <c:numCache>
                <c:formatCode>General</c:formatCode>
                <c:ptCount val="17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0.78600000000000136</c:v>
                </c:pt>
                <c:pt idx="5">
                  <c:v>1.0000000000000001E-5</c:v>
                </c:pt>
                <c:pt idx="6">
                  <c:v>0.42999999999999972</c:v>
                </c:pt>
                <c:pt idx="7">
                  <c:v>1.5</c:v>
                </c:pt>
                <c:pt idx="8">
                  <c:v>0.27499999999999858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0.67999999999999972</c:v>
                </c:pt>
                <c:pt idx="15">
                  <c:v>0.90999999999999659</c:v>
                </c:pt>
                <c:pt idx="16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A-4AEE-979D-25E21FF78088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cells'!$J$39:$J$64</c:f>
              <c:numCache>
                <c:formatCode>General</c:formatCode>
                <c:ptCount val="26"/>
                <c:pt idx="0">
                  <c:v>9.5</c:v>
                </c:pt>
                <c:pt idx="1">
                  <c:v>9.0500000000000007</c:v>
                </c:pt>
                <c:pt idx="2">
                  <c:v>9.1</c:v>
                </c:pt>
                <c:pt idx="3">
                  <c:v>9.15</c:v>
                </c:pt>
                <c:pt idx="4">
                  <c:v>9.1999999999999993</c:v>
                </c:pt>
                <c:pt idx="5">
                  <c:v>9.25</c:v>
                </c:pt>
                <c:pt idx="6">
                  <c:v>9.3000000000000007</c:v>
                </c:pt>
                <c:pt idx="7">
                  <c:v>9.3499999999999908</c:v>
                </c:pt>
                <c:pt idx="8">
                  <c:v>9.3999999999999897</c:v>
                </c:pt>
                <c:pt idx="9">
                  <c:v>9.4499999999999904</c:v>
                </c:pt>
                <c:pt idx="10">
                  <c:v>9.4999999999999893</c:v>
                </c:pt>
                <c:pt idx="11">
                  <c:v>9.5499999999999901</c:v>
                </c:pt>
                <c:pt idx="12">
                  <c:v>9.5999999999999908</c:v>
                </c:pt>
                <c:pt idx="13">
                  <c:v>9.6499999999999897</c:v>
                </c:pt>
                <c:pt idx="14">
                  <c:v>9.6999999999999904</c:v>
                </c:pt>
                <c:pt idx="15">
                  <c:v>9.7499999999999893</c:v>
                </c:pt>
                <c:pt idx="16">
                  <c:v>9.7999999999999794</c:v>
                </c:pt>
                <c:pt idx="17">
                  <c:v>9.8499999999999801</c:v>
                </c:pt>
                <c:pt idx="18">
                  <c:v>9.8999999999999808</c:v>
                </c:pt>
                <c:pt idx="19">
                  <c:v>9.9499999999999797</c:v>
                </c:pt>
                <c:pt idx="20">
                  <c:v>9.9999999999999805</c:v>
                </c:pt>
                <c:pt idx="21">
                  <c:v>10.050000000000001</c:v>
                </c:pt>
                <c:pt idx="22">
                  <c:v>10.1</c:v>
                </c:pt>
                <c:pt idx="23">
                  <c:v>10.15</c:v>
                </c:pt>
                <c:pt idx="24">
                  <c:v>10.199999999999999</c:v>
                </c:pt>
                <c:pt idx="25">
                  <c:v>10.25</c:v>
                </c:pt>
              </c:numCache>
            </c:numRef>
          </c:xVal>
          <c:yVal>
            <c:numRef>
              <c:f>'All cells'!$AB$39:$AB$76</c:f>
              <c:numCache>
                <c:formatCode>General</c:formatCode>
                <c:ptCount val="38"/>
                <c:pt idx="13">
                  <c:v>1.0000000000000001E-5</c:v>
                </c:pt>
                <c:pt idx="14">
                  <c:v>0.41000000000000369</c:v>
                </c:pt>
                <c:pt idx="15">
                  <c:v>2.3500000000000014</c:v>
                </c:pt>
                <c:pt idx="16">
                  <c:v>1.3799999999999955</c:v>
                </c:pt>
                <c:pt idx="17">
                  <c:v>1.0000000000000001E-5</c:v>
                </c:pt>
                <c:pt idx="18">
                  <c:v>1.7700000000000031</c:v>
                </c:pt>
                <c:pt idx="19">
                  <c:v>0.68600000000000005</c:v>
                </c:pt>
                <c:pt idx="20">
                  <c:v>0.74000000000000199</c:v>
                </c:pt>
                <c:pt idx="21">
                  <c:v>1.0000000000000001E-5</c:v>
                </c:pt>
                <c:pt idx="22">
                  <c:v>0.30300000000000438</c:v>
                </c:pt>
                <c:pt idx="23">
                  <c:v>1.0000000000000001E-5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1.4499999999999957</c:v>
                </c:pt>
                <c:pt idx="27">
                  <c:v>0.96000000000000085</c:v>
                </c:pt>
                <c:pt idx="29">
                  <c:v>1E-4</c:v>
                </c:pt>
                <c:pt idx="30">
                  <c:v>0.76999999999999602</c:v>
                </c:pt>
                <c:pt idx="31">
                  <c:v>0.1699999999999946</c:v>
                </c:pt>
                <c:pt idx="32">
                  <c:v>0.79000000000000625</c:v>
                </c:pt>
                <c:pt idx="33">
                  <c:v>1.7259999999999991</c:v>
                </c:pt>
                <c:pt idx="37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E1C-A3D3-3470D7FD0DA9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cells'!$AR$39:$AR$73</c:f>
              <c:numCache>
                <c:formatCode>General</c:formatCode>
                <c:ptCount val="35"/>
                <c:pt idx="0">
                  <c:v>12.5</c:v>
                </c:pt>
                <c:pt idx="1">
                  <c:v>12.05</c:v>
                </c:pt>
                <c:pt idx="2">
                  <c:v>12.1</c:v>
                </c:pt>
                <c:pt idx="3">
                  <c:v>12.15</c:v>
                </c:pt>
                <c:pt idx="4">
                  <c:v>12.2</c:v>
                </c:pt>
                <c:pt idx="5">
                  <c:v>12.25</c:v>
                </c:pt>
                <c:pt idx="6">
                  <c:v>12.3</c:v>
                </c:pt>
                <c:pt idx="7">
                  <c:v>12.35</c:v>
                </c:pt>
                <c:pt idx="8">
                  <c:v>12.4</c:v>
                </c:pt>
                <c:pt idx="9">
                  <c:v>12.45</c:v>
                </c:pt>
                <c:pt idx="10">
                  <c:v>12.5</c:v>
                </c:pt>
                <c:pt idx="11">
                  <c:v>12.55</c:v>
                </c:pt>
                <c:pt idx="12">
                  <c:v>12.6</c:v>
                </c:pt>
                <c:pt idx="13">
                  <c:v>12.65</c:v>
                </c:pt>
                <c:pt idx="14">
                  <c:v>12.7</c:v>
                </c:pt>
                <c:pt idx="15">
                  <c:v>12.75</c:v>
                </c:pt>
                <c:pt idx="16">
                  <c:v>12.8</c:v>
                </c:pt>
                <c:pt idx="17">
                  <c:v>12.9</c:v>
                </c:pt>
                <c:pt idx="18">
                  <c:v>12.95</c:v>
                </c:pt>
                <c:pt idx="19">
                  <c:v>13</c:v>
                </c:pt>
                <c:pt idx="20">
                  <c:v>13.05</c:v>
                </c:pt>
                <c:pt idx="21">
                  <c:v>13.1</c:v>
                </c:pt>
                <c:pt idx="22">
                  <c:v>13.15</c:v>
                </c:pt>
                <c:pt idx="23">
                  <c:v>13.2</c:v>
                </c:pt>
                <c:pt idx="24">
                  <c:v>13.25</c:v>
                </c:pt>
                <c:pt idx="25">
                  <c:v>13.3</c:v>
                </c:pt>
                <c:pt idx="26">
                  <c:v>13.35</c:v>
                </c:pt>
                <c:pt idx="27">
                  <c:v>13.4</c:v>
                </c:pt>
                <c:pt idx="28">
                  <c:v>13.45</c:v>
                </c:pt>
                <c:pt idx="29">
                  <c:v>13.5</c:v>
                </c:pt>
                <c:pt idx="30">
                  <c:v>13.6</c:v>
                </c:pt>
                <c:pt idx="31">
                  <c:v>13.65</c:v>
                </c:pt>
                <c:pt idx="32">
                  <c:v>13.7</c:v>
                </c:pt>
                <c:pt idx="33">
                  <c:v>13.75</c:v>
                </c:pt>
                <c:pt idx="34">
                  <c:v>13.8</c:v>
                </c:pt>
              </c:numCache>
            </c:numRef>
          </c:xVal>
          <c:yVal>
            <c:numRef>
              <c:f>'All cells'!$BJ$55:$BJ$73</c:f>
              <c:numCache>
                <c:formatCode>General</c:formatCode>
                <c:ptCount val="19"/>
                <c:pt idx="0">
                  <c:v>1.0000000000000001E-5</c:v>
                </c:pt>
                <c:pt idx="1">
                  <c:v>2.2899999999999991</c:v>
                </c:pt>
                <c:pt idx="2">
                  <c:v>2.4750000000000014</c:v>
                </c:pt>
                <c:pt idx="3">
                  <c:v>0.84899999999999665</c:v>
                </c:pt>
                <c:pt idx="4">
                  <c:v>1.3299999999999983</c:v>
                </c:pt>
                <c:pt idx="5">
                  <c:v>0.62599999999999767</c:v>
                </c:pt>
                <c:pt idx="6">
                  <c:v>2.8800000000000026</c:v>
                </c:pt>
                <c:pt idx="7">
                  <c:v>2.3170000000000002</c:v>
                </c:pt>
                <c:pt idx="8">
                  <c:v>0.7120000000000033</c:v>
                </c:pt>
                <c:pt idx="9">
                  <c:v>1.9399999999999977</c:v>
                </c:pt>
                <c:pt idx="10">
                  <c:v>0.74000000000000199</c:v>
                </c:pt>
                <c:pt idx="11">
                  <c:v>1.5500000000000043</c:v>
                </c:pt>
                <c:pt idx="12">
                  <c:v>1E-3</c:v>
                </c:pt>
                <c:pt idx="13">
                  <c:v>0.39999999999999858</c:v>
                </c:pt>
                <c:pt idx="14">
                  <c:v>0.28999999999999915</c:v>
                </c:pt>
                <c:pt idx="15">
                  <c:v>1</c:v>
                </c:pt>
                <c:pt idx="16">
                  <c:v>2.3200000000000003</c:v>
                </c:pt>
                <c:pt idx="17">
                  <c:v>0.55999999999999517</c:v>
                </c:pt>
                <c:pt idx="18">
                  <c:v>0.55099999999999483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E1C-A3D3-3470D7FD0DA9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7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cells'!$J$87:$J$104</c:f>
              <c:numCache>
                <c:formatCode>General</c:formatCode>
                <c:ptCount val="18"/>
                <c:pt idx="0">
                  <c:v>16.5</c:v>
                </c:pt>
                <c:pt idx="1">
                  <c:v>16.05</c:v>
                </c:pt>
                <c:pt idx="2">
                  <c:v>16.100000000000001</c:v>
                </c:pt>
                <c:pt idx="3">
                  <c:v>16.149999999999999</c:v>
                </c:pt>
                <c:pt idx="4">
                  <c:v>16.2</c:v>
                </c:pt>
                <c:pt idx="5">
                  <c:v>16.25</c:v>
                </c:pt>
                <c:pt idx="6">
                  <c:v>16.3</c:v>
                </c:pt>
                <c:pt idx="7">
                  <c:v>16.350000000000001</c:v>
                </c:pt>
                <c:pt idx="8">
                  <c:v>16.399999999999999</c:v>
                </c:pt>
                <c:pt idx="9">
                  <c:v>16.45</c:v>
                </c:pt>
                <c:pt idx="10">
                  <c:v>16.5</c:v>
                </c:pt>
                <c:pt idx="11">
                  <c:v>16.55</c:v>
                </c:pt>
                <c:pt idx="12">
                  <c:v>16.600000000000001</c:v>
                </c:pt>
                <c:pt idx="13">
                  <c:v>16.649999999999999</c:v>
                </c:pt>
                <c:pt idx="14">
                  <c:v>16.7</c:v>
                </c:pt>
                <c:pt idx="15">
                  <c:v>16.75</c:v>
                </c:pt>
                <c:pt idx="16">
                  <c:v>16.8</c:v>
                </c:pt>
                <c:pt idx="17">
                  <c:v>16.850000000000001</c:v>
                </c:pt>
              </c:numCache>
            </c:numRef>
          </c:xVal>
          <c:yVal>
            <c:numRef>
              <c:f>'All cells'!$AB$87:$AB$106</c:f>
              <c:numCache>
                <c:formatCode>General</c:formatCode>
                <c:ptCount val="20"/>
                <c:pt idx="2">
                  <c:v>4.5900000000000034</c:v>
                </c:pt>
                <c:pt idx="3">
                  <c:v>1.2299999999999969</c:v>
                </c:pt>
                <c:pt idx="4">
                  <c:v>4.0799999999999983</c:v>
                </c:pt>
                <c:pt idx="5">
                  <c:v>1.1299999999999955</c:v>
                </c:pt>
                <c:pt idx="6">
                  <c:v>3.279999999999994</c:v>
                </c:pt>
                <c:pt idx="7">
                  <c:v>5.7900000000000063</c:v>
                </c:pt>
                <c:pt idx="8">
                  <c:v>4.1399999999999935</c:v>
                </c:pt>
                <c:pt idx="9">
                  <c:v>2.2799999999999998</c:v>
                </c:pt>
                <c:pt idx="10">
                  <c:v>5.1200000000000045</c:v>
                </c:pt>
                <c:pt idx="11">
                  <c:v>1.3200000000000003</c:v>
                </c:pt>
                <c:pt idx="13">
                  <c:v>6.3100000000000023</c:v>
                </c:pt>
                <c:pt idx="14">
                  <c:v>4.2899999999999991</c:v>
                </c:pt>
                <c:pt idx="15">
                  <c:v>2.3770000000000024</c:v>
                </c:pt>
                <c:pt idx="16">
                  <c:v>6.2309999999999945</c:v>
                </c:pt>
                <c:pt idx="17">
                  <c:v>3.8699999999999974</c:v>
                </c:pt>
                <c:pt idx="18">
                  <c:v>2.529999999999994</c:v>
                </c:pt>
                <c:pt idx="19">
                  <c:v>3.3500000000000014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56C-BEB8-65ED684416C2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40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'All cells'!$AR$82:$AR$102</c:f>
              <c:numCache>
                <c:formatCode>General</c:formatCode>
                <c:ptCount val="21"/>
                <c:pt idx="0">
                  <c:v>19</c:v>
                </c:pt>
                <c:pt idx="1">
                  <c:v>19.05</c:v>
                </c:pt>
                <c:pt idx="2">
                  <c:v>19.100000000000001</c:v>
                </c:pt>
                <c:pt idx="3">
                  <c:v>19.149999999999999</c:v>
                </c:pt>
                <c:pt idx="4">
                  <c:v>19.2</c:v>
                </c:pt>
                <c:pt idx="5">
                  <c:v>19.25</c:v>
                </c:pt>
                <c:pt idx="6">
                  <c:v>19.3</c:v>
                </c:pt>
                <c:pt idx="7">
                  <c:v>19.350000000000001</c:v>
                </c:pt>
                <c:pt idx="8">
                  <c:v>19.399999999999999</c:v>
                </c:pt>
                <c:pt idx="9">
                  <c:v>19.45</c:v>
                </c:pt>
                <c:pt idx="10">
                  <c:v>19.5</c:v>
                </c:pt>
                <c:pt idx="11">
                  <c:v>19.55</c:v>
                </c:pt>
                <c:pt idx="12">
                  <c:v>19.600000000000001</c:v>
                </c:pt>
                <c:pt idx="13">
                  <c:v>19.649999999999999</c:v>
                </c:pt>
                <c:pt idx="14">
                  <c:v>19.7</c:v>
                </c:pt>
                <c:pt idx="15">
                  <c:v>19.75</c:v>
                </c:pt>
                <c:pt idx="16">
                  <c:v>19.8</c:v>
                </c:pt>
                <c:pt idx="17">
                  <c:v>19.850000000000001</c:v>
                </c:pt>
                <c:pt idx="18">
                  <c:v>19.899999999999999</c:v>
                </c:pt>
                <c:pt idx="19">
                  <c:v>19.95</c:v>
                </c:pt>
              </c:numCache>
            </c:numRef>
          </c:xVal>
          <c:yVal>
            <c:numRef>
              <c:f>'All cells'!$BJ$82:$BJ$101</c:f>
              <c:numCache>
                <c:formatCode>General</c:formatCode>
                <c:ptCount val="20"/>
                <c:pt idx="0">
                  <c:v>2.9600000000000009</c:v>
                </c:pt>
                <c:pt idx="1">
                  <c:v>3.3800000000000026</c:v>
                </c:pt>
                <c:pt idx="2">
                  <c:v>2.1199999999999974</c:v>
                </c:pt>
                <c:pt idx="3">
                  <c:v>2.9399999999999977</c:v>
                </c:pt>
                <c:pt idx="4">
                  <c:v>2.3400000000000034</c:v>
                </c:pt>
                <c:pt idx="5">
                  <c:v>4.7510000000000048</c:v>
                </c:pt>
                <c:pt idx="6">
                  <c:v>3.269999999999996</c:v>
                </c:pt>
                <c:pt idx="7">
                  <c:v>3.9420000000000002</c:v>
                </c:pt>
                <c:pt idx="8">
                  <c:v>4.4480000000000004</c:v>
                </c:pt>
                <c:pt idx="9">
                  <c:v>3.7100000000000009</c:v>
                </c:pt>
                <c:pt idx="10">
                  <c:v>4.1199999999999974</c:v>
                </c:pt>
                <c:pt idx="11">
                  <c:v>2.0700000000000003</c:v>
                </c:pt>
                <c:pt idx="12">
                  <c:v>3.8900000000000006</c:v>
                </c:pt>
                <c:pt idx="13">
                  <c:v>0.68999999999999773</c:v>
                </c:pt>
                <c:pt idx="14">
                  <c:v>3.0779999999999959</c:v>
                </c:pt>
                <c:pt idx="15">
                  <c:v>3.1700000000000017</c:v>
                </c:pt>
                <c:pt idx="16">
                  <c:v>2.4270000000000067</c:v>
                </c:pt>
                <c:pt idx="17">
                  <c:v>3.009999999999998</c:v>
                </c:pt>
                <c:pt idx="18">
                  <c:v>3.7099999999999937</c:v>
                </c:pt>
                <c:pt idx="19">
                  <c:v>7.0399999999999991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6-412A-AC8B-B783655F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3616"/>
        <c:axId val="925064272"/>
      </c:scatterChart>
      <c:valAx>
        <c:axId val="925063616"/>
        <c:scaling>
          <c:orientation val="minMax"/>
          <c:max val="20"/>
        </c:scaling>
        <c:delete val="1"/>
        <c:axPos val="b"/>
        <c:numFmt formatCode="General" sourceLinked="1"/>
        <c:majorTickMark val="none"/>
        <c:minorTickMark val="none"/>
        <c:tickLblPos val="none"/>
        <c:crossAx val="925064272"/>
        <c:crosses val="autoZero"/>
        <c:crossBetween val="midCat"/>
      </c:valAx>
      <c:valAx>
        <c:axId val="925064272"/>
        <c:scaling>
          <c:orientation val="minMax"/>
          <c:max val="7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ADP amp (mV)</a:t>
                </a:r>
              </a:p>
            </c:rich>
          </c:tx>
          <c:layout>
            <c:manualLayout>
              <c:xMode val="edge"/>
              <c:yMode val="edge"/>
              <c:x val="1.4413504432223546E-2"/>
              <c:y val="0.3518463440537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cells'!$J$2:$J$24</c:f>
              <c:numCache>
                <c:formatCode>General</c:formatCode>
                <c:ptCount val="23"/>
                <c:pt idx="0">
                  <c:v>3.5</c:v>
                </c:pt>
                <c:pt idx="1">
                  <c:v>3.05</c:v>
                </c:pt>
                <c:pt idx="2">
                  <c:v>3.1</c:v>
                </c:pt>
                <c:pt idx="3">
                  <c:v>3.15</c:v>
                </c:pt>
                <c:pt idx="4">
                  <c:v>3.2</c:v>
                </c:pt>
                <c:pt idx="5">
                  <c:v>3.25</c:v>
                </c:pt>
                <c:pt idx="6">
                  <c:v>3.3</c:v>
                </c:pt>
                <c:pt idx="7">
                  <c:v>3.35</c:v>
                </c:pt>
                <c:pt idx="8">
                  <c:v>3.4</c:v>
                </c:pt>
                <c:pt idx="9">
                  <c:v>3.45</c:v>
                </c:pt>
                <c:pt idx="10">
                  <c:v>3.5</c:v>
                </c:pt>
                <c:pt idx="12">
                  <c:v>3.6</c:v>
                </c:pt>
                <c:pt idx="13">
                  <c:v>3.65</c:v>
                </c:pt>
                <c:pt idx="14">
                  <c:v>3.7</c:v>
                </c:pt>
                <c:pt idx="15">
                  <c:v>3.75</c:v>
                </c:pt>
                <c:pt idx="16">
                  <c:v>3.8</c:v>
                </c:pt>
                <c:pt idx="18">
                  <c:v>3.9</c:v>
                </c:pt>
                <c:pt idx="21">
                  <c:v>4.05</c:v>
                </c:pt>
                <c:pt idx="22">
                  <c:v>4.0999999999999996</c:v>
                </c:pt>
              </c:numCache>
            </c:numRef>
          </c:xVal>
          <c:yVal>
            <c:numRef>
              <c:f>'All cells'!$M$2:$M$24</c:f>
              <c:numCache>
                <c:formatCode>General</c:formatCode>
                <c:ptCount val="23"/>
                <c:pt idx="0">
                  <c:v>154.34216907199172</c:v>
                </c:pt>
                <c:pt idx="1">
                  <c:v>85.928817008238866</c:v>
                </c:pt>
                <c:pt idx="2">
                  <c:v>138.66258572218629</c:v>
                </c:pt>
                <c:pt idx="3">
                  <c:v>96.827480458593911</c:v>
                </c:pt>
                <c:pt idx="4">
                  <c:v>123.2084915901869</c:v>
                </c:pt>
                <c:pt idx="5">
                  <c:v>94.7278377539388</c:v>
                </c:pt>
                <c:pt idx="6">
                  <c:v>96.679781130543205</c:v>
                </c:pt>
                <c:pt idx="7">
                  <c:v>124.99758021054858</c:v>
                </c:pt>
                <c:pt idx="8">
                  <c:v>89.372615430796913</c:v>
                </c:pt>
                <c:pt idx="9">
                  <c:v>102.35746902775114</c:v>
                </c:pt>
                <c:pt idx="10">
                  <c:v>195.9989469896407</c:v>
                </c:pt>
                <c:pt idx="12">
                  <c:v>86.190067931890027</c:v>
                </c:pt>
                <c:pt idx="13">
                  <c:v>84.260646174765981</c:v>
                </c:pt>
                <c:pt idx="14">
                  <c:v>66.095632633497274</c:v>
                </c:pt>
                <c:pt idx="15">
                  <c:v>91.481160293845761</c:v>
                </c:pt>
                <c:pt idx="16">
                  <c:v>91.621163991744851</c:v>
                </c:pt>
                <c:pt idx="18">
                  <c:v>179.3050900469558</c:v>
                </c:pt>
                <c:pt idx="21">
                  <c:v>116.03916879905812</c:v>
                </c:pt>
                <c:pt idx="22">
                  <c:v>79.060993487303278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E1C-A3D3-3470D7FD0DA9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cells'!$AR$2:$AR$18</c:f>
              <c:numCache>
                <c:formatCode>General</c:formatCode>
                <c:ptCount val="17"/>
                <c:pt idx="0">
                  <c:v>6.05</c:v>
                </c:pt>
                <c:pt idx="1">
                  <c:v>6.1</c:v>
                </c:pt>
                <c:pt idx="2">
                  <c:v>6.15</c:v>
                </c:pt>
                <c:pt idx="3">
                  <c:v>6.2</c:v>
                </c:pt>
                <c:pt idx="4">
                  <c:v>6.25</c:v>
                </c:pt>
                <c:pt idx="5">
                  <c:v>6.3</c:v>
                </c:pt>
                <c:pt idx="6">
                  <c:v>6.35</c:v>
                </c:pt>
                <c:pt idx="7">
                  <c:v>6.4</c:v>
                </c:pt>
                <c:pt idx="8">
                  <c:v>6.45</c:v>
                </c:pt>
                <c:pt idx="9">
                  <c:v>6.5</c:v>
                </c:pt>
                <c:pt idx="10">
                  <c:v>6.55</c:v>
                </c:pt>
                <c:pt idx="11">
                  <c:v>6.6</c:v>
                </c:pt>
                <c:pt idx="12">
                  <c:v>6.65</c:v>
                </c:pt>
                <c:pt idx="13">
                  <c:v>6.7</c:v>
                </c:pt>
                <c:pt idx="14">
                  <c:v>6.75</c:v>
                </c:pt>
                <c:pt idx="15">
                  <c:v>6.8</c:v>
                </c:pt>
                <c:pt idx="16">
                  <c:v>6.85</c:v>
                </c:pt>
              </c:numCache>
            </c:numRef>
          </c:xVal>
          <c:yVal>
            <c:numRef>
              <c:f>'All cells'!$AU$2:$AU$18</c:f>
              <c:numCache>
                <c:formatCode>General</c:formatCode>
                <c:ptCount val="17"/>
                <c:pt idx="0">
                  <c:v>113.05898249484166</c:v>
                </c:pt>
                <c:pt idx="1">
                  <c:v>92.214796550053876</c:v>
                </c:pt>
                <c:pt idx="2">
                  <c:v>166.57421218663774</c:v>
                </c:pt>
                <c:pt idx="3">
                  <c:v>128.18426101553888</c:v>
                </c:pt>
                <c:pt idx="4">
                  <c:v>91.551124469211729</c:v>
                </c:pt>
                <c:pt idx="5">
                  <c:v>146.45045631070948</c:v>
                </c:pt>
                <c:pt idx="6">
                  <c:v>173.71239455746272</c:v>
                </c:pt>
                <c:pt idx="7">
                  <c:v>227.72860958831171</c:v>
                </c:pt>
                <c:pt idx="8">
                  <c:v>73.593853941018423</c:v>
                </c:pt>
                <c:pt idx="9">
                  <c:v>100.3338517488975</c:v>
                </c:pt>
                <c:pt idx="10">
                  <c:v>70.415320892060564</c:v>
                </c:pt>
                <c:pt idx="11">
                  <c:v>86.086095413210728</c:v>
                </c:pt>
                <c:pt idx="12">
                  <c:v>99.795520431750703</c:v>
                </c:pt>
                <c:pt idx="13">
                  <c:v>145.95965610795056</c:v>
                </c:pt>
                <c:pt idx="14">
                  <c:v>76.321310891496552</c:v>
                </c:pt>
                <c:pt idx="15">
                  <c:v>95.092073652603872</c:v>
                </c:pt>
                <c:pt idx="16">
                  <c:v>83.601915430102139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D-4EE6-B8F5-A2E8D5131022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cells'!$J$39:$J$64</c:f>
              <c:numCache>
                <c:formatCode>General</c:formatCode>
                <c:ptCount val="26"/>
                <c:pt idx="0">
                  <c:v>9.5</c:v>
                </c:pt>
                <c:pt idx="1">
                  <c:v>9.0500000000000007</c:v>
                </c:pt>
                <c:pt idx="2">
                  <c:v>9.1</c:v>
                </c:pt>
                <c:pt idx="3">
                  <c:v>9.15</c:v>
                </c:pt>
                <c:pt idx="4">
                  <c:v>9.1999999999999993</c:v>
                </c:pt>
                <c:pt idx="5">
                  <c:v>9.25</c:v>
                </c:pt>
                <c:pt idx="6">
                  <c:v>9.3000000000000007</c:v>
                </c:pt>
                <c:pt idx="7">
                  <c:v>9.3499999999999908</c:v>
                </c:pt>
                <c:pt idx="8">
                  <c:v>9.3999999999999897</c:v>
                </c:pt>
                <c:pt idx="9">
                  <c:v>9.4499999999999904</c:v>
                </c:pt>
                <c:pt idx="10">
                  <c:v>9.4999999999999893</c:v>
                </c:pt>
                <c:pt idx="11">
                  <c:v>9.5499999999999901</c:v>
                </c:pt>
                <c:pt idx="12">
                  <c:v>9.5999999999999908</c:v>
                </c:pt>
                <c:pt idx="13">
                  <c:v>9.6499999999999897</c:v>
                </c:pt>
                <c:pt idx="14">
                  <c:v>9.6999999999999904</c:v>
                </c:pt>
                <c:pt idx="15">
                  <c:v>9.7499999999999893</c:v>
                </c:pt>
                <c:pt idx="16">
                  <c:v>9.7999999999999794</c:v>
                </c:pt>
                <c:pt idx="17">
                  <c:v>9.8499999999999801</c:v>
                </c:pt>
                <c:pt idx="18">
                  <c:v>9.8999999999999808</c:v>
                </c:pt>
                <c:pt idx="19">
                  <c:v>9.9499999999999797</c:v>
                </c:pt>
                <c:pt idx="20">
                  <c:v>9.9999999999999805</c:v>
                </c:pt>
                <c:pt idx="21">
                  <c:v>10.050000000000001</c:v>
                </c:pt>
                <c:pt idx="22">
                  <c:v>10.1</c:v>
                </c:pt>
                <c:pt idx="23">
                  <c:v>10.15</c:v>
                </c:pt>
                <c:pt idx="24">
                  <c:v>10.199999999999999</c:v>
                </c:pt>
                <c:pt idx="25">
                  <c:v>10.25</c:v>
                </c:pt>
              </c:numCache>
            </c:numRef>
          </c:xVal>
          <c:yVal>
            <c:numRef>
              <c:f>'All cells'!$M$39:$M$64</c:f>
              <c:numCache>
                <c:formatCode>General</c:formatCode>
                <c:ptCount val="26"/>
                <c:pt idx="0">
                  <c:v>72.334713478213629</c:v>
                </c:pt>
                <c:pt idx="1">
                  <c:v>82.137733886039612</c:v>
                </c:pt>
                <c:pt idx="2">
                  <c:v>75.701510554553678</c:v>
                </c:pt>
                <c:pt idx="3">
                  <c:v>78.111472716329601</c:v>
                </c:pt>
                <c:pt idx="4">
                  <c:v>78.984112971360759</c:v>
                </c:pt>
                <c:pt idx="5">
                  <c:v>102.8653966206993</c:v>
                </c:pt>
                <c:pt idx="6">
                  <c:v>141.88612219343781</c:v>
                </c:pt>
                <c:pt idx="7">
                  <c:v>169.90122084765801</c:v>
                </c:pt>
                <c:pt idx="8">
                  <c:v>82.185418703040838</c:v>
                </c:pt>
                <c:pt idx="9">
                  <c:v>88.135237762949728</c:v>
                </c:pt>
                <c:pt idx="10">
                  <c:v>101.30311766848808</c:v>
                </c:pt>
                <c:pt idx="11">
                  <c:v>70.8562908313408</c:v>
                </c:pt>
                <c:pt idx="12">
                  <c:v>98.700377725920347</c:v>
                </c:pt>
                <c:pt idx="13">
                  <c:v>96.618304322638835</c:v>
                </c:pt>
                <c:pt idx="14">
                  <c:v>90.965491888195302</c:v>
                </c:pt>
                <c:pt idx="15">
                  <c:v>74.529728388363807</c:v>
                </c:pt>
                <c:pt idx="16">
                  <c:v>91.975838765011517</c:v>
                </c:pt>
                <c:pt idx="17">
                  <c:v>76.45858472469736</c:v>
                </c:pt>
                <c:pt idx="18">
                  <c:v>40.98276243905741</c:v>
                </c:pt>
                <c:pt idx="19">
                  <c:v>105.85339665833509</c:v>
                </c:pt>
                <c:pt idx="20">
                  <c:v>116.99932353681801</c:v>
                </c:pt>
                <c:pt idx="21">
                  <c:v>149.2315384218121</c:v>
                </c:pt>
                <c:pt idx="22">
                  <c:v>138.40189381070033</c:v>
                </c:pt>
                <c:pt idx="23">
                  <c:v>109.54184595490497</c:v>
                </c:pt>
                <c:pt idx="24">
                  <c:v>90.316010958869398</c:v>
                </c:pt>
                <c:pt idx="25">
                  <c:v>115.60549829256625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E1C-A3D3-3470D7FD0DA9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alpha val="27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cells'!$J$87:$J$109</c:f>
              <c:numCache>
                <c:formatCode>General</c:formatCode>
                <c:ptCount val="23"/>
                <c:pt idx="0">
                  <c:v>16.5</c:v>
                </c:pt>
                <c:pt idx="1">
                  <c:v>16.05</c:v>
                </c:pt>
                <c:pt idx="2">
                  <c:v>16.100000000000001</c:v>
                </c:pt>
                <c:pt idx="3">
                  <c:v>16.149999999999999</c:v>
                </c:pt>
                <c:pt idx="4">
                  <c:v>16.2</c:v>
                </c:pt>
                <c:pt idx="5">
                  <c:v>16.25</c:v>
                </c:pt>
                <c:pt idx="6">
                  <c:v>16.3</c:v>
                </c:pt>
                <c:pt idx="7">
                  <c:v>16.350000000000001</c:v>
                </c:pt>
                <c:pt idx="8">
                  <c:v>16.399999999999999</c:v>
                </c:pt>
                <c:pt idx="9">
                  <c:v>16.45</c:v>
                </c:pt>
                <c:pt idx="10">
                  <c:v>16.5</c:v>
                </c:pt>
                <c:pt idx="11">
                  <c:v>16.55</c:v>
                </c:pt>
                <c:pt idx="12">
                  <c:v>16.600000000000001</c:v>
                </c:pt>
                <c:pt idx="13">
                  <c:v>16.649999999999999</c:v>
                </c:pt>
                <c:pt idx="14">
                  <c:v>16.7</c:v>
                </c:pt>
                <c:pt idx="15">
                  <c:v>16.75</c:v>
                </c:pt>
                <c:pt idx="16">
                  <c:v>16.8</c:v>
                </c:pt>
                <c:pt idx="17">
                  <c:v>16.850000000000001</c:v>
                </c:pt>
                <c:pt idx="18">
                  <c:v>16.899999999999999</c:v>
                </c:pt>
                <c:pt idx="19">
                  <c:v>16.95</c:v>
                </c:pt>
                <c:pt idx="20">
                  <c:v>17</c:v>
                </c:pt>
              </c:numCache>
            </c:numRef>
          </c:xVal>
          <c:yVal>
            <c:numRef>
              <c:f>'All cells'!$M$87:$M$109</c:f>
              <c:numCache>
                <c:formatCode>General</c:formatCode>
                <c:ptCount val="23"/>
                <c:pt idx="0">
                  <c:v>36.309654893118413</c:v>
                </c:pt>
                <c:pt idx="1">
                  <c:v>32.057205556168462</c:v>
                </c:pt>
                <c:pt idx="2">
                  <c:v>75.873122620835375</c:v>
                </c:pt>
                <c:pt idx="3">
                  <c:v>56.275414427433617</c:v>
                </c:pt>
                <c:pt idx="4">
                  <c:v>74.256242082909296</c:v>
                </c:pt>
                <c:pt idx="5">
                  <c:v>42.627259880732474</c:v>
                </c:pt>
                <c:pt idx="6">
                  <c:v>97.699910443943608</c:v>
                </c:pt>
                <c:pt idx="7">
                  <c:v>44.418976565806332</c:v>
                </c:pt>
                <c:pt idx="8">
                  <c:v>53.75069593948394</c:v>
                </c:pt>
                <c:pt idx="9">
                  <c:v>114.7324597339405</c:v>
                </c:pt>
                <c:pt idx="10">
                  <c:v>33.74781204811444</c:v>
                </c:pt>
                <c:pt idx="11">
                  <c:v>41.256923322245754</c:v>
                </c:pt>
                <c:pt idx="12">
                  <c:v>64.75791591750675</c:v>
                </c:pt>
                <c:pt idx="13">
                  <c:v>46.84229605344288</c:v>
                </c:pt>
                <c:pt idx="14">
                  <c:v>58.103042392154791</c:v>
                </c:pt>
                <c:pt idx="15">
                  <c:v>65.234549090644506</c:v>
                </c:pt>
                <c:pt idx="16">
                  <c:v>60.790166905412349</c:v>
                </c:pt>
                <c:pt idx="17">
                  <c:v>69.087318595865312</c:v>
                </c:pt>
                <c:pt idx="18">
                  <c:v>32.511696903100834</c:v>
                </c:pt>
                <c:pt idx="19">
                  <c:v>34.166482233987402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E1C-A3D3-3470D7FD0DA9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cells'!$AR$39:$AR$75</c:f>
              <c:numCache>
                <c:formatCode>General</c:formatCode>
                <c:ptCount val="37"/>
                <c:pt idx="0">
                  <c:v>12.5</c:v>
                </c:pt>
                <c:pt idx="1">
                  <c:v>12.05</c:v>
                </c:pt>
                <c:pt idx="2">
                  <c:v>12.1</c:v>
                </c:pt>
                <c:pt idx="3">
                  <c:v>12.15</c:v>
                </c:pt>
                <c:pt idx="4">
                  <c:v>12.2</c:v>
                </c:pt>
                <c:pt idx="5">
                  <c:v>12.25</c:v>
                </c:pt>
                <c:pt idx="6">
                  <c:v>12.3</c:v>
                </c:pt>
                <c:pt idx="7">
                  <c:v>12.35</c:v>
                </c:pt>
                <c:pt idx="8">
                  <c:v>12.4</c:v>
                </c:pt>
                <c:pt idx="9">
                  <c:v>12.45</c:v>
                </c:pt>
                <c:pt idx="10">
                  <c:v>12.5</c:v>
                </c:pt>
                <c:pt idx="11">
                  <c:v>12.55</c:v>
                </c:pt>
                <c:pt idx="12">
                  <c:v>12.6</c:v>
                </c:pt>
                <c:pt idx="13">
                  <c:v>12.65</c:v>
                </c:pt>
                <c:pt idx="14">
                  <c:v>12.7</c:v>
                </c:pt>
                <c:pt idx="15">
                  <c:v>12.75</c:v>
                </c:pt>
                <c:pt idx="16">
                  <c:v>12.8</c:v>
                </c:pt>
                <c:pt idx="17">
                  <c:v>12.9</c:v>
                </c:pt>
                <c:pt idx="18">
                  <c:v>12.95</c:v>
                </c:pt>
                <c:pt idx="19">
                  <c:v>13</c:v>
                </c:pt>
                <c:pt idx="20">
                  <c:v>13.05</c:v>
                </c:pt>
                <c:pt idx="21">
                  <c:v>13.1</c:v>
                </c:pt>
                <c:pt idx="22">
                  <c:v>13.15</c:v>
                </c:pt>
                <c:pt idx="23">
                  <c:v>13.2</c:v>
                </c:pt>
                <c:pt idx="24">
                  <c:v>13.25</c:v>
                </c:pt>
                <c:pt idx="25">
                  <c:v>13.3</c:v>
                </c:pt>
                <c:pt idx="26">
                  <c:v>13.35</c:v>
                </c:pt>
                <c:pt idx="27">
                  <c:v>13.4</c:v>
                </c:pt>
                <c:pt idx="28">
                  <c:v>13.45</c:v>
                </c:pt>
                <c:pt idx="29">
                  <c:v>13.5</c:v>
                </c:pt>
                <c:pt idx="30">
                  <c:v>13.6</c:v>
                </c:pt>
                <c:pt idx="31">
                  <c:v>13.65</c:v>
                </c:pt>
                <c:pt idx="32">
                  <c:v>13.7</c:v>
                </c:pt>
                <c:pt idx="33">
                  <c:v>13.75</c:v>
                </c:pt>
                <c:pt idx="34">
                  <c:v>13.8</c:v>
                </c:pt>
              </c:numCache>
            </c:numRef>
          </c:xVal>
          <c:yVal>
            <c:numRef>
              <c:f>'All cells'!$AU$39:$AU$75</c:f>
              <c:numCache>
                <c:formatCode>General</c:formatCode>
                <c:ptCount val="37"/>
                <c:pt idx="0">
                  <c:v>74.964656609787156</c:v>
                </c:pt>
                <c:pt idx="1">
                  <c:v>101.87267843265693</c:v>
                </c:pt>
                <c:pt idx="2">
                  <c:v>68.875316795737845</c:v>
                </c:pt>
                <c:pt idx="3">
                  <c:v>100.44676265148409</c:v>
                </c:pt>
                <c:pt idx="4">
                  <c:v>98.195388400995199</c:v>
                </c:pt>
                <c:pt idx="5">
                  <c:v>60.243240097915617</c:v>
                </c:pt>
                <c:pt idx="6">
                  <c:v>86.423045034207206</c:v>
                </c:pt>
                <c:pt idx="7">
                  <c:v>43.898304344017532</c:v>
                </c:pt>
                <c:pt idx="8">
                  <c:v>77.113743673654596</c:v>
                </c:pt>
                <c:pt idx="9">
                  <c:v>51.377743060238686</c:v>
                </c:pt>
                <c:pt idx="10">
                  <c:v>67.163829856145014</c:v>
                </c:pt>
                <c:pt idx="11">
                  <c:v>85.327853862077205</c:v>
                </c:pt>
                <c:pt idx="12">
                  <c:v>71.061736718958855</c:v>
                </c:pt>
                <c:pt idx="13">
                  <c:v>65.842252845880168</c:v>
                </c:pt>
                <c:pt idx="14">
                  <c:v>82.23745434577809</c:v>
                </c:pt>
                <c:pt idx="15">
                  <c:v>115.9779020670932</c:v>
                </c:pt>
                <c:pt idx="16">
                  <c:v>108.61</c:v>
                </c:pt>
                <c:pt idx="17">
                  <c:v>72.483577477489817</c:v>
                </c:pt>
                <c:pt idx="18">
                  <c:v>67.652128902234793</c:v>
                </c:pt>
                <c:pt idx="19">
                  <c:v>50.179780371946407</c:v>
                </c:pt>
                <c:pt idx="20">
                  <c:v>152.2585688050498</c:v>
                </c:pt>
                <c:pt idx="21">
                  <c:v>98.291111882695006</c:v>
                </c:pt>
                <c:pt idx="22">
                  <c:v>45.272110809534702</c:v>
                </c:pt>
                <c:pt idx="23">
                  <c:v>54.171440556872362</c:v>
                </c:pt>
                <c:pt idx="24">
                  <c:v>55.735142364164311</c:v>
                </c:pt>
                <c:pt idx="25">
                  <c:v>72.813287069925792</c:v>
                </c:pt>
                <c:pt idx="26">
                  <c:v>60.724494378892736</c:v>
                </c:pt>
                <c:pt idx="27">
                  <c:v>58.350436087672911</c:v>
                </c:pt>
                <c:pt idx="28">
                  <c:v>56.268428862500656</c:v>
                </c:pt>
                <c:pt idx="29">
                  <c:v>81.478522771509162</c:v>
                </c:pt>
                <c:pt idx="30">
                  <c:v>53.698150525263614</c:v>
                </c:pt>
                <c:pt idx="31">
                  <c:v>55.34476854072313</c:v>
                </c:pt>
                <c:pt idx="32">
                  <c:v>59.754790386447205</c:v>
                </c:pt>
                <c:pt idx="33">
                  <c:v>52.341560185067607</c:v>
                </c:pt>
                <c:pt idx="34">
                  <c:v>43.265862750178535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56C-BEB8-65ED684416C2}"/>
            </c:ext>
          </c:extLst>
        </c:ser>
        <c:ser>
          <c:idx val="4"/>
          <c:order val="5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cells'!$M$34,'All cells'!$AU$25,'All cells'!$M$81,'All cells'!$AU$79,'All cells'!$M$113,'All cells'!$AU$105)</c:f>
                <c:numCache>
                  <c:formatCode>General</c:formatCode>
                  <c:ptCount val="6"/>
                  <c:pt idx="0">
                    <c:v>34.850814064114083</c:v>
                  </c:pt>
                  <c:pt idx="1">
                    <c:v>43.198181127303172</c:v>
                  </c:pt>
                  <c:pt idx="2">
                    <c:v>28.222692469196691</c:v>
                  </c:pt>
                  <c:pt idx="3">
                    <c:v>23.725147319936781</c:v>
                  </c:pt>
                  <c:pt idx="4">
                    <c:v>22.207829412531325</c:v>
                  </c:pt>
                  <c:pt idx="5">
                    <c:v>15.160744536873864</c:v>
                  </c:pt>
                </c:numCache>
              </c:numRef>
            </c:plus>
            <c:minus>
              <c:numRef>
                <c:f>('All cells'!$M$34,'All cells'!$AU$25,'All cells'!$M$81,'All cells'!$AU$79,'All cells'!$M$113,'All cells'!$AU$105)</c:f>
                <c:numCache>
                  <c:formatCode>General</c:formatCode>
                  <c:ptCount val="6"/>
                  <c:pt idx="0">
                    <c:v>34.850814064114083</c:v>
                  </c:pt>
                  <c:pt idx="1">
                    <c:v>43.198181127303172</c:v>
                  </c:pt>
                  <c:pt idx="2">
                    <c:v>28.222692469196691</c:v>
                  </c:pt>
                  <c:pt idx="3">
                    <c:v>23.725147319936781</c:v>
                  </c:pt>
                  <c:pt idx="4">
                    <c:v>22.207829412531325</c:v>
                  </c:pt>
                  <c:pt idx="5">
                    <c:v>15.160744536873864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('All cells'!$J$2,'All cells'!$AR$2,'All cells'!$J$39,'All cells'!$AR$39,'All cells'!$J$87,'All cells'!$AR$82)</c:f>
              <c:numCache>
                <c:formatCode>General</c:formatCode>
                <c:ptCount val="6"/>
                <c:pt idx="0">
                  <c:v>3.5</c:v>
                </c:pt>
                <c:pt idx="1">
                  <c:v>6.05</c:v>
                </c:pt>
                <c:pt idx="2">
                  <c:v>9.5</c:v>
                </c:pt>
                <c:pt idx="3">
                  <c:v>12.5</c:v>
                </c:pt>
                <c:pt idx="4">
                  <c:v>16.5</c:v>
                </c:pt>
                <c:pt idx="5">
                  <c:v>19</c:v>
                </c:pt>
              </c:numCache>
            </c:numRef>
          </c:xVal>
          <c:yVal>
            <c:numRef>
              <c:f>('All cells'!$M$33,'All cells'!$AU$24,'All cells'!$M$80,'All cells'!$AU$78,'All cells'!$M$112,'All cells'!$AU$104)</c:f>
              <c:numCache>
                <c:formatCode>General</c:formatCode>
                <c:ptCount val="6"/>
                <c:pt idx="0">
                  <c:v>122.55760759634295</c:v>
                </c:pt>
                <c:pt idx="1">
                  <c:v>115.92202562834464</c:v>
                </c:pt>
                <c:pt idx="2">
                  <c:v>98.917915995760836</c:v>
                </c:pt>
                <c:pt idx="3">
                  <c:v>72.849030614994177</c:v>
                </c:pt>
                <c:pt idx="4">
                  <c:v>56.724957280342345</c:v>
                </c:pt>
                <c:pt idx="5">
                  <c:v>46.757316641316713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E-452D-A84F-8EACE8E7913C}"/>
            </c:ext>
          </c:extLst>
        </c:ser>
        <c:ser>
          <c:idx val="6"/>
          <c:order val="6"/>
          <c:tx>
            <c:v>cvP14+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cells'!$AR$82:$AR$99</c:f>
              <c:numCache>
                <c:formatCode>General</c:formatCode>
                <c:ptCount val="18"/>
                <c:pt idx="0">
                  <c:v>19</c:v>
                </c:pt>
                <c:pt idx="1">
                  <c:v>19.05</c:v>
                </c:pt>
                <c:pt idx="2">
                  <c:v>19.100000000000001</c:v>
                </c:pt>
                <c:pt idx="3">
                  <c:v>19.149999999999999</c:v>
                </c:pt>
                <c:pt idx="4">
                  <c:v>19.2</c:v>
                </c:pt>
                <c:pt idx="5">
                  <c:v>19.25</c:v>
                </c:pt>
                <c:pt idx="6">
                  <c:v>19.3</c:v>
                </c:pt>
                <c:pt idx="7">
                  <c:v>19.350000000000001</c:v>
                </c:pt>
                <c:pt idx="8">
                  <c:v>19.399999999999999</c:v>
                </c:pt>
                <c:pt idx="9">
                  <c:v>19.45</c:v>
                </c:pt>
                <c:pt idx="10">
                  <c:v>19.5</c:v>
                </c:pt>
                <c:pt idx="11">
                  <c:v>19.55</c:v>
                </c:pt>
                <c:pt idx="12">
                  <c:v>19.600000000000001</c:v>
                </c:pt>
                <c:pt idx="13">
                  <c:v>19.649999999999999</c:v>
                </c:pt>
                <c:pt idx="14">
                  <c:v>19.7</c:v>
                </c:pt>
                <c:pt idx="15">
                  <c:v>19.75</c:v>
                </c:pt>
                <c:pt idx="16">
                  <c:v>19.8</c:v>
                </c:pt>
                <c:pt idx="17">
                  <c:v>19.850000000000001</c:v>
                </c:pt>
              </c:numCache>
            </c:numRef>
          </c:xVal>
          <c:yVal>
            <c:numRef>
              <c:f>'All cells'!$AU$82:$AU$93</c:f>
              <c:numCache>
                <c:formatCode>General</c:formatCode>
                <c:ptCount val="12"/>
                <c:pt idx="0">
                  <c:v>53.214708958908489</c:v>
                </c:pt>
                <c:pt idx="1">
                  <c:v>91.99585025232372</c:v>
                </c:pt>
                <c:pt idx="2">
                  <c:v>42.359360389130806</c:v>
                </c:pt>
                <c:pt idx="3">
                  <c:v>43.005378060065702</c:v>
                </c:pt>
                <c:pt idx="4">
                  <c:v>51.328463360674519</c:v>
                </c:pt>
                <c:pt idx="5">
                  <c:v>46.362468778572044</c:v>
                </c:pt>
                <c:pt idx="6">
                  <c:v>50.956261899104781</c:v>
                </c:pt>
                <c:pt idx="7">
                  <c:v>44.00898532339545</c:v>
                </c:pt>
                <c:pt idx="8">
                  <c:v>49.266284214708463</c:v>
                </c:pt>
                <c:pt idx="9">
                  <c:v>34.348372997843512</c:v>
                </c:pt>
                <c:pt idx="10">
                  <c:v>65.048437307648541</c:v>
                </c:pt>
                <c:pt idx="11">
                  <c:v>40.53154703685896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E-440E-8DD4-E96B3AAC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3616"/>
        <c:axId val="925064272"/>
      </c:scatterChart>
      <c:valAx>
        <c:axId val="9250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4272"/>
        <c:crosses val="autoZero"/>
        <c:crossBetween val="midCat"/>
      </c:valAx>
      <c:valAx>
        <c:axId val="92506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First</a:t>
                </a:r>
                <a:r>
                  <a:rPr lang="en-GB" baseline="0"/>
                  <a:t> AP FF slope (Hz/nA)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413504432223546E-2"/>
              <c:y val="0.3518463440537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cells'!$J$2:$J$24</c:f>
              <c:numCache>
                <c:formatCode>General</c:formatCode>
                <c:ptCount val="23"/>
                <c:pt idx="0">
                  <c:v>3.5</c:v>
                </c:pt>
                <c:pt idx="1">
                  <c:v>3.05</c:v>
                </c:pt>
                <c:pt idx="2">
                  <c:v>3.1</c:v>
                </c:pt>
                <c:pt idx="3">
                  <c:v>3.15</c:v>
                </c:pt>
                <c:pt idx="4">
                  <c:v>3.2</c:v>
                </c:pt>
                <c:pt idx="5">
                  <c:v>3.25</c:v>
                </c:pt>
                <c:pt idx="6">
                  <c:v>3.3</c:v>
                </c:pt>
                <c:pt idx="7">
                  <c:v>3.35</c:v>
                </c:pt>
                <c:pt idx="8">
                  <c:v>3.4</c:v>
                </c:pt>
                <c:pt idx="9">
                  <c:v>3.45</c:v>
                </c:pt>
                <c:pt idx="10">
                  <c:v>3.5</c:v>
                </c:pt>
                <c:pt idx="12">
                  <c:v>3.6</c:v>
                </c:pt>
                <c:pt idx="13">
                  <c:v>3.65</c:v>
                </c:pt>
                <c:pt idx="14">
                  <c:v>3.7</c:v>
                </c:pt>
                <c:pt idx="15">
                  <c:v>3.75</c:v>
                </c:pt>
                <c:pt idx="16">
                  <c:v>3.8</c:v>
                </c:pt>
                <c:pt idx="18">
                  <c:v>3.9</c:v>
                </c:pt>
                <c:pt idx="21">
                  <c:v>4.05</c:v>
                </c:pt>
                <c:pt idx="22">
                  <c:v>4.0999999999999996</c:v>
                </c:pt>
              </c:numCache>
            </c:numRef>
          </c:xVal>
          <c:yVal>
            <c:numRef>
              <c:f>'All cells'!$W$2:$W$24</c:f>
              <c:numCache>
                <c:formatCode>General</c:formatCode>
                <c:ptCount val="23"/>
                <c:pt idx="0">
                  <c:v>96.9</c:v>
                </c:pt>
                <c:pt idx="1">
                  <c:v>205.7</c:v>
                </c:pt>
                <c:pt idx="2">
                  <c:v>168.7</c:v>
                </c:pt>
                <c:pt idx="3">
                  <c:v>119.4</c:v>
                </c:pt>
                <c:pt idx="4">
                  <c:v>114.8</c:v>
                </c:pt>
                <c:pt idx="5">
                  <c:v>151.5</c:v>
                </c:pt>
                <c:pt idx="6">
                  <c:v>193.9</c:v>
                </c:pt>
                <c:pt idx="7">
                  <c:v>192.2</c:v>
                </c:pt>
                <c:pt idx="8">
                  <c:v>168.5</c:v>
                </c:pt>
                <c:pt idx="9">
                  <c:v>172.4</c:v>
                </c:pt>
                <c:pt idx="10">
                  <c:v>135.6</c:v>
                </c:pt>
                <c:pt idx="12">
                  <c:v>154.5</c:v>
                </c:pt>
                <c:pt idx="13">
                  <c:v>163.5</c:v>
                </c:pt>
                <c:pt idx="14">
                  <c:v>148.16</c:v>
                </c:pt>
                <c:pt idx="15">
                  <c:v>149.30000000000001</c:v>
                </c:pt>
                <c:pt idx="16">
                  <c:v>165.2</c:v>
                </c:pt>
                <c:pt idx="18">
                  <c:v>126.8</c:v>
                </c:pt>
                <c:pt idx="21">
                  <c:v>94.8</c:v>
                </c:pt>
                <c:pt idx="22">
                  <c:v>120.3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E1C-A3D3-3470D7FD0DA9}"/>
            </c:ext>
          </c:extLst>
        </c:ser>
        <c:ser>
          <c:idx val="5"/>
          <c:order val="1"/>
          <c:tx>
            <c:v>cvp3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cells'!$AR$2:$AR$13</c:f>
              <c:numCache>
                <c:formatCode>General</c:formatCode>
                <c:ptCount val="12"/>
                <c:pt idx="0">
                  <c:v>6.05</c:v>
                </c:pt>
                <c:pt idx="1">
                  <c:v>6.1</c:v>
                </c:pt>
                <c:pt idx="2">
                  <c:v>6.15</c:v>
                </c:pt>
                <c:pt idx="3">
                  <c:v>6.2</c:v>
                </c:pt>
                <c:pt idx="4">
                  <c:v>6.25</c:v>
                </c:pt>
                <c:pt idx="5">
                  <c:v>6.3</c:v>
                </c:pt>
                <c:pt idx="6">
                  <c:v>6.35</c:v>
                </c:pt>
                <c:pt idx="7">
                  <c:v>6.4</c:v>
                </c:pt>
                <c:pt idx="8">
                  <c:v>6.45</c:v>
                </c:pt>
                <c:pt idx="9">
                  <c:v>6.5</c:v>
                </c:pt>
                <c:pt idx="10">
                  <c:v>6.55</c:v>
                </c:pt>
                <c:pt idx="11">
                  <c:v>6.6</c:v>
                </c:pt>
              </c:numCache>
            </c:numRef>
          </c:xVal>
          <c:yVal>
            <c:numRef>
              <c:f>'All cells'!$BE$2:$BE$13</c:f>
              <c:numCache>
                <c:formatCode>General</c:formatCode>
                <c:ptCount val="12"/>
                <c:pt idx="0">
                  <c:v>93</c:v>
                </c:pt>
                <c:pt idx="1">
                  <c:v>143.30000000000001</c:v>
                </c:pt>
                <c:pt idx="2">
                  <c:v>98.6</c:v>
                </c:pt>
                <c:pt idx="3">
                  <c:v>175.8</c:v>
                </c:pt>
                <c:pt idx="4">
                  <c:v>147.19999999999999</c:v>
                </c:pt>
                <c:pt idx="5">
                  <c:v>81.099999999999994</c:v>
                </c:pt>
                <c:pt idx="6">
                  <c:v>128.1</c:v>
                </c:pt>
                <c:pt idx="7">
                  <c:v>89.2</c:v>
                </c:pt>
                <c:pt idx="8">
                  <c:v>242.83</c:v>
                </c:pt>
                <c:pt idx="9">
                  <c:v>158.69999999999999</c:v>
                </c:pt>
                <c:pt idx="10">
                  <c:v>244.67</c:v>
                </c:pt>
                <c:pt idx="11">
                  <c:v>139.80000000000001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4-4F70-BC50-A7A4DE9D65CD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cells'!$J$39:$J$64</c:f>
              <c:numCache>
                <c:formatCode>General</c:formatCode>
                <c:ptCount val="26"/>
                <c:pt idx="0">
                  <c:v>9.5</c:v>
                </c:pt>
                <c:pt idx="1">
                  <c:v>9.0500000000000007</c:v>
                </c:pt>
                <c:pt idx="2">
                  <c:v>9.1</c:v>
                </c:pt>
                <c:pt idx="3">
                  <c:v>9.15</c:v>
                </c:pt>
                <c:pt idx="4">
                  <c:v>9.1999999999999993</c:v>
                </c:pt>
                <c:pt idx="5">
                  <c:v>9.25</c:v>
                </c:pt>
                <c:pt idx="6">
                  <c:v>9.3000000000000007</c:v>
                </c:pt>
                <c:pt idx="7">
                  <c:v>9.3499999999999908</c:v>
                </c:pt>
                <c:pt idx="8">
                  <c:v>9.3999999999999897</c:v>
                </c:pt>
                <c:pt idx="9">
                  <c:v>9.4499999999999904</c:v>
                </c:pt>
                <c:pt idx="10">
                  <c:v>9.4999999999999893</c:v>
                </c:pt>
                <c:pt idx="11">
                  <c:v>9.5499999999999901</c:v>
                </c:pt>
                <c:pt idx="12">
                  <c:v>9.5999999999999908</c:v>
                </c:pt>
                <c:pt idx="13">
                  <c:v>9.6499999999999897</c:v>
                </c:pt>
                <c:pt idx="14">
                  <c:v>9.6999999999999904</c:v>
                </c:pt>
                <c:pt idx="15">
                  <c:v>9.7499999999999893</c:v>
                </c:pt>
                <c:pt idx="16">
                  <c:v>9.7999999999999794</c:v>
                </c:pt>
                <c:pt idx="17">
                  <c:v>9.8499999999999801</c:v>
                </c:pt>
                <c:pt idx="18">
                  <c:v>9.8999999999999808</c:v>
                </c:pt>
                <c:pt idx="19">
                  <c:v>9.9499999999999797</c:v>
                </c:pt>
                <c:pt idx="20">
                  <c:v>9.9999999999999805</c:v>
                </c:pt>
                <c:pt idx="21">
                  <c:v>10.050000000000001</c:v>
                </c:pt>
                <c:pt idx="22">
                  <c:v>10.1</c:v>
                </c:pt>
                <c:pt idx="23">
                  <c:v>10.15</c:v>
                </c:pt>
                <c:pt idx="24">
                  <c:v>10.199999999999999</c:v>
                </c:pt>
                <c:pt idx="25">
                  <c:v>10.25</c:v>
                </c:pt>
              </c:numCache>
            </c:numRef>
          </c:xVal>
          <c:yVal>
            <c:numRef>
              <c:f>'All cells'!$W$39:$W$64</c:f>
              <c:numCache>
                <c:formatCode>General</c:formatCode>
                <c:ptCount val="26"/>
                <c:pt idx="0">
                  <c:v>154.1</c:v>
                </c:pt>
                <c:pt idx="1">
                  <c:v>201.2</c:v>
                </c:pt>
                <c:pt idx="2">
                  <c:v>204.3</c:v>
                </c:pt>
                <c:pt idx="3">
                  <c:v>156.5</c:v>
                </c:pt>
                <c:pt idx="4">
                  <c:v>160.4</c:v>
                </c:pt>
                <c:pt idx="5">
                  <c:v>137.5</c:v>
                </c:pt>
                <c:pt idx="6">
                  <c:v>181.1</c:v>
                </c:pt>
                <c:pt idx="7">
                  <c:v>181.5</c:v>
                </c:pt>
                <c:pt idx="8">
                  <c:v>156.5</c:v>
                </c:pt>
                <c:pt idx="9">
                  <c:v>250.26</c:v>
                </c:pt>
                <c:pt idx="10">
                  <c:v>168.6</c:v>
                </c:pt>
                <c:pt idx="11">
                  <c:v>244.2</c:v>
                </c:pt>
                <c:pt idx="12">
                  <c:v>191.2</c:v>
                </c:pt>
                <c:pt idx="13">
                  <c:v>147.1</c:v>
                </c:pt>
                <c:pt idx="14">
                  <c:v>141.9</c:v>
                </c:pt>
                <c:pt idx="15">
                  <c:v>174.4</c:v>
                </c:pt>
                <c:pt idx="16">
                  <c:v>152.9</c:v>
                </c:pt>
                <c:pt idx="17">
                  <c:v>223.9</c:v>
                </c:pt>
                <c:pt idx="18">
                  <c:v>130.69999999999999</c:v>
                </c:pt>
                <c:pt idx="19">
                  <c:v>131.5</c:v>
                </c:pt>
                <c:pt idx="20">
                  <c:v>159.80000000000001</c:v>
                </c:pt>
                <c:pt idx="21">
                  <c:v>158</c:v>
                </c:pt>
                <c:pt idx="22">
                  <c:v>225.1</c:v>
                </c:pt>
                <c:pt idx="23">
                  <c:v>151.80000000000001</c:v>
                </c:pt>
                <c:pt idx="24">
                  <c:v>203.2</c:v>
                </c:pt>
                <c:pt idx="25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E1C-A3D3-3470D7FD0DA9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7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cells'!$J$87:$J$104</c:f>
              <c:numCache>
                <c:formatCode>General</c:formatCode>
                <c:ptCount val="18"/>
                <c:pt idx="0">
                  <c:v>16.5</c:v>
                </c:pt>
                <c:pt idx="1">
                  <c:v>16.05</c:v>
                </c:pt>
                <c:pt idx="2">
                  <c:v>16.100000000000001</c:v>
                </c:pt>
                <c:pt idx="3">
                  <c:v>16.149999999999999</c:v>
                </c:pt>
                <c:pt idx="4">
                  <c:v>16.2</c:v>
                </c:pt>
                <c:pt idx="5">
                  <c:v>16.25</c:v>
                </c:pt>
                <c:pt idx="6">
                  <c:v>16.3</c:v>
                </c:pt>
                <c:pt idx="7">
                  <c:v>16.350000000000001</c:v>
                </c:pt>
                <c:pt idx="8">
                  <c:v>16.399999999999999</c:v>
                </c:pt>
                <c:pt idx="9">
                  <c:v>16.45</c:v>
                </c:pt>
                <c:pt idx="10">
                  <c:v>16.5</c:v>
                </c:pt>
                <c:pt idx="11">
                  <c:v>16.55</c:v>
                </c:pt>
                <c:pt idx="12">
                  <c:v>16.600000000000001</c:v>
                </c:pt>
                <c:pt idx="13">
                  <c:v>16.649999999999999</c:v>
                </c:pt>
                <c:pt idx="14">
                  <c:v>16.7</c:v>
                </c:pt>
                <c:pt idx="15">
                  <c:v>16.75</c:v>
                </c:pt>
                <c:pt idx="16">
                  <c:v>16.8</c:v>
                </c:pt>
                <c:pt idx="17">
                  <c:v>16.850000000000001</c:v>
                </c:pt>
              </c:numCache>
            </c:numRef>
          </c:xVal>
          <c:yVal>
            <c:numRef>
              <c:f>'All cells'!$W$87:$W$104</c:f>
              <c:numCache>
                <c:formatCode>General</c:formatCode>
                <c:ptCount val="18"/>
                <c:pt idx="0">
                  <c:v>134.9</c:v>
                </c:pt>
                <c:pt idx="1">
                  <c:v>185.3</c:v>
                </c:pt>
                <c:pt idx="2">
                  <c:v>177.8</c:v>
                </c:pt>
                <c:pt idx="3">
                  <c:v>219.3</c:v>
                </c:pt>
                <c:pt idx="4">
                  <c:v>224.94</c:v>
                </c:pt>
                <c:pt idx="5">
                  <c:v>122.7</c:v>
                </c:pt>
                <c:pt idx="6">
                  <c:v>179.8</c:v>
                </c:pt>
                <c:pt idx="7">
                  <c:v>212.8</c:v>
                </c:pt>
                <c:pt idx="8">
                  <c:v>145.5</c:v>
                </c:pt>
                <c:pt idx="9">
                  <c:v>124</c:v>
                </c:pt>
                <c:pt idx="10">
                  <c:v>158.69999999999999</c:v>
                </c:pt>
                <c:pt idx="11">
                  <c:v>200.2</c:v>
                </c:pt>
                <c:pt idx="12">
                  <c:v>113.2</c:v>
                </c:pt>
                <c:pt idx="13">
                  <c:v>175.8</c:v>
                </c:pt>
                <c:pt idx="14">
                  <c:v>207.8</c:v>
                </c:pt>
                <c:pt idx="15">
                  <c:v>172.4</c:v>
                </c:pt>
                <c:pt idx="16">
                  <c:v>244.17</c:v>
                </c:pt>
                <c:pt idx="17">
                  <c:v>210.7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E1C-A3D3-3470D7FD0DA9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cells'!$AR$39:$AR$62</c:f>
              <c:numCache>
                <c:formatCode>General</c:formatCode>
                <c:ptCount val="24"/>
                <c:pt idx="0">
                  <c:v>12.5</c:v>
                </c:pt>
                <c:pt idx="1">
                  <c:v>12.05</c:v>
                </c:pt>
                <c:pt idx="2">
                  <c:v>12.1</c:v>
                </c:pt>
                <c:pt idx="3">
                  <c:v>12.15</c:v>
                </c:pt>
                <c:pt idx="4">
                  <c:v>12.2</c:v>
                </c:pt>
                <c:pt idx="5">
                  <c:v>12.25</c:v>
                </c:pt>
                <c:pt idx="6">
                  <c:v>12.3</c:v>
                </c:pt>
                <c:pt idx="7">
                  <c:v>12.35</c:v>
                </c:pt>
                <c:pt idx="8">
                  <c:v>12.4</c:v>
                </c:pt>
                <c:pt idx="9">
                  <c:v>12.45</c:v>
                </c:pt>
                <c:pt idx="10">
                  <c:v>12.5</c:v>
                </c:pt>
                <c:pt idx="11">
                  <c:v>12.55</c:v>
                </c:pt>
                <c:pt idx="12">
                  <c:v>12.6</c:v>
                </c:pt>
                <c:pt idx="13">
                  <c:v>12.65</c:v>
                </c:pt>
                <c:pt idx="14">
                  <c:v>12.7</c:v>
                </c:pt>
                <c:pt idx="15">
                  <c:v>12.75</c:v>
                </c:pt>
                <c:pt idx="16">
                  <c:v>12.8</c:v>
                </c:pt>
                <c:pt idx="17">
                  <c:v>12.9</c:v>
                </c:pt>
                <c:pt idx="18">
                  <c:v>12.95</c:v>
                </c:pt>
                <c:pt idx="19">
                  <c:v>13</c:v>
                </c:pt>
                <c:pt idx="20">
                  <c:v>13.05</c:v>
                </c:pt>
                <c:pt idx="21">
                  <c:v>13.1</c:v>
                </c:pt>
                <c:pt idx="22">
                  <c:v>13.15</c:v>
                </c:pt>
                <c:pt idx="23">
                  <c:v>13.2</c:v>
                </c:pt>
              </c:numCache>
            </c:numRef>
          </c:xVal>
          <c:yVal>
            <c:numRef>
              <c:f>'All cells'!$BE$39:$BE$62</c:f>
              <c:numCache>
                <c:formatCode>General</c:formatCode>
                <c:ptCount val="24"/>
                <c:pt idx="0">
                  <c:v>199.3</c:v>
                </c:pt>
                <c:pt idx="1">
                  <c:v>231.2</c:v>
                </c:pt>
                <c:pt idx="2">
                  <c:v>221.8</c:v>
                </c:pt>
                <c:pt idx="3">
                  <c:v>231.33</c:v>
                </c:pt>
                <c:pt idx="4">
                  <c:v>180.7</c:v>
                </c:pt>
                <c:pt idx="5">
                  <c:v>333.92</c:v>
                </c:pt>
                <c:pt idx="6">
                  <c:v>204.8</c:v>
                </c:pt>
                <c:pt idx="7">
                  <c:v>257.48</c:v>
                </c:pt>
                <c:pt idx="8">
                  <c:v>170</c:v>
                </c:pt>
                <c:pt idx="9">
                  <c:v>144.19999999999999</c:v>
                </c:pt>
                <c:pt idx="10">
                  <c:v>189.7</c:v>
                </c:pt>
                <c:pt idx="11">
                  <c:v>137.5</c:v>
                </c:pt>
                <c:pt idx="12">
                  <c:v>102.3</c:v>
                </c:pt>
                <c:pt idx="13">
                  <c:v>182.3</c:v>
                </c:pt>
                <c:pt idx="14">
                  <c:v>159.9</c:v>
                </c:pt>
                <c:pt idx="15">
                  <c:v>148.4</c:v>
                </c:pt>
                <c:pt idx="16">
                  <c:v>173.6</c:v>
                </c:pt>
                <c:pt idx="17">
                  <c:v>184.3</c:v>
                </c:pt>
                <c:pt idx="18">
                  <c:v>142.44</c:v>
                </c:pt>
                <c:pt idx="19">
                  <c:v>171.3</c:v>
                </c:pt>
                <c:pt idx="20">
                  <c:v>150.4</c:v>
                </c:pt>
                <c:pt idx="21">
                  <c:v>211</c:v>
                </c:pt>
                <c:pt idx="22">
                  <c:v>163.1</c:v>
                </c:pt>
                <c:pt idx="23">
                  <c:v>202.8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56C-BEB8-65ED684416C2}"/>
            </c:ext>
          </c:extLst>
        </c:ser>
        <c:ser>
          <c:idx val="4"/>
          <c:order val="5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cells'!$W$34,'All cells'!$BE$25,'All cells'!$W$81,'All cells'!$BE$79,'All cells'!$W$113,'All cells'!$BE$105)</c:f>
                <c:numCache>
                  <c:formatCode>General</c:formatCode>
                  <c:ptCount val="6"/>
                  <c:pt idx="0">
                    <c:v>31.719614128608516</c:v>
                  </c:pt>
                  <c:pt idx="1">
                    <c:v>51.156918707225088</c:v>
                  </c:pt>
                  <c:pt idx="2">
                    <c:v>34.789154852979962</c:v>
                  </c:pt>
                  <c:pt idx="3">
                    <c:v>43.167838981734228</c:v>
                  </c:pt>
                  <c:pt idx="4">
                    <c:v>49.191834591996127</c:v>
                  </c:pt>
                  <c:pt idx="5">
                    <c:v>46.758973931833921</c:v>
                  </c:pt>
                </c:numCache>
              </c:numRef>
            </c:plus>
            <c:minus>
              <c:numRef>
                <c:f>('All cells'!$W$34,'All cells'!$BE$25,'All cells'!$W$81,'All cells'!$BE$79,'All cells'!$W$113,'All cells'!$BE$105)</c:f>
                <c:numCache>
                  <c:formatCode>General</c:formatCode>
                  <c:ptCount val="6"/>
                  <c:pt idx="0">
                    <c:v>31.719614128608516</c:v>
                  </c:pt>
                  <c:pt idx="1">
                    <c:v>51.156918707225088</c:v>
                  </c:pt>
                  <c:pt idx="2">
                    <c:v>34.789154852979962</c:v>
                  </c:pt>
                  <c:pt idx="3">
                    <c:v>43.167838981734228</c:v>
                  </c:pt>
                  <c:pt idx="4">
                    <c:v>49.191834591996127</c:v>
                  </c:pt>
                  <c:pt idx="5">
                    <c:v>46.758973931833921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('All cells'!$J$2,'All cells'!$AR$2,'All cells'!$J$39,'All cells'!$AR$39,'All cells'!$J$87,'All cells'!$AR$82)</c:f>
              <c:numCache>
                <c:formatCode>General</c:formatCode>
                <c:ptCount val="6"/>
                <c:pt idx="0">
                  <c:v>3.5</c:v>
                </c:pt>
                <c:pt idx="1">
                  <c:v>6.05</c:v>
                </c:pt>
                <c:pt idx="2">
                  <c:v>9.5</c:v>
                </c:pt>
                <c:pt idx="3">
                  <c:v>12.5</c:v>
                </c:pt>
                <c:pt idx="4">
                  <c:v>16.5</c:v>
                </c:pt>
                <c:pt idx="5">
                  <c:v>19</c:v>
                </c:pt>
              </c:numCache>
            </c:numRef>
          </c:xVal>
          <c:yVal>
            <c:numRef>
              <c:f>('All cells'!$W$33,'All cells'!$BE$24,'All cells'!$W$80,'All cells'!$BE$78,'All cells'!$W$112,'All cells'!$BE$104)</c:f>
              <c:numCache>
                <c:formatCode>General</c:formatCode>
                <c:ptCount val="6"/>
                <c:pt idx="0">
                  <c:v>143.62869565217395</c:v>
                </c:pt>
                <c:pt idx="1">
                  <c:v>149.66764705882355</c:v>
                </c:pt>
                <c:pt idx="2">
                  <c:v>165.69882352941178</c:v>
                </c:pt>
                <c:pt idx="3">
                  <c:v>193.49800000000005</c:v>
                </c:pt>
                <c:pt idx="4">
                  <c:v>188.93300000000002</c:v>
                </c:pt>
                <c:pt idx="5">
                  <c:v>251.12299999999996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E-452D-A84F-8EACE8E7913C}"/>
            </c:ext>
          </c:extLst>
        </c:ser>
        <c:ser>
          <c:idx val="6"/>
          <c:order val="6"/>
          <c:tx>
            <c:v>cv14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cells'!$AR$82:$AR$99</c:f>
              <c:numCache>
                <c:formatCode>General</c:formatCode>
                <c:ptCount val="18"/>
                <c:pt idx="0">
                  <c:v>19</c:v>
                </c:pt>
                <c:pt idx="1">
                  <c:v>19.05</c:v>
                </c:pt>
                <c:pt idx="2">
                  <c:v>19.100000000000001</c:v>
                </c:pt>
                <c:pt idx="3">
                  <c:v>19.149999999999999</c:v>
                </c:pt>
                <c:pt idx="4">
                  <c:v>19.2</c:v>
                </c:pt>
                <c:pt idx="5">
                  <c:v>19.25</c:v>
                </c:pt>
                <c:pt idx="6">
                  <c:v>19.3</c:v>
                </c:pt>
                <c:pt idx="7">
                  <c:v>19.350000000000001</c:v>
                </c:pt>
                <c:pt idx="8">
                  <c:v>19.399999999999999</c:v>
                </c:pt>
                <c:pt idx="9">
                  <c:v>19.45</c:v>
                </c:pt>
                <c:pt idx="10">
                  <c:v>19.5</c:v>
                </c:pt>
                <c:pt idx="11">
                  <c:v>19.55</c:v>
                </c:pt>
                <c:pt idx="12">
                  <c:v>19.600000000000001</c:v>
                </c:pt>
                <c:pt idx="13">
                  <c:v>19.649999999999999</c:v>
                </c:pt>
                <c:pt idx="14">
                  <c:v>19.7</c:v>
                </c:pt>
                <c:pt idx="15">
                  <c:v>19.75</c:v>
                </c:pt>
                <c:pt idx="16">
                  <c:v>19.8</c:v>
                </c:pt>
                <c:pt idx="17">
                  <c:v>19.850000000000001</c:v>
                </c:pt>
              </c:numCache>
            </c:numRef>
          </c:xVal>
          <c:yVal>
            <c:numRef>
              <c:f>'All cells'!$BE$82:$BE$98</c:f>
              <c:numCache>
                <c:formatCode>General</c:formatCode>
                <c:ptCount val="17"/>
                <c:pt idx="0">
                  <c:v>212.5</c:v>
                </c:pt>
                <c:pt idx="1">
                  <c:v>284.10000000000002</c:v>
                </c:pt>
                <c:pt idx="2">
                  <c:v>262.49</c:v>
                </c:pt>
                <c:pt idx="3">
                  <c:v>274</c:v>
                </c:pt>
                <c:pt idx="4">
                  <c:v>226.56</c:v>
                </c:pt>
                <c:pt idx="5">
                  <c:v>334.1</c:v>
                </c:pt>
                <c:pt idx="6">
                  <c:v>299.41000000000003</c:v>
                </c:pt>
                <c:pt idx="7">
                  <c:v>220.4</c:v>
                </c:pt>
                <c:pt idx="8">
                  <c:v>194.6</c:v>
                </c:pt>
                <c:pt idx="9">
                  <c:v>210</c:v>
                </c:pt>
                <c:pt idx="10">
                  <c:v>220.27</c:v>
                </c:pt>
                <c:pt idx="11">
                  <c:v>243.04</c:v>
                </c:pt>
                <c:pt idx="12">
                  <c:v>208.05</c:v>
                </c:pt>
                <c:pt idx="13">
                  <c:v>265.45</c:v>
                </c:pt>
                <c:pt idx="14">
                  <c:v>204.66</c:v>
                </c:pt>
                <c:pt idx="15">
                  <c:v>350.8</c:v>
                </c:pt>
                <c:pt idx="16">
                  <c:v>301.89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5-4D6F-BD4F-670838E4A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3616"/>
        <c:axId val="925064272"/>
      </c:scatterChart>
      <c:valAx>
        <c:axId val="9250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4272"/>
        <c:crosses val="autoZero"/>
        <c:crossBetween val="midCat"/>
      </c:valAx>
      <c:valAx>
        <c:axId val="92506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</a:t>
                </a:r>
                <a:r>
                  <a:rPr lang="en-GB" baseline="0"/>
                  <a:t> max rise  (∆V/∆t Vs-1)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413504432223546E-2"/>
              <c:y val="0.3518463440537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cells'!$J$2:$J$24</c:f>
              <c:numCache>
                <c:formatCode>General</c:formatCode>
                <c:ptCount val="23"/>
                <c:pt idx="0">
                  <c:v>3.5</c:v>
                </c:pt>
                <c:pt idx="1">
                  <c:v>3.05</c:v>
                </c:pt>
                <c:pt idx="2">
                  <c:v>3.1</c:v>
                </c:pt>
                <c:pt idx="3">
                  <c:v>3.15</c:v>
                </c:pt>
                <c:pt idx="4">
                  <c:v>3.2</c:v>
                </c:pt>
                <c:pt idx="5">
                  <c:v>3.25</c:v>
                </c:pt>
                <c:pt idx="6">
                  <c:v>3.3</c:v>
                </c:pt>
                <c:pt idx="7">
                  <c:v>3.35</c:v>
                </c:pt>
                <c:pt idx="8">
                  <c:v>3.4</c:v>
                </c:pt>
                <c:pt idx="9">
                  <c:v>3.45</c:v>
                </c:pt>
                <c:pt idx="10">
                  <c:v>3.5</c:v>
                </c:pt>
                <c:pt idx="12">
                  <c:v>3.6</c:v>
                </c:pt>
                <c:pt idx="13">
                  <c:v>3.65</c:v>
                </c:pt>
                <c:pt idx="14">
                  <c:v>3.7</c:v>
                </c:pt>
                <c:pt idx="15">
                  <c:v>3.75</c:v>
                </c:pt>
                <c:pt idx="16">
                  <c:v>3.8</c:v>
                </c:pt>
                <c:pt idx="18">
                  <c:v>3.9</c:v>
                </c:pt>
                <c:pt idx="21">
                  <c:v>4.05</c:v>
                </c:pt>
                <c:pt idx="22">
                  <c:v>4.0999999999999996</c:v>
                </c:pt>
              </c:numCache>
            </c:numRef>
          </c:xVal>
          <c:yVal>
            <c:numRef>
              <c:f>'All cells'!$X$2:$X$24</c:f>
              <c:numCache>
                <c:formatCode>General</c:formatCode>
                <c:ptCount val="23"/>
                <c:pt idx="0">
                  <c:v>37.4</c:v>
                </c:pt>
                <c:pt idx="1">
                  <c:v>65.3</c:v>
                </c:pt>
                <c:pt idx="2">
                  <c:v>72.599999999999994</c:v>
                </c:pt>
                <c:pt idx="3">
                  <c:v>57.3</c:v>
                </c:pt>
                <c:pt idx="4">
                  <c:v>53.7</c:v>
                </c:pt>
                <c:pt idx="5">
                  <c:v>66.8</c:v>
                </c:pt>
                <c:pt idx="6">
                  <c:v>73.400000000000006</c:v>
                </c:pt>
                <c:pt idx="7">
                  <c:v>75.8</c:v>
                </c:pt>
                <c:pt idx="8">
                  <c:v>75.400000000000006</c:v>
                </c:pt>
                <c:pt idx="9">
                  <c:v>81.2</c:v>
                </c:pt>
                <c:pt idx="10">
                  <c:v>47.8</c:v>
                </c:pt>
                <c:pt idx="12">
                  <c:v>69.3</c:v>
                </c:pt>
                <c:pt idx="13">
                  <c:v>74.8</c:v>
                </c:pt>
                <c:pt idx="14">
                  <c:v>78.959999999999994</c:v>
                </c:pt>
                <c:pt idx="15">
                  <c:v>72.8</c:v>
                </c:pt>
                <c:pt idx="16">
                  <c:v>84</c:v>
                </c:pt>
                <c:pt idx="18">
                  <c:v>52.1</c:v>
                </c:pt>
                <c:pt idx="21">
                  <c:v>48.9</c:v>
                </c:pt>
                <c:pt idx="22">
                  <c:v>62.9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E1C-A3D3-3470D7FD0DA9}"/>
            </c:ext>
          </c:extLst>
        </c:ser>
        <c:ser>
          <c:idx val="5"/>
          <c:order val="1"/>
          <c:tx>
            <c:v>cvp3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cells'!$AR$2:$AR$13</c:f>
              <c:numCache>
                <c:formatCode>General</c:formatCode>
                <c:ptCount val="12"/>
                <c:pt idx="0">
                  <c:v>6.05</c:v>
                </c:pt>
                <c:pt idx="1">
                  <c:v>6.1</c:v>
                </c:pt>
                <c:pt idx="2">
                  <c:v>6.15</c:v>
                </c:pt>
                <c:pt idx="3">
                  <c:v>6.2</c:v>
                </c:pt>
                <c:pt idx="4">
                  <c:v>6.25</c:v>
                </c:pt>
                <c:pt idx="5">
                  <c:v>6.3</c:v>
                </c:pt>
                <c:pt idx="6">
                  <c:v>6.35</c:v>
                </c:pt>
                <c:pt idx="7">
                  <c:v>6.4</c:v>
                </c:pt>
                <c:pt idx="8">
                  <c:v>6.45</c:v>
                </c:pt>
                <c:pt idx="9">
                  <c:v>6.5</c:v>
                </c:pt>
                <c:pt idx="10">
                  <c:v>6.55</c:v>
                </c:pt>
                <c:pt idx="11">
                  <c:v>6.6</c:v>
                </c:pt>
              </c:numCache>
            </c:numRef>
          </c:xVal>
          <c:yVal>
            <c:numRef>
              <c:f>'All cells'!$BF$2:$BF$13</c:f>
              <c:numCache>
                <c:formatCode>General</c:formatCode>
                <c:ptCount val="12"/>
                <c:pt idx="0">
                  <c:v>48.1</c:v>
                </c:pt>
                <c:pt idx="1">
                  <c:v>74.5</c:v>
                </c:pt>
                <c:pt idx="2">
                  <c:v>55</c:v>
                </c:pt>
                <c:pt idx="3">
                  <c:v>75.5</c:v>
                </c:pt>
                <c:pt idx="4">
                  <c:v>91.8</c:v>
                </c:pt>
                <c:pt idx="5">
                  <c:v>48.4</c:v>
                </c:pt>
                <c:pt idx="6">
                  <c:v>57.6</c:v>
                </c:pt>
                <c:pt idx="7">
                  <c:v>48</c:v>
                </c:pt>
                <c:pt idx="8">
                  <c:v>108.28</c:v>
                </c:pt>
                <c:pt idx="9">
                  <c:v>90</c:v>
                </c:pt>
                <c:pt idx="10">
                  <c:v>114.75</c:v>
                </c:pt>
                <c:pt idx="11">
                  <c:v>85.1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E-4990-9613-7D5916CAD923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cells'!$J$39:$J$64</c:f>
              <c:numCache>
                <c:formatCode>General</c:formatCode>
                <c:ptCount val="26"/>
                <c:pt idx="0">
                  <c:v>9.5</c:v>
                </c:pt>
                <c:pt idx="1">
                  <c:v>9.0500000000000007</c:v>
                </c:pt>
                <c:pt idx="2">
                  <c:v>9.1</c:v>
                </c:pt>
                <c:pt idx="3">
                  <c:v>9.15</c:v>
                </c:pt>
                <c:pt idx="4">
                  <c:v>9.1999999999999993</c:v>
                </c:pt>
                <c:pt idx="5">
                  <c:v>9.25</c:v>
                </c:pt>
                <c:pt idx="6">
                  <c:v>9.3000000000000007</c:v>
                </c:pt>
                <c:pt idx="7">
                  <c:v>9.3499999999999908</c:v>
                </c:pt>
                <c:pt idx="8">
                  <c:v>9.3999999999999897</c:v>
                </c:pt>
                <c:pt idx="9">
                  <c:v>9.4499999999999904</c:v>
                </c:pt>
                <c:pt idx="10">
                  <c:v>9.4999999999999893</c:v>
                </c:pt>
                <c:pt idx="11">
                  <c:v>9.5499999999999901</c:v>
                </c:pt>
                <c:pt idx="12">
                  <c:v>9.5999999999999908</c:v>
                </c:pt>
                <c:pt idx="13">
                  <c:v>9.6499999999999897</c:v>
                </c:pt>
                <c:pt idx="14">
                  <c:v>9.6999999999999904</c:v>
                </c:pt>
                <c:pt idx="15">
                  <c:v>9.7499999999999893</c:v>
                </c:pt>
                <c:pt idx="16">
                  <c:v>9.7999999999999794</c:v>
                </c:pt>
                <c:pt idx="17">
                  <c:v>9.8499999999999801</c:v>
                </c:pt>
                <c:pt idx="18">
                  <c:v>9.8999999999999808</c:v>
                </c:pt>
                <c:pt idx="19">
                  <c:v>9.9499999999999797</c:v>
                </c:pt>
                <c:pt idx="20">
                  <c:v>9.9999999999999805</c:v>
                </c:pt>
                <c:pt idx="21">
                  <c:v>10.050000000000001</c:v>
                </c:pt>
                <c:pt idx="22">
                  <c:v>10.1</c:v>
                </c:pt>
                <c:pt idx="23">
                  <c:v>10.15</c:v>
                </c:pt>
                <c:pt idx="24">
                  <c:v>10.199999999999999</c:v>
                </c:pt>
                <c:pt idx="25">
                  <c:v>10.25</c:v>
                </c:pt>
              </c:numCache>
            </c:numRef>
          </c:xVal>
          <c:yVal>
            <c:numRef>
              <c:f>'All cells'!$X$39:$X$64</c:f>
              <c:numCache>
                <c:formatCode>General</c:formatCode>
                <c:ptCount val="26"/>
                <c:pt idx="0">
                  <c:v>60.1</c:v>
                </c:pt>
                <c:pt idx="1">
                  <c:v>85.1</c:v>
                </c:pt>
                <c:pt idx="2">
                  <c:v>67.2</c:v>
                </c:pt>
                <c:pt idx="3">
                  <c:v>63.6</c:v>
                </c:pt>
                <c:pt idx="4">
                  <c:v>83.8</c:v>
                </c:pt>
                <c:pt idx="5">
                  <c:v>74.900000000000006</c:v>
                </c:pt>
                <c:pt idx="6">
                  <c:v>83.6</c:v>
                </c:pt>
                <c:pt idx="7">
                  <c:v>84.3</c:v>
                </c:pt>
                <c:pt idx="8">
                  <c:v>83.6</c:v>
                </c:pt>
                <c:pt idx="9">
                  <c:v>138.11000000000001</c:v>
                </c:pt>
                <c:pt idx="10">
                  <c:v>86.8</c:v>
                </c:pt>
                <c:pt idx="11">
                  <c:v>98.8</c:v>
                </c:pt>
                <c:pt idx="12">
                  <c:v>62.4</c:v>
                </c:pt>
                <c:pt idx="13">
                  <c:v>57.1</c:v>
                </c:pt>
                <c:pt idx="14">
                  <c:v>80</c:v>
                </c:pt>
                <c:pt idx="15">
                  <c:v>68.3</c:v>
                </c:pt>
                <c:pt idx="16">
                  <c:v>76</c:v>
                </c:pt>
                <c:pt idx="17">
                  <c:v>101.9</c:v>
                </c:pt>
                <c:pt idx="18">
                  <c:v>70.5</c:v>
                </c:pt>
                <c:pt idx="19">
                  <c:v>66</c:v>
                </c:pt>
                <c:pt idx="20">
                  <c:v>88.1</c:v>
                </c:pt>
                <c:pt idx="21">
                  <c:v>100</c:v>
                </c:pt>
                <c:pt idx="22">
                  <c:v>96.8</c:v>
                </c:pt>
                <c:pt idx="23">
                  <c:v>80.400000000000006</c:v>
                </c:pt>
                <c:pt idx="24">
                  <c:v>109.5</c:v>
                </c:pt>
                <c:pt idx="25">
                  <c:v>62.9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E1C-A3D3-3470D7FD0DA9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7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cells'!$J$87:$J$104</c:f>
              <c:numCache>
                <c:formatCode>General</c:formatCode>
                <c:ptCount val="18"/>
                <c:pt idx="0">
                  <c:v>16.5</c:v>
                </c:pt>
                <c:pt idx="1">
                  <c:v>16.05</c:v>
                </c:pt>
                <c:pt idx="2">
                  <c:v>16.100000000000001</c:v>
                </c:pt>
                <c:pt idx="3">
                  <c:v>16.149999999999999</c:v>
                </c:pt>
                <c:pt idx="4">
                  <c:v>16.2</c:v>
                </c:pt>
                <c:pt idx="5">
                  <c:v>16.25</c:v>
                </c:pt>
                <c:pt idx="6">
                  <c:v>16.3</c:v>
                </c:pt>
                <c:pt idx="7">
                  <c:v>16.350000000000001</c:v>
                </c:pt>
                <c:pt idx="8">
                  <c:v>16.399999999999999</c:v>
                </c:pt>
                <c:pt idx="9">
                  <c:v>16.45</c:v>
                </c:pt>
                <c:pt idx="10">
                  <c:v>16.5</c:v>
                </c:pt>
                <c:pt idx="11">
                  <c:v>16.55</c:v>
                </c:pt>
                <c:pt idx="12">
                  <c:v>16.600000000000001</c:v>
                </c:pt>
                <c:pt idx="13">
                  <c:v>16.649999999999999</c:v>
                </c:pt>
                <c:pt idx="14">
                  <c:v>16.7</c:v>
                </c:pt>
                <c:pt idx="15">
                  <c:v>16.75</c:v>
                </c:pt>
                <c:pt idx="16">
                  <c:v>16.8</c:v>
                </c:pt>
                <c:pt idx="17">
                  <c:v>16.850000000000001</c:v>
                </c:pt>
              </c:numCache>
            </c:numRef>
          </c:xVal>
          <c:yVal>
            <c:numRef>
              <c:f>'All cells'!$X$87:$X$104</c:f>
              <c:numCache>
                <c:formatCode>General</c:formatCode>
                <c:ptCount val="18"/>
                <c:pt idx="0">
                  <c:v>60.7</c:v>
                </c:pt>
                <c:pt idx="1">
                  <c:v>93.7</c:v>
                </c:pt>
                <c:pt idx="2">
                  <c:v>85.4</c:v>
                </c:pt>
                <c:pt idx="3">
                  <c:v>118.7</c:v>
                </c:pt>
                <c:pt idx="4">
                  <c:v>134.63</c:v>
                </c:pt>
                <c:pt idx="5">
                  <c:v>92</c:v>
                </c:pt>
                <c:pt idx="6">
                  <c:v>104.4</c:v>
                </c:pt>
                <c:pt idx="7">
                  <c:v>71.8</c:v>
                </c:pt>
                <c:pt idx="8">
                  <c:v>79.5</c:v>
                </c:pt>
                <c:pt idx="9">
                  <c:v>51.8</c:v>
                </c:pt>
                <c:pt idx="10">
                  <c:v>86.3</c:v>
                </c:pt>
                <c:pt idx="11">
                  <c:v>85.3</c:v>
                </c:pt>
                <c:pt idx="12">
                  <c:v>63.8</c:v>
                </c:pt>
                <c:pt idx="13">
                  <c:v>103.8</c:v>
                </c:pt>
                <c:pt idx="14">
                  <c:v>133.30000000000001</c:v>
                </c:pt>
                <c:pt idx="15">
                  <c:v>106.4</c:v>
                </c:pt>
                <c:pt idx="16">
                  <c:v>153</c:v>
                </c:pt>
                <c:pt idx="17">
                  <c:v>101.8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E1C-A3D3-3470D7FD0DA9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cells'!$AR$39:$AR$62</c:f>
              <c:numCache>
                <c:formatCode>General</c:formatCode>
                <c:ptCount val="24"/>
                <c:pt idx="0">
                  <c:v>12.5</c:v>
                </c:pt>
                <c:pt idx="1">
                  <c:v>12.05</c:v>
                </c:pt>
                <c:pt idx="2">
                  <c:v>12.1</c:v>
                </c:pt>
                <c:pt idx="3">
                  <c:v>12.15</c:v>
                </c:pt>
                <c:pt idx="4">
                  <c:v>12.2</c:v>
                </c:pt>
                <c:pt idx="5">
                  <c:v>12.25</c:v>
                </c:pt>
                <c:pt idx="6">
                  <c:v>12.3</c:v>
                </c:pt>
                <c:pt idx="7">
                  <c:v>12.35</c:v>
                </c:pt>
                <c:pt idx="8">
                  <c:v>12.4</c:v>
                </c:pt>
                <c:pt idx="9">
                  <c:v>12.45</c:v>
                </c:pt>
                <c:pt idx="10">
                  <c:v>12.5</c:v>
                </c:pt>
                <c:pt idx="11">
                  <c:v>12.55</c:v>
                </c:pt>
                <c:pt idx="12">
                  <c:v>12.6</c:v>
                </c:pt>
                <c:pt idx="13">
                  <c:v>12.65</c:v>
                </c:pt>
                <c:pt idx="14">
                  <c:v>12.7</c:v>
                </c:pt>
                <c:pt idx="15">
                  <c:v>12.75</c:v>
                </c:pt>
                <c:pt idx="16">
                  <c:v>12.8</c:v>
                </c:pt>
                <c:pt idx="17">
                  <c:v>12.9</c:v>
                </c:pt>
                <c:pt idx="18">
                  <c:v>12.95</c:v>
                </c:pt>
                <c:pt idx="19">
                  <c:v>13</c:v>
                </c:pt>
                <c:pt idx="20">
                  <c:v>13.05</c:v>
                </c:pt>
                <c:pt idx="21">
                  <c:v>13.1</c:v>
                </c:pt>
                <c:pt idx="22">
                  <c:v>13.15</c:v>
                </c:pt>
                <c:pt idx="23">
                  <c:v>13.2</c:v>
                </c:pt>
              </c:numCache>
            </c:numRef>
          </c:xVal>
          <c:yVal>
            <c:numRef>
              <c:f>'All cells'!$BF$39:$BF$62</c:f>
              <c:numCache>
                <c:formatCode>General</c:formatCode>
                <c:ptCount val="24"/>
                <c:pt idx="0">
                  <c:v>108.1</c:v>
                </c:pt>
                <c:pt idx="1">
                  <c:v>116.04</c:v>
                </c:pt>
                <c:pt idx="2">
                  <c:v>115.64</c:v>
                </c:pt>
                <c:pt idx="3">
                  <c:v>107.7</c:v>
                </c:pt>
                <c:pt idx="4">
                  <c:v>87.9</c:v>
                </c:pt>
                <c:pt idx="5">
                  <c:v>163.19999999999999</c:v>
                </c:pt>
                <c:pt idx="6">
                  <c:v>105.6</c:v>
                </c:pt>
                <c:pt idx="7">
                  <c:v>137.59</c:v>
                </c:pt>
                <c:pt idx="8">
                  <c:v>102.4</c:v>
                </c:pt>
                <c:pt idx="9">
                  <c:v>66.7</c:v>
                </c:pt>
                <c:pt idx="10">
                  <c:v>88.2</c:v>
                </c:pt>
                <c:pt idx="11">
                  <c:v>77.400000000000006</c:v>
                </c:pt>
                <c:pt idx="12">
                  <c:v>49.8</c:v>
                </c:pt>
                <c:pt idx="13">
                  <c:v>74.599999999999994</c:v>
                </c:pt>
                <c:pt idx="14">
                  <c:v>81.099999999999994</c:v>
                </c:pt>
                <c:pt idx="15">
                  <c:v>73.3</c:v>
                </c:pt>
                <c:pt idx="16">
                  <c:v>51.7</c:v>
                </c:pt>
                <c:pt idx="17">
                  <c:v>79.8</c:v>
                </c:pt>
                <c:pt idx="18">
                  <c:v>72.28</c:v>
                </c:pt>
                <c:pt idx="19">
                  <c:v>89.4</c:v>
                </c:pt>
                <c:pt idx="20">
                  <c:v>61.6</c:v>
                </c:pt>
                <c:pt idx="21">
                  <c:v>87.9</c:v>
                </c:pt>
                <c:pt idx="22">
                  <c:v>102.3</c:v>
                </c:pt>
                <c:pt idx="23">
                  <c:v>116.7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56C-BEB8-65ED684416C2}"/>
            </c:ext>
          </c:extLst>
        </c:ser>
        <c:ser>
          <c:idx val="4"/>
          <c:order val="5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cells'!$X$34,'All cells'!$X$81,'All cells'!$BF$79,'All cells'!$X$113)</c:f>
                <c:numCache>
                  <c:formatCode>General</c:formatCode>
                  <c:ptCount val="4"/>
                  <c:pt idx="0">
                    <c:v>12.936108040213284</c:v>
                  </c:pt>
                  <c:pt idx="1">
                    <c:v>18.203623413612345</c:v>
                  </c:pt>
                  <c:pt idx="2">
                    <c:v>27.092079976978468</c:v>
                  </c:pt>
                  <c:pt idx="3">
                    <c:v>33.113310390234354</c:v>
                  </c:pt>
                </c:numCache>
              </c:numRef>
            </c:plus>
            <c:minus>
              <c:numRef>
                <c:f>('All cells'!$X$34,'All cells'!$X$81,'All cells'!$BF$79,'All cells'!$X$113)</c:f>
                <c:numCache>
                  <c:formatCode>General</c:formatCode>
                  <c:ptCount val="4"/>
                  <c:pt idx="0">
                    <c:v>12.936108040213284</c:v>
                  </c:pt>
                  <c:pt idx="1">
                    <c:v>18.203623413612345</c:v>
                  </c:pt>
                  <c:pt idx="2">
                    <c:v>27.092079976978468</c:v>
                  </c:pt>
                  <c:pt idx="3">
                    <c:v>33.113310390234354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('All cells'!$J$2,'All cells'!$J$39,'All cells'!$AR$39,'All cells'!$J$87)</c:f>
              <c:numCache>
                <c:formatCode>General</c:formatCode>
                <c:ptCount val="4"/>
                <c:pt idx="0">
                  <c:v>3.5</c:v>
                </c:pt>
                <c:pt idx="1">
                  <c:v>9.5</c:v>
                </c:pt>
                <c:pt idx="2">
                  <c:v>12.5</c:v>
                </c:pt>
                <c:pt idx="3">
                  <c:v>16.5</c:v>
                </c:pt>
              </c:numCache>
            </c:numRef>
          </c:xVal>
          <c:yVal>
            <c:numRef>
              <c:f>('All cells'!$X$33,'All cells'!$X$80,'All cells'!$BF$78,'All cells'!$X$112)</c:f>
              <c:numCache>
                <c:formatCode>General</c:formatCode>
                <c:ptCount val="4"/>
                <c:pt idx="0">
                  <c:v>63.072173913043478</c:v>
                </c:pt>
                <c:pt idx="1">
                  <c:v>80.359117647058824</c:v>
                </c:pt>
                <c:pt idx="2">
                  <c:v>100.65714285714284</c:v>
                </c:pt>
                <c:pt idx="3">
                  <c:v>102.67749999999998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E-452D-A84F-8EACE8E7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3616"/>
        <c:axId val="925064272"/>
      </c:scatterChart>
      <c:valAx>
        <c:axId val="9250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4272"/>
        <c:crosses val="autoZero"/>
        <c:crossBetween val="midCat"/>
      </c:valAx>
      <c:valAx>
        <c:axId val="92506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</a:t>
                </a:r>
                <a:r>
                  <a:rPr lang="en-GB" baseline="0"/>
                  <a:t> max fall  (∆V/∆t Vs-1)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413504432223546E-2"/>
              <c:y val="0.3518463440537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cells'!$J$2:$J$24</c:f>
              <c:numCache>
                <c:formatCode>General</c:formatCode>
                <c:ptCount val="23"/>
                <c:pt idx="0">
                  <c:v>3.5</c:v>
                </c:pt>
                <c:pt idx="1">
                  <c:v>3.05</c:v>
                </c:pt>
                <c:pt idx="2">
                  <c:v>3.1</c:v>
                </c:pt>
                <c:pt idx="3">
                  <c:v>3.15</c:v>
                </c:pt>
                <c:pt idx="4">
                  <c:v>3.2</c:v>
                </c:pt>
                <c:pt idx="5">
                  <c:v>3.25</c:v>
                </c:pt>
                <c:pt idx="6">
                  <c:v>3.3</c:v>
                </c:pt>
                <c:pt idx="7">
                  <c:v>3.35</c:v>
                </c:pt>
                <c:pt idx="8">
                  <c:v>3.4</c:v>
                </c:pt>
                <c:pt idx="9">
                  <c:v>3.45</c:v>
                </c:pt>
                <c:pt idx="10">
                  <c:v>3.5</c:v>
                </c:pt>
                <c:pt idx="12">
                  <c:v>3.6</c:v>
                </c:pt>
                <c:pt idx="13">
                  <c:v>3.65</c:v>
                </c:pt>
                <c:pt idx="14">
                  <c:v>3.7</c:v>
                </c:pt>
                <c:pt idx="15">
                  <c:v>3.75</c:v>
                </c:pt>
                <c:pt idx="16">
                  <c:v>3.8</c:v>
                </c:pt>
                <c:pt idx="18">
                  <c:v>3.9</c:v>
                </c:pt>
                <c:pt idx="21">
                  <c:v>4.05</c:v>
                </c:pt>
                <c:pt idx="22">
                  <c:v>4.0999999999999996</c:v>
                </c:pt>
              </c:numCache>
            </c:numRef>
          </c:xVal>
          <c:yVal>
            <c:numRef>
              <c:f>'All cells'!$L$2:$L$24</c:f>
              <c:numCache>
                <c:formatCode>General</c:formatCode>
                <c:ptCount val="23"/>
                <c:pt idx="0">
                  <c:v>99</c:v>
                </c:pt>
                <c:pt idx="1">
                  <c:v>64.7</c:v>
                </c:pt>
                <c:pt idx="2">
                  <c:v>52.8</c:v>
                </c:pt>
                <c:pt idx="3">
                  <c:v>46.699999999999996</c:v>
                </c:pt>
                <c:pt idx="4">
                  <c:v>81.400000000000006</c:v>
                </c:pt>
                <c:pt idx="5">
                  <c:v>88.33</c:v>
                </c:pt>
                <c:pt idx="6">
                  <c:v>122</c:v>
                </c:pt>
                <c:pt idx="7">
                  <c:v>62.5</c:v>
                </c:pt>
                <c:pt idx="8">
                  <c:v>57.2</c:v>
                </c:pt>
                <c:pt idx="9">
                  <c:v>49.699999999999996</c:v>
                </c:pt>
                <c:pt idx="10">
                  <c:v>189.1</c:v>
                </c:pt>
                <c:pt idx="12">
                  <c:v>52.7</c:v>
                </c:pt>
                <c:pt idx="13">
                  <c:v>41.3</c:v>
                </c:pt>
                <c:pt idx="15">
                  <c:v>70.599999999999994</c:v>
                </c:pt>
                <c:pt idx="16">
                  <c:v>32.22</c:v>
                </c:pt>
                <c:pt idx="18">
                  <c:v>162</c:v>
                </c:pt>
                <c:pt idx="21">
                  <c:v>132</c:v>
                </c:pt>
                <c:pt idx="22">
                  <c:v>64.599999999999994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E1C-A3D3-3470D7FD0DA9}"/>
            </c:ext>
          </c:extLst>
        </c:ser>
        <c:ser>
          <c:idx val="5"/>
          <c:order val="1"/>
          <c:tx>
            <c:v>cvP3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cells'!$AR$2:$AR$13</c:f>
              <c:numCache>
                <c:formatCode>General</c:formatCode>
                <c:ptCount val="12"/>
                <c:pt idx="0">
                  <c:v>6.05</c:v>
                </c:pt>
                <c:pt idx="1">
                  <c:v>6.1</c:v>
                </c:pt>
                <c:pt idx="2">
                  <c:v>6.15</c:v>
                </c:pt>
                <c:pt idx="3">
                  <c:v>6.2</c:v>
                </c:pt>
                <c:pt idx="4">
                  <c:v>6.25</c:v>
                </c:pt>
                <c:pt idx="5">
                  <c:v>6.3</c:v>
                </c:pt>
                <c:pt idx="6">
                  <c:v>6.35</c:v>
                </c:pt>
                <c:pt idx="7">
                  <c:v>6.4</c:v>
                </c:pt>
                <c:pt idx="8">
                  <c:v>6.45</c:v>
                </c:pt>
                <c:pt idx="9">
                  <c:v>6.5</c:v>
                </c:pt>
                <c:pt idx="10">
                  <c:v>6.55</c:v>
                </c:pt>
                <c:pt idx="11">
                  <c:v>6.6</c:v>
                </c:pt>
              </c:numCache>
            </c:numRef>
          </c:xVal>
          <c:yVal>
            <c:numRef>
              <c:f>'All cells'!$AT$2:$AT$13</c:f>
              <c:numCache>
                <c:formatCode>General</c:formatCode>
                <c:ptCount val="12"/>
                <c:pt idx="0">
                  <c:v>85</c:v>
                </c:pt>
                <c:pt idx="1">
                  <c:v>47.6</c:v>
                </c:pt>
                <c:pt idx="2">
                  <c:v>51.8</c:v>
                </c:pt>
                <c:pt idx="3">
                  <c:v>160.9</c:v>
                </c:pt>
                <c:pt idx="4">
                  <c:v>89.6</c:v>
                </c:pt>
                <c:pt idx="5">
                  <c:v>117.8</c:v>
                </c:pt>
                <c:pt idx="6">
                  <c:v>77.7</c:v>
                </c:pt>
                <c:pt idx="7">
                  <c:v>68.2</c:v>
                </c:pt>
                <c:pt idx="8">
                  <c:v>70</c:v>
                </c:pt>
                <c:pt idx="9">
                  <c:v>57.4</c:v>
                </c:pt>
                <c:pt idx="10">
                  <c:v>50</c:v>
                </c:pt>
                <c:pt idx="11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E-44BC-B122-EB67ADCA98CC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cells'!$J$39:$J$72</c:f>
              <c:numCache>
                <c:formatCode>General</c:formatCode>
                <c:ptCount val="34"/>
                <c:pt idx="0">
                  <c:v>9.5</c:v>
                </c:pt>
                <c:pt idx="1">
                  <c:v>9.0500000000000007</c:v>
                </c:pt>
                <c:pt idx="2">
                  <c:v>9.1</c:v>
                </c:pt>
                <c:pt idx="3">
                  <c:v>9.15</c:v>
                </c:pt>
                <c:pt idx="4">
                  <c:v>9.1999999999999993</c:v>
                </c:pt>
                <c:pt idx="5">
                  <c:v>9.25</c:v>
                </c:pt>
                <c:pt idx="6">
                  <c:v>9.3000000000000007</c:v>
                </c:pt>
                <c:pt idx="7">
                  <c:v>9.3499999999999908</c:v>
                </c:pt>
                <c:pt idx="8">
                  <c:v>9.3999999999999897</c:v>
                </c:pt>
                <c:pt idx="9">
                  <c:v>9.4499999999999904</c:v>
                </c:pt>
                <c:pt idx="10">
                  <c:v>9.4999999999999893</c:v>
                </c:pt>
                <c:pt idx="11">
                  <c:v>9.5499999999999901</c:v>
                </c:pt>
                <c:pt idx="12">
                  <c:v>9.5999999999999908</c:v>
                </c:pt>
                <c:pt idx="13">
                  <c:v>9.6499999999999897</c:v>
                </c:pt>
                <c:pt idx="14">
                  <c:v>9.6999999999999904</c:v>
                </c:pt>
                <c:pt idx="15">
                  <c:v>9.7499999999999893</c:v>
                </c:pt>
                <c:pt idx="16">
                  <c:v>9.7999999999999794</c:v>
                </c:pt>
                <c:pt idx="17">
                  <c:v>9.8499999999999801</c:v>
                </c:pt>
                <c:pt idx="18">
                  <c:v>9.8999999999999808</c:v>
                </c:pt>
                <c:pt idx="19">
                  <c:v>9.9499999999999797</c:v>
                </c:pt>
                <c:pt idx="20">
                  <c:v>9.9999999999999805</c:v>
                </c:pt>
                <c:pt idx="21">
                  <c:v>10.050000000000001</c:v>
                </c:pt>
                <c:pt idx="22">
                  <c:v>10.1</c:v>
                </c:pt>
                <c:pt idx="23">
                  <c:v>10.15</c:v>
                </c:pt>
                <c:pt idx="24">
                  <c:v>10.199999999999999</c:v>
                </c:pt>
                <c:pt idx="25">
                  <c:v>10.25</c:v>
                </c:pt>
                <c:pt idx="26">
                  <c:v>10.3</c:v>
                </c:pt>
                <c:pt idx="27">
                  <c:v>10.35</c:v>
                </c:pt>
                <c:pt idx="29">
                  <c:v>10.45</c:v>
                </c:pt>
                <c:pt idx="30">
                  <c:v>10.5</c:v>
                </c:pt>
                <c:pt idx="31">
                  <c:v>10.55</c:v>
                </c:pt>
                <c:pt idx="32">
                  <c:v>10.6</c:v>
                </c:pt>
                <c:pt idx="33">
                  <c:v>10.65</c:v>
                </c:pt>
              </c:numCache>
            </c:numRef>
          </c:xVal>
          <c:yVal>
            <c:numRef>
              <c:f>'All cells'!$L$39:$L$72</c:f>
              <c:numCache>
                <c:formatCode>General</c:formatCode>
                <c:ptCount val="34"/>
                <c:pt idx="0">
                  <c:v>44.75</c:v>
                </c:pt>
                <c:pt idx="1">
                  <c:v>20.75</c:v>
                </c:pt>
                <c:pt idx="2">
                  <c:v>21.875</c:v>
                </c:pt>
                <c:pt idx="3">
                  <c:v>41.8125</c:v>
                </c:pt>
                <c:pt idx="4">
                  <c:v>34.875</c:v>
                </c:pt>
                <c:pt idx="5">
                  <c:v>12.64</c:v>
                </c:pt>
                <c:pt idx="6">
                  <c:v>42.277777777777779</c:v>
                </c:pt>
                <c:pt idx="7">
                  <c:v>22.8</c:v>
                </c:pt>
                <c:pt idx="8">
                  <c:v>41.785714285714278</c:v>
                </c:pt>
                <c:pt idx="9">
                  <c:v>15.375</c:v>
                </c:pt>
                <c:pt idx="10">
                  <c:v>31.9</c:v>
                </c:pt>
                <c:pt idx="11">
                  <c:v>23.999999999999996</c:v>
                </c:pt>
                <c:pt idx="12">
                  <c:v>87</c:v>
                </c:pt>
                <c:pt idx="13">
                  <c:v>103.79999999999995</c:v>
                </c:pt>
                <c:pt idx="14">
                  <c:v>43.8</c:v>
                </c:pt>
                <c:pt idx="15">
                  <c:v>170.18</c:v>
                </c:pt>
                <c:pt idx="16">
                  <c:v>33.700000000000003</c:v>
                </c:pt>
                <c:pt idx="17">
                  <c:v>87.9</c:v>
                </c:pt>
                <c:pt idx="18">
                  <c:v>64.599999999999994</c:v>
                </c:pt>
                <c:pt idx="19">
                  <c:v>48.6</c:v>
                </c:pt>
                <c:pt idx="20">
                  <c:v>40.799999999999997</c:v>
                </c:pt>
                <c:pt idx="21">
                  <c:v>30.7</c:v>
                </c:pt>
                <c:pt idx="22">
                  <c:v>54</c:v>
                </c:pt>
                <c:pt idx="23">
                  <c:v>42.4</c:v>
                </c:pt>
                <c:pt idx="24">
                  <c:v>27.9</c:v>
                </c:pt>
                <c:pt idx="25">
                  <c:v>88.4</c:v>
                </c:pt>
                <c:pt idx="26">
                  <c:v>69.7</c:v>
                </c:pt>
                <c:pt idx="27">
                  <c:v>35.17</c:v>
                </c:pt>
                <c:pt idx="29">
                  <c:v>67.3</c:v>
                </c:pt>
                <c:pt idx="30">
                  <c:v>53.6</c:v>
                </c:pt>
                <c:pt idx="31">
                  <c:v>68.099999999999994</c:v>
                </c:pt>
                <c:pt idx="32">
                  <c:v>35.4</c:v>
                </c:pt>
                <c:pt idx="33">
                  <c:v>56.9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E1C-A3D3-3470D7FD0DA9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7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cells'!$J$87:$J$104</c:f>
              <c:numCache>
                <c:formatCode>General</c:formatCode>
                <c:ptCount val="18"/>
                <c:pt idx="0">
                  <c:v>16.5</c:v>
                </c:pt>
                <c:pt idx="1">
                  <c:v>16.05</c:v>
                </c:pt>
                <c:pt idx="2">
                  <c:v>16.100000000000001</c:v>
                </c:pt>
                <c:pt idx="3">
                  <c:v>16.149999999999999</c:v>
                </c:pt>
                <c:pt idx="4">
                  <c:v>16.2</c:v>
                </c:pt>
                <c:pt idx="5">
                  <c:v>16.25</c:v>
                </c:pt>
                <c:pt idx="6">
                  <c:v>16.3</c:v>
                </c:pt>
                <c:pt idx="7">
                  <c:v>16.350000000000001</c:v>
                </c:pt>
                <c:pt idx="8">
                  <c:v>16.399999999999999</c:v>
                </c:pt>
                <c:pt idx="9">
                  <c:v>16.45</c:v>
                </c:pt>
                <c:pt idx="10">
                  <c:v>16.5</c:v>
                </c:pt>
                <c:pt idx="11">
                  <c:v>16.55</c:v>
                </c:pt>
                <c:pt idx="12">
                  <c:v>16.600000000000001</c:v>
                </c:pt>
                <c:pt idx="13">
                  <c:v>16.649999999999999</c:v>
                </c:pt>
                <c:pt idx="14">
                  <c:v>16.7</c:v>
                </c:pt>
                <c:pt idx="15">
                  <c:v>16.75</c:v>
                </c:pt>
                <c:pt idx="16">
                  <c:v>16.8</c:v>
                </c:pt>
                <c:pt idx="17">
                  <c:v>16.850000000000001</c:v>
                </c:pt>
              </c:numCache>
            </c:numRef>
          </c:xVal>
          <c:yVal>
            <c:numRef>
              <c:f>'All cells'!$L$87:$L$104</c:f>
              <c:numCache>
                <c:formatCode>General</c:formatCode>
                <c:ptCount val="18"/>
                <c:pt idx="0">
                  <c:v>32.4</c:v>
                </c:pt>
                <c:pt idx="1">
                  <c:v>15.812500000000002</c:v>
                </c:pt>
                <c:pt idx="2">
                  <c:v>67.099999999999994</c:v>
                </c:pt>
                <c:pt idx="3">
                  <c:v>21.8</c:v>
                </c:pt>
                <c:pt idx="4">
                  <c:v>35.5</c:v>
                </c:pt>
                <c:pt idx="5">
                  <c:v>11.4</c:v>
                </c:pt>
                <c:pt idx="6">
                  <c:v>35.4</c:v>
                </c:pt>
                <c:pt idx="7">
                  <c:v>89.9</c:v>
                </c:pt>
                <c:pt idx="8">
                  <c:v>42.6</c:v>
                </c:pt>
                <c:pt idx="9">
                  <c:v>82.1</c:v>
                </c:pt>
                <c:pt idx="10">
                  <c:v>38.700000000000003</c:v>
                </c:pt>
                <c:pt idx="11">
                  <c:v>28.9</c:v>
                </c:pt>
                <c:pt idx="12">
                  <c:v>50</c:v>
                </c:pt>
                <c:pt idx="13">
                  <c:v>30</c:v>
                </c:pt>
                <c:pt idx="14">
                  <c:v>16.100000000000001</c:v>
                </c:pt>
                <c:pt idx="15">
                  <c:v>24.4</c:v>
                </c:pt>
                <c:pt idx="16">
                  <c:v>18.100000000000001</c:v>
                </c:pt>
                <c:pt idx="1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E1C-A3D3-3470D7FD0DA9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cells'!$AR$39:$AR$73</c:f>
              <c:numCache>
                <c:formatCode>General</c:formatCode>
                <c:ptCount val="35"/>
                <c:pt idx="0">
                  <c:v>12.5</c:v>
                </c:pt>
                <c:pt idx="1">
                  <c:v>12.05</c:v>
                </c:pt>
                <c:pt idx="2">
                  <c:v>12.1</c:v>
                </c:pt>
                <c:pt idx="3">
                  <c:v>12.15</c:v>
                </c:pt>
                <c:pt idx="4">
                  <c:v>12.2</c:v>
                </c:pt>
                <c:pt idx="5">
                  <c:v>12.25</c:v>
                </c:pt>
                <c:pt idx="6">
                  <c:v>12.3</c:v>
                </c:pt>
                <c:pt idx="7">
                  <c:v>12.35</c:v>
                </c:pt>
                <c:pt idx="8">
                  <c:v>12.4</c:v>
                </c:pt>
                <c:pt idx="9">
                  <c:v>12.45</c:v>
                </c:pt>
                <c:pt idx="10">
                  <c:v>12.5</c:v>
                </c:pt>
                <c:pt idx="11">
                  <c:v>12.55</c:v>
                </c:pt>
                <c:pt idx="12">
                  <c:v>12.6</c:v>
                </c:pt>
                <c:pt idx="13">
                  <c:v>12.65</c:v>
                </c:pt>
                <c:pt idx="14">
                  <c:v>12.7</c:v>
                </c:pt>
                <c:pt idx="15">
                  <c:v>12.75</c:v>
                </c:pt>
                <c:pt idx="16">
                  <c:v>12.8</c:v>
                </c:pt>
                <c:pt idx="17">
                  <c:v>12.9</c:v>
                </c:pt>
                <c:pt idx="18">
                  <c:v>12.95</c:v>
                </c:pt>
                <c:pt idx="19">
                  <c:v>13</c:v>
                </c:pt>
                <c:pt idx="20">
                  <c:v>13.05</c:v>
                </c:pt>
                <c:pt idx="21">
                  <c:v>13.1</c:v>
                </c:pt>
                <c:pt idx="22">
                  <c:v>13.15</c:v>
                </c:pt>
                <c:pt idx="23">
                  <c:v>13.2</c:v>
                </c:pt>
                <c:pt idx="24">
                  <c:v>13.25</c:v>
                </c:pt>
                <c:pt idx="25">
                  <c:v>13.3</c:v>
                </c:pt>
                <c:pt idx="26">
                  <c:v>13.35</c:v>
                </c:pt>
                <c:pt idx="27">
                  <c:v>13.4</c:v>
                </c:pt>
                <c:pt idx="28">
                  <c:v>13.45</c:v>
                </c:pt>
                <c:pt idx="29">
                  <c:v>13.5</c:v>
                </c:pt>
                <c:pt idx="30">
                  <c:v>13.6</c:v>
                </c:pt>
                <c:pt idx="31">
                  <c:v>13.65</c:v>
                </c:pt>
                <c:pt idx="32">
                  <c:v>13.7</c:v>
                </c:pt>
                <c:pt idx="33">
                  <c:v>13.75</c:v>
                </c:pt>
                <c:pt idx="34">
                  <c:v>13.8</c:v>
                </c:pt>
              </c:numCache>
            </c:numRef>
          </c:xVal>
          <c:yVal>
            <c:numRef>
              <c:f>'All cells'!$AT$39:$AT$73</c:f>
              <c:numCache>
                <c:formatCode>General</c:formatCode>
                <c:ptCount val="35"/>
                <c:pt idx="0">
                  <c:v>31.25</c:v>
                </c:pt>
                <c:pt idx="1">
                  <c:v>26.875</c:v>
                </c:pt>
                <c:pt idx="2">
                  <c:v>40.0625</c:v>
                </c:pt>
                <c:pt idx="3">
                  <c:v>49.5625</c:v>
                </c:pt>
                <c:pt idx="4">
                  <c:v>52.75</c:v>
                </c:pt>
                <c:pt idx="5">
                  <c:v>21.643750000000001</c:v>
                </c:pt>
                <c:pt idx="6">
                  <c:v>19.1875</c:v>
                </c:pt>
                <c:pt idx="7">
                  <c:v>22.6875</c:v>
                </c:pt>
                <c:pt idx="8">
                  <c:v>26.306249999999999</c:v>
                </c:pt>
                <c:pt idx="9">
                  <c:v>49.16</c:v>
                </c:pt>
                <c:pt idx="10">
                  <c:v>96.666666666666671</c:v>
                </c:pt>
                <c:pt idx="11">
                  <c:v>38.733333333333327</c:v>
                </c:pt>
                <c:pt idx="12">
                  <c:v>120.4666666666667</c:v>
                </c:pt>
                <c:pt idx="13">
                  <c:v>42.8</c:v>
                </c:pt>
                <c:pt idx="14">
                  <c:v>81.333333333333343</c:v>
                </c:pt>
                <c:pt idx="15">
                  <c:v>20.8</c:v>
                </c:pt>
                <c:pt idx="16">
                  <c:v>190</c:v>
                </c:pt>
                <c:pt idx="17">
                  <c:v>44.4</c:v>
                </c:pt>
                <c:pt idx="18">
                  <c:v>31.9</c:v>
                </c:pt>
                <c:pt idx="19">
                  <c:v>33</c:v>
                </c:pt>
                <c:pt idx="20">
                  <c:v>44.3</c:v>
                </c:pt>
                <c:pt idx="21">
                  <c:v>55</c:v>
                </c:pt>
                <c:pt idx="22">
                  <c:v>29.3</c:v>
                </c:pt>
                <c:pt idx="23">
                  <c:v>24.1</c:v>
                </c:pt>
                <c:pt idx="24">
                  <c:v>27</c:v>
                </c:pt>
                <c:pt idx="25">
                  <c:v>32</c:v>
                </c:pt>
                <c:pt idx="26">
                  <c:v>25</c:v>
                </c:pt>
                <c:pt idx="27">
                  <c:v>35</c:v>
                </c:pt>
                <c:pt idx="28">
                  <c:v>29.9</c:v>
                </c:pt>
                <c:pt idx="29">
                  <c:v>26</c:v>
                </c:pt>
                <c:pt idx="30">
                  <c:v>22</c:v>
                </c:pt>
                <c:pt idx="31">
                  <c:v>35.6</c:v>
                </c:pt>
                <c:pt idx="32">
                  <c:v>27.5</c:v>
                </c:pt>
                <c:pt idx="33">
                  <c:v>30.2</c:v>
                </c:pt>
                <c:pt idx="34">
                  <c:v>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56C-BEB8-65ED684416C2}"/>
            </c:ext>
          </c:extLst>
        </c:ser>
        <c:ser>
          <c:idx val="4"/>
          <c:order val="5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cells'!$L$34,'All cells'!$AT$25,'All cells'!$L$81,'All cells'!$AT$79,'All cells'!$L$113,'All cells'!$AT$105)</c:f>
                <c:numCache>
                  <c:formatCode>General</c:formatCode>
                  <c:ptCount val="6"/>
                  <c:pt idx="0">
                    <c:v>43.493980084544688</c:v>
                  </c:pt>
                  <c:pt idx="1">
                    <c:v>30.635612542959777</c:v>
                  </c:pt>
                  <c:pt idx="2">
                    <c:v>34.394052933702802</c:v>
                  </c:pt>
                  <c:pt idx="3">
                    <c:v>33.439302370365752</c:v>
                  </c:pt>
                  <c:pt idx="4">
                    <c:v>21.846280206596536</c:v>
                  </c:pt>
                  <c:pt idx="5">
                    <c:v>7.5012187606239698</c:v>
                  </c:pt>
                </c:numCache>
              </c:numRef>
            </c:plus>
            <c:minus>
              <c:numRef>
                <c:f>('All cells'!$L$34,'All cells'!$AT$25,'All cells'!$L$81,'All cells'!$AT$79,'All cells'!$L$113,'All cells'!$AT$105)</c:f>
                <c:numCache>
                  <c:formatCode>General</c:formatCode>
                  <c:ptCount val="6"/>
                  <c:pt idx="0">
                    <c:v>43.493980084544688</c:v>
                  </c:pt>
                  <c:pt idx="1">
                    <c:v>30.635612542959777</c:v>
                  </c:pt>
                  <c:pt idx="2">
                    <c:v>34.394052933702802</c:v>
                  </c:pt>
                  <c:pt idx="3">
                    <c:v>33.439302370365752</c:v>
                  </c:pt>
                  <c:pt idx="4">
                    <c:v>21.846280206596536</c:v>
                  </c:pt>
                  <c:pt idx="5">
                    <c:v>7.5012187606239698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('All cells'!$J$2,'All cells'!$AR$11,'All cells'!$J$39,'All cells'!$AR$39,'All cells'!$J$87,'All cells'!$AR$82)</c:f>
              <c:numCache>
                <c:formatCode>General</c:formatCode>
                <c:ptCount val="6"/>
                <c:pt idx="0">
                  <c:v>3.5</c:v>
                </c:pt>
                <c:pt idx="1">
                  <c:v>6.5</c:v>
                </c:pt>
                <c:pt idx="2">
                  <c:v>9.5</c:v>
                </c:pt>
                <c:pt idx="3">
                  <c:v>12.5</c:v>
                </c:pt>
                <c:pt idx="4">
                  <c:v>16.5</c:v>
                </c:pt>
                <c:pt idx="5">
                  <c:v>19</c:v>
                </c:pt>
              </c:numCache>
            </c:numRef>
          </c:xVal>
          <c:yVal>
            <c:numRef>
              <c:f>('All cells'!$L$33,'All cells'!$AT$24,'All cells'!$L$80,'All cells'!$AT$78,'All cells'!$L$112,'All cells'!$AT$104)</c:f>
              <c:numCache>
                <c:formatCode>General</c:formatCode>
                <c:ptCount val="6"/>
                <c:pt idx="0">
                  <c:v>133.8568181818182</c:v>
                </c:pt>
                <c:pt idx="1">
                  <c:v>73.550588235294114</c:v>
                </c:pt>
                <c:pt idx="2">
                  <c:v>61.070323295985069</c:v>
                </c:pt>
                <c:pt idx="3">
                  <c:v>43.170999999999999</c:v>
                </c:pt>
                <c:pt idx="4">
                  <c:v>35.482624999999999</c:v>
                </c:pt>
                <c:pt idx="5">
                  <c:v>26.152499999999996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E-452D-A84F-8EACE8E7913C}"/>
            </c:ext>
          </c:extLst>
        </c:ser>
        <c:ser>
          <c:idx val="6"/>
          <c:order val="6"/>
          <c:tx>
            <c:v>cv14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76000"/>
                  </a:srgbClr>
                </a:solidFill>
              </a:ln>
              <a:effectLst/>
            </c:spPr>
          </c:marker>
          <c:xVal>
            <c:numRef>
              <c:f>'All cells'!$AR$82:$AR$99</c:f>
              <c:numCache>
                <c:formatCode>General</c:formatCode>
                <c:ptCount val="18"/>
                <c:pt idx="0">
                  <c:v>19</c:v>
                </c:pt>
                <c:pt idx="1">
                  <c:v>19.05</c:v>
                </c:pt>
                <c:pt idx="2">
                  <c:v>19.100000000000001</c:v>
                </c:pt>
                <c:pt idx="3">
                  <c:v>19.149999999999999</c:v>
                </c:pt>
                <c:pt idx="4">
                  <c:v>19.2</c:v>
                </c:pt>
                <c:pt idx="5">
                  <c:v>19.25</c:v>
                </c:pt>
                <c:pt idx="6">
                  <c:v>19.3</c:v>
                </c:pt>
                <c:pt idx="7">
                  <c:v>19.350000000000001</c:v>
                </c:pt>
                <c:pt idx="8">
                  <c:v>19.399999999999999</c:v>
                </c:pt>
                <c:pt idx="9">
                  <c:v>19.45</c:v>
                </c:pt>
                <c:pt idx="10">
                  <c:v>19.5</c:v>
                </c:pt>
                <c:pt idx="11">
                  <c:v>19.55</c:v>
                </c:pt>
                <c:pt idx="12">
                  <c:v>19.600000000000001</c:v>
                </c:pt>
                <c:pt idx="13">
                  <c:v>19.649999999999999</c:v>
                </c:pt>
                <c:pt idx="14">
                  <c:v>19.7</c:v>
                </c:pt>
                <c:pt idx="15">
                  <c:v>19.75</c:v>
                </c:pt>
                <c:pt idx="16">
                  <c:v>19.8</c:v>
                </c:pt>
                <c:pt idx="17">
                  <c:v>19.850000000000001</c:v>
                </c:pt>
              </c:numCache>
            </c:numRef>
          </c:xVal>
          <c:yVal>
            <c:numRef>
              <c:f>'All cells'!$AT$82:$AT$98</c:f>
              <c:numCache>
                <c:formatCode>General</c:formatCode>
                <c:ptCount val="17"/>
                <c:pt idx="0">
                  <c:v>26.5</c:v>
                </c:pt>
                <c:pt idx="1">
                  <c:v>25.7</c:v>
                </c:pt>
                <c:pt idx="2">
                  <c:v>16.5</c:v>
                </c:pt>
                <c:pt idx="3">
                  <c:v>20.05</c:v>
                </c:pt>
                <c:pt idx="4">
                  <c:v>26.1</c:v>
                </c:pt>
                <c:pt idx="5">
                  <c:v>17.7</c:v>
                </c:pt>
                <c:pt idx="6">
                  <c:v>23.8</c:v>
                </c:pt>
                <c:pt idx="7">
                  <c:v>33.5</c:v>
                </c:pt>
                <c:pt idx="8">
                  <c:v>21.7</c:v>
                </c:pt>
                <c:pt idx="9">
                  <c:v>20</c:v>
                </c:pt>
                <c:pt idx="10">
                  <c:v>36.9</c:v>
                </c:pt>
                <c:pt idx="11">
                  <c:v>23.2</c:v>
                </c:pt>
                <c:pt idx="12">
                  <c:v>29.3</c:v>
                </c:pt>
                <c:pt idx="13">
                  <c:v>32.9</c:v>
                </c:pt>
                <c:pt idx="14">
                  <c:v>23.2</c:v>
                </c:pt>
                <c:pt idx="15">
                  <c:v>26.9</c:v>
                </c:pt>
                <c:pt idx="16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A-4CF2-95A8-BDEE42DB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3616"/>
        <c:axId val="925064272"/>
      </c:scatterChart>
      <c:valAx>
        <c:axId val="9250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4272"/>
        <c:crosses val="autoZero"/>
        <c:crossBetween val="midCat"/>
      </c:valAx>
      <c:valAx>
        <c:axId val="92506427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Resistance  (M</a:t>
                </a:r>
                <a:r>
                  <a:rPr lang="el-GR" baseline="0"/>
                  <a:t>Ω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413504432223546E-2"/>
              <c:y val="0.3518463440537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cells'!$J$2:$J$24</c:f>
              <c:numCache>
                <c:formatCode>General</c:formatCode>
                <c:ptCount val="23"/>
                <c:pt idx="0">
                  <c:v>3.5</c:v>
                </c:pt>
                <c:pt idx="1">
                  <c:v>3.05</c:v>
                </c:pt>
                <c:pt idx="2">
                  <c:v>3.1</c:v>
                </c:pt>
                <c:pt idx="3">
                  <c:v>3.15</c:v>
                </c:pt>
                <c:pt idx="4">
                  <c:v>3.2</c:v>
                </c:pt>
                <c:pt idx="5">
                  <c:v>3.25</c:v>
                </c:pt>
                <c:pt idx="6">
                  <c:v>3.3</c:v>
                </c:pt>
                <c:pt idx="7">
                  <c:v>3.35</c:v>
                </c:pt>
                <c:pt idx="8">
                  <c:v>3.4</c:v>
                </c:pt>
                <c:pt idx="9">
                  <c:v>3.45</c:v>
                </c:pt>
                <c:pt idx="10">
                  <c:v>3.5</c:v>
                </c:pt>
                <c:pt idx="12">
                  <c:v>3.6</c:v>
                </c:pt>
                <c:pt idx="13">
                  <c:v>3.65</c:v>
                </c:pt>
                <c:pt idx="14">
                  <c:v>3.7</c:v>
                </c:pt>
                <c:pt idx="15">
                  <c:v>3.75</c:v>
                </c:pt>
                <c:pt idx="16">
                  <c:v>3.8</c:v>
                </c:pt>
                <c:pt idx="18">
                  <c:v>3.9</c:v>
                </c:pt>
                <c:pt idx="21">
                  <c:v>4.05</c:v>
                </c:pt>
                <c:pt idx="22">
                  <c:v>4.0999999999999996</c:v>
                </c:pt>
              </c:numCache>
            </c:numRef>
          </c:xVal>
          <c:yVal>
            <c:numRef>
              <c:f>'All cells'!$P$2:$P$24</c:f>
              <c:numCache>
                <c:formatCode>General</c:formatCode>
                <c:ptCount val="23"/>
                <c:pt idx="0">
                  <c:v>32.612620210124575</c:v>
                </c:pt>
                <c:pt idx="1">
                  <c:v>57.160249562243465</c:v>
                </c:pt>
                <c:pt idx="2">
                  <c:v>42.84169722220431</c:v>
                </c:pt>
                <c:pt idx="3">
                  <c:v>57.556769979018881</c:v>
                </c:pt>
                <c:pt idx="4">
                  <c:v>54.773227477637072</c:v>
                </c:pt>
                <c:pt idx="5">
                  <c:v>49.523009066267491</c:v>
                </c:pt>
                <c:pt idx="6">
                  <c:v>59.049966726885998</c:v>
                </c:pt>
                <c:pt idx="7">
                  <c:v>53.219581502002427</c:v>
                </c:pt>
                <c:pt idx="8">
                  <c:v>49.210881469075986</c:v>
                </c:pt>
                <c:pt idx="9">
                  <c:v>62.932021233446413</c:v>
                </c:pt>
                <c:pt idx="10">
                  <c:v>64.483783630286567</c:v>
                </c:pt>
                <c:pt idx="12">
                  <c:v>43.006410260326511</c:v>
                </c:pt>
                <c:pt idx="13">
                  <c:v>41.962914740784115</c:v>
                </c:pt>
                <c:pt idx="14">
                  <c:v>53.904474963360116</c:v>
                </c:pt>
                <c:pt idx="15">
                  <c:v>52.14115166923014</c:v>
                </c:pt>
                <c:pt idx="16">
                  <c:v>52.379576755619638</c:v>
                </c:pt>
                <c:pt idx="18">
                  <c:v>31.007337360199497</c:v>
                </c:pt>
                <c:pt idx="21">
                  <c:v>35.326528348875897</c:v>
                </c:pt>
                <c:pt idx="22">
                  <c:v>39.985617035812552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E1C-A3D3-3470D7FD0DA9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cells'!$AR$2:$AR$18</c:f>
              <c:numCache>
                <c:formatCode>General</c:formatCode>
                <c:ptCount val="17"/>
                <c:pt idx="0">
                  <c:v>6.05</c:v>
                </c:pt>
                <c:pt idx="1">
                  <c:v>6.1</c:v>
                </c:pt>
                <c:pt idx="2">
                  <c:v>6.15</c:v>
                </c:pt>
                <c:pt idx="3">
                  <c:v>6.2</c:v>
                </c:pt>
                <c:pt idx="4">
                  <c:v>6.25</c:v>
                </c:pt>
                <c:pt idx="5">
                  <c:v>6.3</c:v>
                </c:pt>
                <c:pt idx="6">
                  <c:v>6.35</c:v>
                </c:pt>
                <c:pt idx="7">
                  <c:v>6.4</c:v>
                </c:pt>
                <c:pt idx="8">
                  <c:v>6.45</c:v>
                </c:pt>
                <c:pt idx="9">
                  <c:v>6.5</c:v>
                </c:pt>
                <c:pt idx="10">
                  <c:v>6.55</c:v>
                </c:pt>
                <c:pt idx="11">
                  <c:v>6.6</c:v>
                </c:pt>
                <c:pt idx="12">
                  <c:v>6.65</c:v>
                </c:pt>
                <c:pt idx="13">
                  <c:v>6.7</c:v>
                </c:pt>
                <c:pt idx="14">
                  <c:v>6.75</c:v>
                </c:pt>
                <c:pt idx="15">
                  <c:v>6.8</c:v>
                </c:pt>
                <c:pt idx="16">
                  <c:v>6.85</c:v>
                </c:pt>
              </c:numCache>
            </c:numRef>
          </c:xVal>
          <c:yVal>
            <c:numRef>
              <c:f>'All cells'!$AX$2:$AX$18</c:f>
              <c:numCache>
                <c:formatCode>General</c:formatCode>
                <c:ptCount val="17"/>
                <c:pt idx="0">
                  <c:v>50.066064513770904</c:v>
                </c:pt>
                <c:pt idx="1">
                  <c:v>49.337156470038387</c:v>
                </c:pt>
                <c:pt idx="2">
                  <c:v>44.032842462630597</c:v>
                </c:pt>
                <c:pt idx="3">
                  <c:v>47.009370733252446</c:v>
                </c:pt>
                <c:pt idx="4">
                  <c:v>33.772148991559966</c:v>
                </c:pt>
                <c:pt idx="5">
                  <c:v>37.590771422035807</c:v>
                </c:pt>
                <c:pt idx="6">
                  <c:v>36.203422211125364</c:v>
                </c:pt>
                <c:pt idx="7">
                  <c:v>30.471434164217531</c:v>
                </c:pt>
                <c:pt idx="8">
                  <c:v>54.507303433487827</c:v>
                </c:pt>
                <c:pt idx="9">
                  <c:v>62.257869837245941</c:v>
                </c:pt>
                <c:pt idx="10">
                  <c:v>67.771236789718856</c:v>
                </c:pt>
                <c:pt idx="11">
                  <c:v>55.721003397224052</c:v>
                </c:pt>
                <c:pt idx="12">
                  <c:v>55.724852305077142</c:v>
                </c:pt>
                <c:pt idx="13">
                  <c:v>51.906628279548833</c:v>
                </c:pt>
                <c:pt idx="14">
                  <c:v>57.172885213390423</c:v>
                </c:pt>
                <c:pt idx="15">
                  <c:v>55.295349871239971</c:v>
                </c:pt>
                <c:pt idx="16">
                  <c:v>63.558136743248845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E-4BFD-8652-B3770CA60648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5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cells'!$J$39:$J$64</c:f>
              <c:numCache>
                <c:formatCode>General</c:formatCode>
                <c:ptCount val="26"/>
                <c:pt idx="0">
                  <c:v>9.5</c:v>
                </c:pt>
                <c:pt idx="1">
                  <c:v>9.0500000000000007</c:v>
                </c:pt>
                <c:pt idx="2">
                  <c:v>9.1</c:v>
                </c:pt>
                <c:pt idx="3">
                  <c:v>9.15</c:v>
                </c:pt>
                <c:pt idx="4">
                  <c:v>9.1999999999999993</c:v>
                </c:pt>
                <c:pt idx="5">
                  <c:v>9.25</c:v>
                </c:pt>
                <c:pt idx="6">
                  <c:v>9.3000000000000007</c:v>
                </c:pt>
                <c:pt idx="7">
                  <c:v>9.3499999999999908</c:v>
                </c:pt>
                <c:pt idx="8">
                  <c:v>9.3999999999999897</c:v>
                </c:pt>
                <c:pt idx="9">
                  <c:v>9.4499999999999904</c:v>
                </c:pt>
                <c:pt idx="10">
                  <c:v>9.4999999999999893</c:v>
                </c:pt>
                <c:pt idx="11">
                  <c:v>9.5499999999999901</c:v>
                </c:pt>
                <c:pt idx="12">
                  <c:v>9.5999999999999908</c:v>
                </c:pt>
                <c:pt idx="13">
                  <c:v>9.6499999999999897</c:v>
                </c:pt>
                <c:pt idx="14">
                  <c:v>9.6999999999999904</c:v>
                </c:pt>
                <c:pt idx="15">
                  <c:v>9.7499999999999893</c:v>
                </c:pt>
                <c:pt idx="16">
                  <c:v>9.7999999999999794</c:v>
                </c:pt>
                <c:pt idx="17">
                  <c:v>9.8499999999999801</c:v>
                </c:pt>
                <c:pt idx="18">
                  <c:v>9.8999999999999808</c:v>
                </c:pt>
                <c:pt idx="19">
                  <c:v>9.9499999999999797</c:v>
                </c:pt>
                <c:pt idx="20">
                  <c:v>9.9999999999999805</c:v>
                </c:pt>
                <c:pt idx="21">
                  <c:v>10.050000000000001</c:v>
                </c:pt>
                <c:pt idx="22">
                  <c:v>10.1</c:v>
                </c:pt>
                <c:pt idx="23">
                  <c:v>10.15</c:v>
                </c:pt>
                <c:pt idx="24">
                  <c:v>10.199999999999999</c:v>
                </c:pt>
                <c:pt idx="25">
                  <c:v>10.25</c:v>
                </c:pt>
              </c:numCache>
            </c:numRef>
          </c:xVal>
          <c:yVal>
            <c:numRef>
              <c:f>'All cells'!$P$39:$P$64</c:f>
              <c:numCache>
                <c:formatCode>General</c:formatCode>
                <c:ptCount val="26"/>
                <c:pt idx="0">
                  <c:v>33</c:v>
                </c:pt>
                <c:pt idx="1">
                  <c:v>67.82680431808339</c:v>
                </c:pt>
                <c:pt idx="2">
                  <c:v>46.250157601404325</c:v>
                </c:pt>
                <c:pt idx="3">
                  <c:v>61.547871404943301</c:v>
                </c:pt>
                <c:pt idx="4">
                  <c:v>84.429611687116349</c:v>
                </c:pt>
                <c:pt idx="5">
                  <c:v>67.83977763523896</c:v>
                </c:pt>
                <c:pt idx="6">
                  <c:v>54.430114286745535</c:v>
                </c:pt>
                <c:pt idx="7">
                  <c:v>54.994720900264433</c:v>
                </c:pt>
                <c:pt idx="8">
                  <c:v>95.958656292329579</c:v>
                </c:pt>
                <c:pt idx="9">
                  <c:v>65.17134168281946</c:v>
                </c:pt>
                <c:pt idx="10">
                  <c:v>50.812862502335065</c:v>
                </c:pt>
                <c:pt idx="11">
                  <c:v>61.093140904024487</c:v>
                </c:pt>
                <c:pt idx="12">
                  <c:v>60.524538518363201</c:v>
                </c:pt>
                <c:pt idx="13">
                  <c:v>37.912358614317192</c:v>
                </c:pt>
                <c:pt idx="14">
                  <c:v>38.626042294107165</c:v>
                </c:pt>
                <c:pt idx="15">
                  <c:v>27.624983442418799</c:v>
                </c:pt>
                <c:pt idx="16">
                  <c:v>47.337757978428002</c:v>
                </c:pt>
                <c:pt idx="17">
                  <c:v>61.171721323715857</c:v>
                </c:pt>
                <c:pt idx="18">
                  <c:v>45.196314457145355</c:v>
                </c:pt>
                <c:pt idx="19">
                  <c:v>39.555390725774402</c:v>
                </c:pt>
                <c:pt idx="20">
                  <c:v>44.827588674072651</c:v>
                </c:pt>
                <c:pt idx="21">
                  <c:v>53.952991626052032</c:v>
                </c:pt>
                <c:pt idx="22">
                  <c:v>36.873018022385651</c:v>
                </c:pt>
                <c:pt idx="23">
                  <c:v>49.127320138498938</c:v>
                </c:pt>
                <c:pt idx="24">
                  <c:v>47.735743118835835</c:v>
                </c:pt>
                <c:pt idx="25">
                  <c:v>32.669932490609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E1C-A3D3-3470D7FD0DA9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  <a:alpha val="27000"/>
                </a:schemeClr>
              </a:solidFill>
              <a:ln w="9525">
                <a:solidFill>
                  <a:schemeClr val="accent1">
                    <a:lumMod val="50000"/>
                    <a:alpha val="80000"/>
                  </a:schemeClr>
                </a:solidFill>
              </a:ln>
              <a:effectLst/>
            </c:spPr>
          </c:marker>
          <c:xVal>
            <c:numRef>
              <c:f>'All cells'!$J$87:$J$107</c:f>
              <c:numCache>
                <c:formatCode>General</c:formatCode>
                <c:ptCount val="21"/>
                <c:pt idx="0">
                  <c:v>16.5</c:v>
                </c:pt>
                <c:pt idx="1">
                  <c:v>16.05</c:v>
                </c:pt>
                <c:pt idx="2">
                  <c:v>16.100000000000001</c:v>
                </c:pt>
                <c:pt idx="3">
                  <c:v>16.149999999999999</c:v>
                </c:pt>
                <c:pt idx="4">
                  <c:v>16.2</c:v>
                </c:pt>
                <c:pt idx="5">
                  <c:v>16.25</c:v>
                </c:pt>
                <c:pt idx="6">
                  <c:v>16.3</c:v>
                </c:pt>
                <c:pt idx="7">
                  <c:v>16.350000000000001</c:v>
                </c:pt>
                <c:pt idx="8">
                  <c:v>16.399999999999999</c:v>
                </c:pt>
                <c:pt idx="9">
                  <c:v>16.45</c:v>
                </c:pt>
                <c:pt idx="10">
                  <c:v>16.5</c:v>
                </c:pt>
                <c:pt idx="11">
                  <c:v>16.55</c:v>
                </c:pt>
                <c:pt idx="12">
                  <c:v>16.600000000000001</c:v>
                </c:pt>
                <c:pt idx="13">
                  <c:v>16.649999999999999</c:v>
                </c:pt>
                <c:pt idx="14">
                  <c:v>16.7</c:v>
                </c:pt>
                <c:pt idx="15">
                  <c:v>16.75</c:v>
                </c:pt>
                <c:pt idx="16">
                  <c:v>16.8</c:v>
                </c:pt>
                <c:pt idx="17">
                  <c:v>16.850000000000001</c:v>
                </c:pt>
                <c:pt idx="18">
                  <c:v>16.899999999999999</c:v>
                </c:pt>
                <c:pt idx="19">
                  <c:v>16.95</c:v>
                </c:pt>
                <c:pt idx="20">
                  <c:v>17</c:v>
                </c:pt>
              </c:numCache>
            </c:numRef>
          </c:xVal>
          <c:yVal>
            <c:numRef>
              <c:f>'All cells'!$P$87:$P$109</c:f>
              <c:numCache>
                <c:formatCode>General</c:formatCode>
                <c:ptCount val="23"/>
                <c:pt idx="0">
                  <c:v>48.636979087365894</c:v>
                </c:pt>
                <c:pt idx="1">
                  <c:v>47.778185627552759</c:v>
                </c:pt>
                <c:pt idx="2">
                  <c:v>62.810414493462943</c:v>
                </c:pt>
                <c:pt idx="3">
                  <c:v>85.704192484863356</c:v>
                </c:pt>
                <c:pt idx="4">
                  <c:v>82.766143111749784</c:v>
                </c:pt>
                <c:pt idx="5">
                  <c:v>67.47016243301421</c:v>
                </c:pt>
                <c:pt idx="6">
                  <c:v>68.767484711743634</c:v>
                </c:pt>
                <c:pt idx="7">
                  <c:v>33.047183856419224</c:v>
                </c:pt>
                <c:pt idx="8">
                  <c:v>60.422099027245018</c:v>
                </c:pt>
                <c:pt idx="9">
                  <c:v>41.090648733156804</c:v>
                </c:pt>
                <c:pt idx="10">
                  <c:v>84.808515506909785</c:v>
                </c:pt>
                <c:pt idx="11">
                  <c:v>65.832932957626667</c:v>
                </c:pt>
                <c:pt idx="12">
                  <c:v>83.684767490227898</c:v>
                </c:pt>
                <c:pt idx="13">
                  <c:v>69.445215343780674</c:v>
                </c:pt>
                <c:pt idx="14">
                  <c:v>67.891072296897164</c:v>
                </c:pt>
                <c:pt idx="15">
                  <c:v>48.660918775143905</c:v>
                </c:pt>
                <c:pt idx="16">
                  <c:v>59.784394033000602</c:v>
                </c:pt>
                <c:pt idx="17">
                  <c:v>63.609065101886863</c:v>
                </c:pt>
                <c:pt idx="18">
                  <c:v>73.63850951037962</c:v>
                </c:pt>
                <c:pt idx="19">
                  <c:v>84.08601496617257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E1C-A3D3-3470D7FD0DA9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5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cells'!$AR$39:$AR$62</c:f>
              <c:numCache>
                <c:formatCode>General</c:formatCode>
                <c:ptCount val="24"/>
                <c:pt idx="0">
                  <c:v>12.5</c:v>
                </c:pt>
                <c:pt idx="1">
                  <c:v>12.05</c:v>
                </c:pt>
                <c:pt idx="2">
                  <c:v>12.1</c:v>
                </c:pt>
                <c:pt idx="3">
                  <c:v>12.15</c:v>
                </c:pt>
                <c:pt idx="4">
                  <c:v>12.2</c:v>
                </c:pt>
                <c:pt idx="5">
                  <c:v>12.25</c:v>
                </c:pt>
                <c:pt idx="6">
                  <c:v>12.3</c:v>
                </c:pt>
                <c:pt idx="7">
                  <c:v>12.35</c:v>
                </c:pt>
                <c:pt idx="8">
                  <c:v>12.4</c:v>
                </c:pt>
                <c:pt idx="9">
                  <c:v>12.45</c:v>
                </c:pt>
                <c:pt idx="10">
                  <c:v>12.5</c:v>
                </c:pt>
                <c:pt idx="11">
                  <c:v>12.55</c:v>
                </c:pt>
                <c:pt idx="12">
                  <c:v>12.6</c:v>
                </c:pt>
                <c:pt idx="13">
                  <c:v>12.65</c:v>
                </c:pt>
                <c:pt idx="14">
                  <c:v>12.7</c:v>
                </c:pt>
                <c:pt idx="15">
                  <c:v>12.75</c:v>
                </c:pt>
                <c:pt idx="16">
                  <c:v>12.8</c:v>
                </c:pt>
                <c:pt idx="17">
                  <c:v>12.9</c:v>
                </c:pt>
                <c:pt idx="18">
                  <c:v>12.95</c:v>
                </c:pt>
                <c:pt idx="19">
                  <c:v>13</c:v>
                </c:pt>
                <c:pt idx="20">
                  <c:v>13.05</c:v>
                </c:pt>
                <c:pt idx="21">
                  <c:v>13.1</c:v>
                </c:pt>
                <c:pt idx="22">
                  <c:v>13.15</c:v>
                </c:pt>
                <c:pt idx="23">
                  <c:v>13.2</c:v>
                </c:pt>
              </c:numCache>
            </c:numRef>
          </c:xVal>
          <c:yVal>
            <c:numRef>
              <c:f>'All cells'!$AX$39:$AX$62</c:f>
              <c:numCache>
                <c:formatCode>General</c:formatCode>
                <c:ptCount val="24"/>
                <c:pt idx="0">
                  <c:v>59.489950195561242</c:v>
                </c:pt>
                <c:pt idx="1">
                  <c:v>69.291684011824088</c:v>
                </c:pt>
                <c:pt idx="2">
                  <c:v>80.778548212989222</c:v>
                </c:pt>
                <c:pt idx="3">
                  <c:v>57.700861530634434</c:v>
                </c:pt>
                <c:pt idx="4">
                  <c:v>57.853002438777942</c:v>
                </c:pt>
                <c:pt idx="5">
                  <c:v>82.820069210880348</c:v>
                </c:pt>
                <c:pt idx="6">
                  <c:v>67.006164567140274</c:v>
                </c:pt>
                <c:pt idx="7">
                  <c:v>46.045753415471758</c:v>
                </c:pt>
                <c:pt idx="8">
                  <c:v>93.552364752586897</c:v>
                </c:pt>
                <c:pt idx="9">
                  <c:v>45.149284443447222</c:v>
                </c:pt>
                <c:pt idx="10">
                  <c:v>64.000627458948571</c:v>
                </c:pt>
                <c:pt idx="11">
                  <c:v>71.917693251181731</c:v>
                </c:pt>
                <c:pt idx="12">
                  <c:v>52.784731460426613</c:v>
                </c:pt>
                <c:pt idx="13">
                  <c:v>55.92547027312304</c:v>
                </c:pt>
                <c:pt idx="14">
                  <c:v>46.880569057845719</c:v>
                </c:pt>
                <c:pt idx="15">
                  <c:v>39.691355721737629</c:v>
                </c:pt>
                <c:pt idx="16">
                  <c:v>41.17591389968139</c:v>
                </c:pt>
                <c:pt idx="17">
                  <c:v>48.678110694203731</c:v>
                </c:pt>
                <c:pt idx="18">
                  <c:v>47.551293926584236</c:v>
                </c:pt>
                <c:pt idx="19">
                  <c:v>64.662820911261292</c:v>
                </c:pt>
                <c:pt idx="20">
                  <c:v>35.312593030162773</c:v>
                </c:pt>
                <c:pt idx="21">
                  <c:v>42.106713529987445</c:v>
                </c:pt>
                <c:pt idx="22">
                  <c:v>93.249035243560101</c:v>
                </c:pt>
                <c:pt idx="23">
                  <c:v>65.428318405240162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56C-BEB8-65ED684416C2}"/>
            </c:ext>
          </c:extLst>
        </c:ser>
        <c:ser>
          <c:idx val="4"/>
          <c:order val="5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cells'!$P$34,'All cells'!$AX$25,'All cells'!$P$81,'All cells'!$AX$79,'All cells'!$P$113,'All cells'!$AX$105)</c:f>
                <c:numCache>
                  <c:formatCode>General</c:formatCode>
                  <c:ptCount val="6"/>
                  <c:pt idx="0">
                    <c:v>9.8744903462549427</c:v>
                  </c:pt>
                  <c:pt idx="1">
                    <c:v>10.760285351099796</c:v>
                  </c:pt>
                  <c:pt idx="2">
                    <c:v>15.837106097467645</c:v>
                  </c:pt>
                  <c:pt idx="3">
                    <c:v>16.950335417310651</c:v>
                  </c:pt>
                  <c:pt idx="4">
                    <c:v>15.308473187731545</c:v>
                  </c:pt>
                  <c:pt idx="5">
                    <c:v>18.647191481797044</c:v>
                  </c:pt>
                </c:numCache>
              </c:numRef>
            </c:plus>
            <c:minus>
              <c:numRef>
                <c:f>('All cells'!$P$34,'All cells'!$AX$25,'All cells'!$P$81,'All cells'!$AX$79,'All cells'!$P$113,'All cells'!$AX$105)</c:f>
                <c:numCache>
                  <c:formatCode>General</c:formatCode>
                  <c:ptCount val="6"/>
                  <c:pt idx="0">
                    <c:v>9.8744903462549427</c:v>
                  </c:pt>
                  <c:pt idx="1">
                    <c:v>10.760285351099796</c:v>
                  </c:pt>
                  <c:pt idx="2">
                    <c:v>15.837106097467645</c:v>
                  </c:pt>
                  <c:pt idx="3">
                    <c:v>16.950335417310651</c:v>
                  </c:pt>
                  <c:pt idx="4">
                    <c:v>15.308473187731545</c:v>
                  </c:pt>
                  <c:pt idx="5">
                    <c:v>18.647191481797044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('All cells'!$J$2,'All cells'!$AR$2,'All cells'!$J$39,'All cells'!$AR$39,'All cells'!$J$87,'All cells'!$AR$82)</c:f>
              <c:numCache>
                <c:formatCode>General</c:formatCode>
                <c:ptCount val="6"/>
                <c:pt idx="0">
                  <c:v>3.5</c:v>
                </c:pt>
                <c:pt idx="1">
                  <c:v>6.05</c:v>
                </c:pt>
                <c:pt idx="2">
                  <c:v>9.5</c:v>
                </c:pt>
                <c:pt idx="3">
                  <c:v>12.5</c:v>
                </c:pt>
                <c:pt idx="4">
                  <c:v>16.5</c:v>
                </c:pt>
                <c:pt idx="5">
                  <c:v>19</c:v>
                </c:pt>
              </c:numCache>
            </c:numRef>
          </c:xVal>
          <c:yVal>
            <c:numRef>
              <c:f>('All cells'!$P$33,'All cells'!$AX$24,'All cells'!$P$80,'All cells'!$AX$78,'All cells'!$P$112,'All cells'!$AX$104)</c:f>
              <c:numCache>
                <c:formatCode>General</c:formatCode>
                <c:ptCount val="6"/>
                <c:pt idx="0">
                  <c:v>47.782672270419624</c:v>
                </c:pt>
                <c:pt idx="1">
                  <c:v>50.141086872871348</c:v>
                </c:pt>
                <c:pt idx="2">
                  <c:v>50.602921759510707</c:v>
                </c:pt>
                <c:pt idx="3">
                  <c:v>64.853951050896214</c:v>
                </c:pt>
                <c:pt idx="4">
                  <c:v>64.996744977429984</c:v>
                </c:pt>
                <c:pt idx="5">
                  <c:v>81.042009695616656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E-452D-A84F-8EACE8E7913C}"/>
            </c:ext>
          </c:extLst>
        </c:ser>
        <c:ser>
          <c:idx val="6"/>
          <c:order val="6"/>
          <c:tx>
            <c:v>cv14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80000"/>
                  </a:srgbClr>
                </a:solidFill>
              </a:ln>
              <a:effectLst/>
            </c:spPr>
          </c:marker>
          <c:xVal>
            <c:numRef>
              <c:f>'All cells'!$AR$82:$AR$98</c:f>
              <c:numCache>
                <c:formatCode>General</c:formatCode>
                <c:ptCount val="17"/>
                <c:pt idx="0">
                  <c:v>19</c:v>
                </c:pt>
                <c:pt idx="1">
                  <c:v>19.05</c:v>
                </c:pt>
                <c:pt idx="2">
                  <c:v>19.100000000000001</c:v>
                </c:pt>
                <c:pt idx="3">
                  <c:v>19.149999999999999</c:v>
                </c:pt>
                <c:pt idx="4">
                  <c:v>19.2</c:v>
                </c:pt>
                <c:pt idx="5">
                  <c:v>19.25</c:v>
                </c:pt>
                <c:pt idx="6">
                  <c:v>19.3</c:v>
                </c:pt>
                <c:pt idx="7">
                  <c:v>19.350000000000001</c:v>
                </c:pt>
                <c:pt idx="8">
                  <c:v>19.399999999999999</c:v>
                </c:pt>
                <c:pt idx="9">
                  <c:v>19.45</c:v>
                </c:pt>
                <c:pt idx="10">
                  <c:v>19.5</c:v>
                </c:pt>
                <c:pt idx="11">
                  <c:v>19.55</c:v>
                </c:pt>
                <c:pt idx="12">
                  <c:v>19.600000000000001</c:v>
                </c:pt>
                <c:pt idx="13">
                  <c:v>19.649999999999999</c:v>
                </c:pt>
                <c:pt idx="14">
                  <c:v>19.7</c:v>
                </c:pt>
                <c:pt idx="15">
                  <c:v>19.75</c:v>
                </c:pt>
                <c:pt idx="16">
                  <c:v>19.8</c:v>
                </c:pt>
              </c:numCache>
            </c:numRef>
          </c:xVal>
          <c:yVal>
            <c:numRef>
              <c:f>'All cells'!$AX$82:$AX$98</c:f>
              <c:numCache>
                <c:formatCode>General</c:formatCode>
                <c:ptCount val="17"/>
                <c:pt idx="0">
                  <c:v>119.97815459475405</c:v>
                </c:pt>
                <c:pt idx="1">
                  <c:v>51.909233718957637</c:v>
                </c:pt>
                <c:pt idx="2">
                  <c:v>96.082524103320608</c:v>
                </c:pt>
                <c:pt idx="3">
                  <c:v>74.976529857201697</c:v>
                </c:pt>
                <c:pt idx="4">
                  <c:v>90.770034366988256</c:v>
                </c:pt>
                <c:pt idx="5">
                  <c:v>121.4068249033804</c:v>
                </c:pt>
                <c:pt idx="6">
                  <c:v>97.366213363995129</c:v>
                </c:pt>
                <c:pt idx="7">
                  <c:v>74.048684506656841</c:v>
                </c:pt>
                <c:pt idx="8">
                  <c:v>60.89460419231974</c:v>
                </c:pt>
                <c:pt idx="9">
                  <c:v>60.149269283997398</c:v>
                </c:pt>
                <c:pt idx="10">
                  <c:v>71.517836829727472</c:v>
                </c:pt>
                <c:pt idx="11">
                  <c:v>86.547394114663916</c:v>
                </c:pt>
                <c:pt idx="12">
                  <c:v>81.784904598260766</c:v>
                </c:pt>
                <c:pt idx="13">
                  <c:v>88.236669808071653</c:v>
                </c:pt>
                <c:pt idx="14">
                  <c:v>64.426726782203147</c:v>
                </c:pt>
                <c:pt idx="15">
                  <c:v>82.724623049821005</c:v>
                </c:pt>
                <c:pt idx="16">
                  <c:v>70.392269291537318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C-4EAD-AC24-1FCE4DD84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3616"/>
        <c:axId val="925064272"/>
      </c:scatterChart>
      <c:valAx>
        <c:axId val="9250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4272"/>
        <c:crosses val="autoZero"/>
        <c:crossBetween val="midCat"/>
      </c:valAx>
      <c:valAx>
        <c:axId val="92506427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Mean FF (Hz)</a:t>
                </a:r>
              </a:p>
            </c:rich>
          </c:tx>
          <c:layout>
            <c:manualLayout>
              <c:xMode val="edge"/>
              <c:yMode val="edge"/>
              <c:x val="1.4413504432223546E-2"/>
              <c:y val="0.3518463440537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41885</xdr:colOff>
      <xdr:row>118</xdr:row>
      <xdr:rowOff>63518</xdr:rowOff>
    </xdr:from>
    <xdr:to>
      <xdr:col>10</xdr:col>
      <xdr:colOff>398418</xdr:colOff>
      <xdr:row>138</xdr:row>
      <xdr:rowOff>33518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5598</xdr:colOff>
      <xdr:row>160</xdr:row>
      <xdr:rowOff>168201</xdr:rowOff>
    </xdr:from>
    <xdr:to>
      <xdr:col>6</xdr:col>
      <xdr:colOff>279400</xdr:colOff>
      <xdr:row>180</xdr:row>
      <xdr:rowOff>138201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591068</xdr:colOff>
      <xdr:row>140</xdr:row>
      <xdr:rowOff>138991</xdr:rowOff>
    </xdr:from>
    <xdr:to>
      <xdr:col>5</xdr:col>
      <xdr:colOff>279368</xdr:colOff>
      <xdr:row>160</xdr:row>
      <xdr:rowOff>108991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57668</xdr:colOff>
      <xdr:row>118</xdr:row>
      <xdr:rowOff>64062</xdr:rowOff>
    </xdr:from>
    <xdr:to>
      <xdr:col>28</xdr:col>
      <xdr:colOff>63500</xdr:colOff>
      <xdr:row>138</xdr:row>
      <xdr:rowOff>34062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176893</xdr:colOff>
      <xdr:row>118</xdr:row>
      <xdr:rowOff>172736</xdr:rowOff>
    </xdr:from>
    <xdr:to>
      <xdr:col>4</xdr:col>
      <xdr:colOff>476306</xdr:colOff>
      <xdr:row>138</xdr:row>
      <xdr:rowOff>142736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353940</xdr:colOff>
      <xdr:row>140</xdr:row>
      <xdr:rowOff>150058</xdr:rowOff>
    </xdr:from>
    <xdr:to>
      <xdr:col>11</xdr:col>
      <xdr:colOff>304800</xdr:colOff>
      <xdr:row>160</xdr:row>
      <xdr:rowOff>120058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418347</xdr:colOff>
      <xdr:row>140</xdr:row>
      <xdr:rowOff>44829</xdr:rowOff>
    </xdr:from>
    <xdr:to>
      <xdr:col>14</xdr:col>
      <xdr:colOff>876300</xdr:colOff>
      <xdr:row>160</xdr:row>
      <xdr:rowOff>9386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350856</xdr:colOff>
      <xdr:row>161</xdr:row>
      <xdr:rowOff>59524</xdr:rowOff>
    </xdr:from>
    <xdr:to>
      <xdr:col>11</xdr:col>
      <xdr:colOff>293914</xdr:colOff>
      <xdr:row>181</xdr:row>
      <xdr:rowOff>37144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368818</xdr:colOff>
      <xdr:row>161</xdr:row>
      <xdr:rowOff>13261</xdr:rowOff>
    </xdr:from>
    <xdr:to>
      <xdr:col>14</xdr:col>
      <xdr:colOff>1028668</xdr:colOff>
      <xdr:row>180</xdr:row>
      <xdr:rowOff>178841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399298</xdr:colOff>
      <xdr:row>141</xdr:row>
      <xdr:rowOff>23421</xdr:rowOff>
    </xdr:from>
    <xdr:to>
      <xdr:col>15</xdr:col>
      <xdr:colOff>78708</xdr:colOff>
      <xdr:row>160</xdr:row>
      <xdr:rowOff>183921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374651</xdr:colOff>
      <xdr:row>118</xdr:row>
      <xdr:rowOff>185981</xdr:rowOff>
    </xdr:from>
    <xdr:to>
      <xdr:col>14</xdr:col>
      <xdr:colOff>806451</xdr:colOff>
      <xdr:row>138</xdr:row>
      <xdr:rowOff>155981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1016518</xdr:colOff>
      <xdr:row>119</xdr:row>
      <xdr:rowOff>41202</xdr:rowOff>
    </xdr:from>
    <xdr:to>
      <xdr:col>18</xdr:col>
      <xdr:colOff>533368</xdr:colOff>
      <xdr:row>139</xdr:row>
      <xdr:rowOff>11202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250667</xdr:colOff>
      <xdr:row>141</xdr:row>
      <xdr:rowOff>157406</xdr:rowOff>
    </xdr:from>
    <xdr:to>
      <xdr:col>22</xdr:col>
      <xdr:colOff>490538</xdr:colOff>
      <xdr:row>161</xdr:row>
      <xdr:rowOff>127406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680876</xdr:colOff>
      <xdr:row>119</xdr:row>
      <xdr:rowOff>76582</xdr:rowOff>
    </xdr:from>
    <xdr:to>
      <xdr:col>23</xdr:col>
      <xdr:colOff>560614</xdr:colOff>
      <xdr:row>139</xdr:row>
      <xdr:rowOff>41139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60960</xdr:rowOff>
        </xdr:from>
        <xdr:to>
          <xdr:col>2</xdr:col>
          <xdr:colOff>205740</xdr:colOff>
          <xdr:row>18</xdr:row>
          <xdr:rowOff>40640</xdr:rowOff>
        </xdr:to>
        <xdr:sp macro="" textlink="">
          <xdr:nvSpPr>
            <xdr:cNvPr id="7169" name="Control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43</xdr:row>
      <xdr:rowOff>118654</xdr:rowOff>
    </xdr:from>
    <xdr:to>
      <xdr:col>3</xdr:col>
      <xdr:colOff>381600</xdr:colOff>
      <xdr:row>58</xdr:row>
      <xdr:rowOff>118654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513805</xdr:colOff>
      <xdr:row>28</xdr:row>
      <xdr:rowOff>107043</xdr:rowOff>
    </xdr:from>
    <xdr:to>
      <xdr:col>17</xdr:col>
      <xdr:colOff>133405</xdr:colOff>
      <xdr:row>43</xdr:row>
      <xdr:rowOff>107043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176349</xdr:colOff>
      <xdr:row>28</xdr:row>
      <xdr:rowOff>85271</xdr:rowOff>
    </xdr:from>
    <xdr:to>
      <xdr:col>12</xdr:col>
      <xdr:colOff>405549</xdr:colOff>
      <xdr:row>43</xdr:row>
      <xdr:rowOff>85271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87085</xdr:rowOff>
    </xdr:from>
    <xdr:to>
      <xdr:col>3</xdr:col>
      <xdr:colOff>368900</xdr:colOff>
      <xdr:row>43</xdr:row>
      <xdr:rowOff>87085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455749</xdr:colOff>
      <xdr:row>28</xdr:row>
      <xdr:rowOff>85271</xdr:rowOff>
    </xdr:from>
    <xdr:to>
      <xdr:col>8</xdr:col>
      <xdr:colOff>75349</xdr:colOff>
      <xdr:row>43</xdr:row>
      <xdr:rowOff>85271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495300</xdr:colOff>
      <xdr:row>28</xdr:row>
      <xdr:rowOff>47171</xdr:rowOff>
    </xdr:from>
    <xdr:to>
      <xdr:col>22</xdr:col>
      <xdr:colOff>114900</xdr:colOff>
      <xdr:row>43</xdr:row>
      <xdr:rowOff>47771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422368</xdr:colOff>
      <xdr:row>30</xdr:row>
      <xdr:rowOff>76200</xdr:rowOff>
    </xdr:from>
    <xdr:to>
      <xdr:col>7</xdr:col>
      <xdr:colOff>584200</xdr:colOff>
      <xdr:row>32</xdr:row>
      <xdr:rowOff>14516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549868" y="5410200"/>
          <a:ext cx="771432" cy="2939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p=0.028 *</a:t>
          </a:r>
        </a:p>
      </xdr:txBody>
    </xdr:sp>
    <xdr:clientData/>
  </xdr:twoCellAnchor>
  <xdr:twoCellAnchor>
    <xdr:from>
      <xdr:col>2</xdr:col>
      <xdr:colOff>155668</xdr:colOff>
      <xdr:row>31</xdr:row>
      <xdr:rowOff>25400</xdr:rowOff>
    </xdr:from>
    <xdr:to>
      <xdr:col>3</xdr:col>
      <xdr:colOff>419100</xdr:colOff>
      <xdr:row>32</xdr:row>
      <xdr:rowOff>128816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44768" y="5537200"/>
          <a:ext cx="873032" cy="2812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p=0.003**</a:t>
          </a:r>
        </a:p>
      </xdr:txBody>
    </xdr:sp>
    <xdr:clientData/>
  </xdr:twoCellAnchor>
  <xdr:twoCellAnchor>
    <xdr:from>
      <xdr:col>11</xdr:col>
      <xdr:colOff>41368</xdr:colOff>
      <xdr:row>30</xdr:row>
      <xdr:rowOff>63500</xdr:rowOff>
    </xdr:from>
    <xdr:to>
      <xdr:col>12</xdr:col>
      <xdr:colOff>368300</xdr:colOff>
      <xdr:row>31</xdr:row>
      <xdr:rowOff>166916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7216868" y="5397500"/>
          <a:ext cx="936532" cy="2812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p=0.003 **</a:t>
          </a:r>
        </a:p>
      </xdr:txBody>
    </xdr:sp>
    <xdr:clientData/>
  </xdr:twoCellAnchor>
  <xdr:twoCellAnchor>
    <xdr:from>
      <xdr:col>15</xdr:col>
      <xdr:colOff>574768</xdr:colOff>
      <xdr:row>29</xdr:row>
      <xdr:rowOff>114300</xdr:rowOff>
    </xdr:from>
    <xdr:to>
      <xdr:col>17</xdr:col>
      <xdr:colOff>292100</xdr:colOff>
      <xdr:row>31</xdr:row>
      <xdr:rowOff>39916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0188668" y="5270500"/>
          <a:ext cx="936532" cy="2812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p=0.012 *</a:t>
          </a:r>
        </a:p>
      </xdr:txBody>
    </xdr:sp>
    <xdr:clientData/>
  </xdr:twoCellAnchor>
  <xdr:twoCellAnchor>
    <xdr:from>
      <xdr:col>20</xdr:col>
      <xdr:colOff>308068</xdr:colOff>
      <xdr:row>31</xdr:row>
      <xdr:rowOff>50800</xdr:rowOff>
    </xdr:from>
    <xdr:to>
      <xdr:col>22</xdr:col>
      <xdr:colOff>25400</xdr:colOff>
      <xdr:row>32</xdr:row>
      <xdr:rowOff>154216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2969968" y="5562600"/>
          <a:ext cx="936532" cy="2812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p=0.004 **</a:t>
          </a:r>
        </a:p>
      </xdr:txBody>
    </xdr:sp>
    <xdr:clientData/>
  </xdr:twoCellAnchor>
  <xdr:twoCellAnchor>
    <xdr:from>
      <xdr:col>2</xdr:col>
      <xdr:colOff>295368</xdr:colOff>
      <xdr:row>45</xdr:row>
      <xdr:rowOff>88900</xdr:rowOff>
    </xdr:from>
    <xdr:to>
      <xdr:col>4</xdr:col>
      <xdr:colOff>12700</xdr:colOff>
      <xdr:row>47</xdr:row>
      <xdr:rowOff>14516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984468" y="8089900"/>
          <a:ext cx="936532" cy="2812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p=0.031 *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0.23804</cdr:x>
      <cdr:y>0.05185</cdr:y>
    </cdr:from>
    <cdr:to>
      <cdr:x>0.99945</cdr:x>
      <cdr:y>0.05185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71960C5-9B15-480C-BAB4-B875645CC35D}"/>
            </a:ext>
          </a:extLst>
        </cdr:cNvPr>
        <cdr:cNvCxnSpPr/>
      </cdr:nvCxnSpPr>
      <cdr:spPr>
        <a:xfrm xmlns:a="http://schemas.openxmlformats.org/drawingml/2006/main">
          <a:off x="635000" y="138284"/>
          <a:ext cx="2031133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0.24063</cdr:x>
      <cdr:y>0.51626</cdr:y>
    </cdr:from>
    <cdr:to>
      <cdr:x>1</cdr:x>
      <cdr:y>0.51626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5EBC0F76-41BB-40B7-B70C-EB99DF8C66ED}"/>
            </a:ext>
          </a:extLst>
        </cdr:cNvPr>
        <cdr:cNvCxnSpPr/>
      </cdr:nvCxnSpPr>
      <cdr:spPr>
        <a:xfrm xmlns:a="http://schemas.openxmlformats.org/drawingml/2006/main">
          <a:off x="641895" y="1376865"/>
          <a:ext cx="2025705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0.2243</cdr:x>
      <cdr:y>0.65106</cdr:y>
    </cdr:from>
    <cdr:to>
      <cdr:x>1</cdr:x>
      <cdr:y>0.65106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1B7667E-94C4-48FE-A48C-DC27AB8EF574}"/>
            </a:ext>
          </a:extLst>
        </cdr:cNvPr>
        <cdr:cNvCxnSpPr/>
      </cdr:nvCxnSpPr>
      <cdr:spPr>
        <a:xfrm xmlns:a="http://schemas.openxmlformats.org/drawingml/2006/main">
          <a:off x="598351" y="1736377"/>
          <a:ext cx="2069249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0.2428</cdr:x>
      <cdr:y>0.51923</cdr:y>
    </cdr:from>
    <cdr:to>
      <cdr:x>1</cdr:x>
      <cdr:y>0.51923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A088805-27CE-46E4-891D-2435D5902FEA}"/>
            </a:ext>
          </a:extLst>
        </cdr:cNvPr>
        <cdr:cNvCxnSpPr/>
      </cdr:nvCxnSpPr>
      <cdr:spPr>
        <a:xfrm xmlns:a="http://schemas.openxmlformats.org/drawingml/2006/main">
          <a:off x="647700" y="1384786"/>
          <a:ext cx="201990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0.2243</cdr:x>
      <cdr:y>0.3275</cdr:y>
    </cdr:from>
    <cdr:to>
      <cdr:x>1</cdr:x>
      <cdr:y>0.3275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C9FF539-9D35-4A66-9077-22FF2042E862}"/>
            </a:ext>
          </a:extLst>
        </cdr:cNvPr>
        <cdr:cNvCxnSpPr/>
      </cdr:nvCxnSpPr>
      <cdr:spPr>
        <a:xfrm xmlns:a="http://schemas.openxmlformats.org/drawingml/2006/main">
          <a:off x="598351" y="873443"/>
          <a:ext cx="2069249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0.12666</cdr:x>
      <cdr:y>0.68215</cdr:y>
    </cdr:from>
    <cdr:to>
      <cdr:x>0.83791</cdr:x>
      <cdr:y>0.68216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B199139-CBF1-4EE7-A959-DD91FA543B50}"/>
            </a:ext>
          </a:extLst>
        </cdr:cNvPr>
        <cdr:cNvCxnSpPr/>
      </cdr:nvCxnSpPr>
      <cdr:spPr>
        <a:xfrm xmlns:a="http://schemas.openxmlformats.org/drawingml/2006/main">
          <a:off x="337878" y="1819703"/>
          <a:ext cx="1897322" cy="2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10</xdr:row>
      <xdr:rowOff>3810</xdr:rowOff>
    </xdr:from>
    <xdr:to>
      <xdr:col>19</xdr:col>
      <xdr:colOff>601980</xdr:colOff>
      <xdr:row>28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175260</xdr:colOff>
      <xdr:row>9</xdr:row>
      <xdr:rowOff>171450</xdr:rowOff>
    </xdr:from>
    <xdr:to>
      <xdr:col>10</xdr:col>
      <xdr:colOff>533400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5</xdr:row>
      <xdr:rowOff>30480</xdr:rowOff>
    </xdr:from>
    <xdr:to>
      <xdr:col>32</xdr:col>
      <xdr:colOff>60960</xdr:colOff>
      <xdr:row>30</xdr:row>
      <xdr:rowOff>74295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KV2.1_project_data\GXTX_HB9\P5_less\BK_27_04_18_C3\BK_27_04_18_C3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ve.rd.ucl.ac.uk\ritd-ag-project-rd00f5-rmbro87\Cervical_P2_3\DK_31_10_18\DK_31_10_18_C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ve.rd.ucl.ac.uk\ritd-ag-project-rd00f5-rmbro87\P6\Lumbar\BX_24_07_18\BX_24_07_18_C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ve.rd.ucl.ac.uk\ritd-ag-project-rd00f5-rmbro87\Lumbar_P14+\CV_13_09_18_musc_gxtx\CV_13_09_18_C1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>
            <v>151.65891062929668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</sheetNames>
    <sheetDataSet>
      <sheetData sheetId="0">
        <row r="3">
          <cell r="K3">
            <v>500</v>
          </cell>
          <cell r="L3">
            <v>11.659432106142161</v>
          </cell>
        </row>
        <row r="4">
          <cell r="K4">
            <v>600</v>
          </cell>
          <cell r="L4">
            <v>21.074819681529892</v>
          </cell>
        </row>
        <row r="5">
          <cell r="K5">
            <v>700</v>
          </cell>
          <cell r="L5">
            <v>26.57313259563043</v>
          </cell>
        </row>
        <row r="6">
          <cell r="K6">
            <v>800</v>
          </cell>
          <cell r="L6">
            <v>29.940226680826793</v>
          </cell>
        </row>
        <row r="7">
          <cell r="K7">
            <v>900</v>
          </cell>
          <cell r="L7">
            <v>33.48240016164155</v>
          </cell>
        </row>
        <row r="8">
          <cell r="K8">
            <v>1000</v>
          </cell>
          <cell r="L8">
            <v>36.508410731799948</v>
          </cell>
        </row>
        <row r="9">
          <cell r="K9">
            <v>1100</v>
          </cell>
          <cell r="L9">
            <v>39.383683173915024</v>
          </cell>
        </row>
        <row r="10">
          <cell r="K10">
            <v>1200</v>
          </cell>
          <cell r="L10">
            <v>42.16677383674331</v>
          </cell>
        </row>
        <row r="11">
          <cell r="K11">
            <v>1300</v>
          </cell>
          <cell r="L11">
            <v>44.900574250581911</v>
          </cell>
        </row>
        <row r="12">
          <cell r="K12">
            <v>1400</v>
          </cell>
          <cell r="L12">
            <v>48.330630531078008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</sheetNames>
    <sheetDataSet>
      <sheetData sheetId="0">
        <row r="3">
          <cell r="K3">
            <v>600</v>
          </cell>
          <cell r="L3">
            <v>8.4025125532059999</v>
          </cell>
        </row>
        <row r="4">
          <cell r="K4">
            <v>700</v>
          </cell>
          <cell r="L4">
            <v>13.915254244804386</v>
          </cell>
        </row>
        <row r="5">
          <cell r="K5">
            <v>800</v>
          </cell>
          <cell r="L5">
            <v>17.321600098848521</v>
          </cell>
        </row>
        <row r="6">
          <cell r="K6">
            <v>900</v>
          </cell>
          <cell r="L6">
            <v>20.498003050194963</v>
          </cell>
        </row>
        <row r="7">
          <cell r="K7">
            <v>1000</v>
          </cell>
          <cell r="L7">
            <v>23.457528175818926</v>
          </cell>
        </row>
        <row r="8">
          <cell r="K8">
            <v>1100</v>
          </cell>
          <cell r="L8">
            <v>27.174949262605992</v>
          </cell>
        </row>
        <row r="9">
          <cell r="K9">
            <v>1200</v>
          </cell>
          <cell r="L9">
            <v>30.454511909945776</v>
          </cell>
        </row>
        <row r="10">
          <cell r="K10">
            <v>1300</v>
          </cell>
          <cell r="L10">
            <v>33.029043824868658</v>
          </cell>
        </row>
        <row r="11">
          <cell r="K11">
            <v>1400</v>
          </cell>
          <cell r="L11">
            <v>34.475383810095082</v>
          </cell>
        </row>
        <row r="12">
          <cell r="K12">
            <v>1500</v>
          </cell>
          <cell r="L12">
            <v>36.569913894440994</v>
          </cell>
        </row>
        <row r="13">
          <cell r="K13">
            <v>1600</v>
          </cell>
          <cell r="L13">
            <v>38.626042294107165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AH5">
            <v>700</v>
          </cell>
          <cell r="AI5">
            <v>6.5457431529383188</v>
          </cell>
        </row>
        <row r="6">
          <cell r="AH6">
            <v>800</v>
          </cell>
          <cell r="AI6">
            <v>8.7258055272527564</v>
          </cell>
        </row>
        <row r="7">
          <cell r="AH7">
            <v>900</v>
          </cell>
          <cell r="AI7">
            <v>10.412504320829907</v>
          </cell>
        </row>
        <row r="8">
          <cell r="AH8">
            <v>1000</v>
          </cell>
          <cell r="AI8">
            <v>11.940251092185791</v>
          </cell>
        </row>
        <row r="9">
          <cell r="AH9">
            <v>1100</v>
          </cell>
          <cell r="AI9">
            <v>13.297673923402144</v>
          </cell>
        </row>
        <row r="10">
          <cell r="AH10">
            <v>1200</v>
          </cell>
          <cell r="AI10">
            <v>14.549053912091193</v>
          </cell>
        </row>
        <row r="11">
          <cell r="AH11">
            <v>1300</v>
          </cell>
          <cell r="AI11">
            <v>15.994168451018661</v>
          </cell>
        </row>
        <row r="12">
          <cell r="AH12">
            <v>1400</v>
          </cell>
          <cell r="AI12">
            <v>17.30376875267352</v>
          </cell>
        </row>
        <row r="13">
          <cell r="AH13">
            <v>1500</v>
          </cell>
          <cell r="AI13">
            <v>18.221917548745544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BN137"/>
  <sheetViews>
    <sheetView topLeftCell="A145" zoomScale="80" zoomScaleNormal="80" workbookViewId="0">
      <selection activeCell="T89" sqref="T89"/>
    </sheetView>
  </sheetViews>
  <sheetFormatPr defaultRowHeight="14.4" x14ac:dyDescent="0.3"/>
  <cols>
    <col min="2" max="2" width="18.44140625" customWidth="1"/>
    <col min="11" max="11" width="14.77734375" customWidth="1"/>
    <col min="13" max="13" width="16.77734375" customWidth="1"/>
    <col min="14" max="14" width="17.77734375" customWidth="1"/>
    <col min="15" max="15" width="20.21875" customWidth="1"/>
    <col min="16" max="16" width="14.21875" customWidth="1"/>
    <col min="17" max="17" width="13.109375" customWidth="1"/>
    <col min="19" max="19" width="10.21875" customWidth="1"/>
    <col min="23" max="23" width="14.21875" customWidth="1"/>
    <col min="25" max="25" width="13.77734375" customWidth="1"/>
    <col min="27" max="27" width="15" customWidth="1"/>
    <col min="28" max="28" width="12.21875" customWidth="1"/>
    <col min="31" max="31" width="14.21875" customWidth="1"/>
    <col min="36" max="36" width="17.5546875" customWidth="1"/>
    <col min="38" max="38" width="11.44140625" customWidth="1"/>
    <col min="39" max="39" width="12" customWidth="1"/>
    <col min="40" max="40" width="17.88671875" customWidth="1"/>
    <col min="41" max="41" width="12" customWidth="1"/>
    <col min="42" max="42" width="11.77734375" customWidth="1"/>
    <col min="43" max="44" width="13.109375" customWidth="1"/>
    <col min="45" max="45" width="10.88671875" customWidth="1"/>
    <col min="46" max="46" width="12.77734375" customWidth="1"/>
    <col min="48" max="48" width="13.88671875" customWidth="1"/>
    <col min="49" max="49" width="17.5546875" customWidth="1"/>
    <col min="50" max="50" width="13.109375" customWidth="1"/>
    <col min="51" max="51" width="13.21875" customWidth="1"/>
    <col min="53" max="53" width="11.44140625" customWidth="1"/>
    <col min="57" max="57" width="13.109375" customWidth="1"/>
    <col min="58" max="58" width="13.88671875" customWidth="1"/>
    <col min="59" max="59" width="14.21875" customWidth="1"/>
    <col min="60" max="60" width="15" customWidth="1"/>
    <col min="61" max="61" width="14.44140625" customWidth="1"/>
    <col min="62" max="62" width="13.88671875" customWidth="1"/>
  </cols>
  <sheetData>
    <row r="1" spans="1:66" ht="15" thickBot="1" x14ac:dyDescent="0.35">
      <c r="A1" s="1" t="s">
        <v>0</v>
      </c>
      <c r="B1" s="2" t="s">
        <v>1</v>
      </c>
      <c r="C1" s="3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34"/>
      <c r="AD1" s="5"/>
      <c r="AE1" s="34"/>
      <c r="AF1" s="34"/>
      <c r="AG1" s="34"/>
      <c r="AH1" s="34"/>
      <c r="AI1" s="5" t="s">
        <v>28</v>
      </c>
      <c r="AJ1" s="2" t="s">
        <v>1</v>
      </c>
      <c r="AK1" s="34" t="s">
        <v>2</v>
      </c>
      <c r="AL1" s="2" t="s">
        <v>3</v>
      </c>
      <c r="AM1" s="2" t="s">
        <v>4</v>
      </c>
      <c r="AN1" s="2" t="s">
        <v>5</v>
      </c>
      <c r="AO1" s="2" t="s">
        <v>6</v>
      </c>
      <c r="AP1" s="2" t="s">
        <v>7</v>
      </c>
      <c r="AQ1" s="2" t="s">
        <v>8</v>
      </c>
      <c r="AR1" s="2" t="s">
        <v>9</v>
      </c>
      <c r="AS1" s="2" t="s">
        <v>10</v>
      </c>
      <c r="AT1" s="2" t="s">
        <v>11</v>
      </c>
      <c r="AU1" s="2" t="s">
        <v>12</v>
      </c>
      <c r="AV1" s="2" t="s">
        <v>13</v>
      </c>
      <c r="AW1" s="3" t="s">
        <v>14</v>
      </c>
      <c r="AX1" s="3" t="s">
        <v>15</v>
      </c>
      <c r="AY1" s="3" t="s">
        <v>16</v>
      </c>
      <c r="AZ1" s="3" t="s">
        <v>17</v>
      </c>
      <c r="BA1" s="4" t="s">
        <v>18</v>
      </c>
      <c r="BB1" s="4" t="s">
        <v>19</v>
      </c>
      <c r="BC1" s="5" t="s">
        <v>20</v>
      </c>
      <c r="BD1" s="5" t="s">
        <v>21</v>
      </c>
      <c r="BE1" s="5" t="s">
        <v>22</v>
      </c>
      <c r="BF1" s="5" t="s">
        <v>23</v>
      </c>
      <c r="BG1" s="5" t="s">
        <v>24</v>
      </c>
      <c r="BH1" s="5" t="s">
        <v>25</v>
      </c>
      <c r="BI1" s="5" t="s">
        <v>26</v>
      </c>
      <c r="BJ1" s="5" t="s">
        <v>27</v>
      </c>
      <c r="BK1" s="34"/>
      <c r="BL1" s="34"/>
      <c r="BM1" s="5"/>
      <c r="BN1" s="34"/>
    </row>
    <row r="2" spans="1:66" x14ac:dyDescent="0.3">
      <c r="A2" s="6">
        <v>1</v>
      </c>
      <c r="B2" s="7" t="s">
        <v>29</v>
      </c>
      <c r="C2" s="34">
        <v>3</v>
      </c>
      <c r="D2" s="7">
        <v>0.06</v>
      </c>
      <c r="E2" s="34">
        <v>77.549437766576133</v>
      </c>
      <c r="F2" s="7">
        <v>16</v>
      </c>
      <c r="G2" s="7">
        <v>1.6787210714285712</v>
      </c>
      <c r="H2" s="7">
        <v>-22.304966666666672</v>
      </c>
      <c r="I2" s="7">
        <v>3</v>
      </c>
      <c r="J2" s="7">
        <v>3.5</v>
      </c>
      <c r="K2" s="7" t="s">
        <v>0</v>
      </c>
      <c r="L2" s="34">
        <f>(0.0099/0.0000000001)/1000000</f>
        <v>99</v>
      </c>
      <c r="M2" s="34">
        <v>154.34216907199172</v>
      </c>
      <c r="N2" s="34">
        <v>35.172874679047467</v>
      </c>
      <c r="O2" s="7">
        <v>54.455264954119357</v>
      </c>
      <c r="P2" s="7">
        <v>32.612620210124575</v>
      </c>
      <c r="Q2" s="7"/>
      <c r="R2" s="34">
        <v>1.8208100000000001E-2</v>
      </c>
      <c r="S2" s="7">
        <f>120-112.3</f>
        <v>7.7000000000000028</v>
      </c>
      <c r="T2" s="34">
        <f>[1]Sheet8!$G$2</f>
        <v>151.65891062929668</v>
      </c>
      <c r="U2" s="34">
        <v>-65.2</v>
      </c>
      <c r="V2" s="34">
        <f>49.7+15.8</f>
        <v>65.5</v>
      </c>
      <c r="W2" s="34">
        <v>96.9</v>
      </c>
      <c r="X2" s="34">
        <v>37.4</v>
      </c>
      <c r="Y2" s="34">
        <v>25</v>
      </c>
      <c r="Z2" s="34">
        <f>70.01-60.92</f>
        <v>9.0900000000000034</v>
      </c>
      <c r="AA2" s="34">
        <f>156.08/2</f>
        <v>78.040000000000006</v>
      </c>
      <c r="AB2" s="34">
        <v>1.0000000000000001E-5</v>
      </c>
      <c r="AC2" s="34"/>
      <c r="AD2" s="34"/>
      <c r="AE2" s="34"/>
      <c r="AF2" s="34"/>
      <c r="AG2" s="34"/>
      <c r="AH2" s="34"/>
      <c r="AI2" s="6">
        <v>1</v>
      </c>
      <c r="AJ2" s="7" t="s">
        <v>30</v>
      </c>
      <c r="AK2" s="34">
        <v>3</v>
      </c>
      <c r="AL2" s="7">
        <v>0.15</v>
      </c>
      <c r="AM2" s="34">
        <v>102.63779123473267</v>
      </c>
      <c r="AN2" s="34">
        <v>25</v>
      </c>
      <c r="AO2" s="34">
        <v>1.4358890909090911</v>
      </c>
      <c r="AP2" s="34">
        <v>-7.8094600000000014</v>
      </c>
      <c r="AQ2" s="7">
        <v>3</v>
      </c>
      <c r="AR2" s="7">
        <v>6.05</v>
      </c>
      <c r="AS2" s="7" t="s">
        <v>31</v>
      </c>
      <c r="AT2" s="34">
        <f>(0.0017/0.00000000002)/1000000</f>
        <v>85</v>
      </c>
      <c r="AU2" s="34">
        <v>113.05898249484166</v>
      </c>
      <c r="AV2" s="34">
        <v>45.777065690089444</v>
      </c>
      <c r="AW2" s="34">
        <v>47.785732310286164</v>
      </c>
      <c r="AX2" s="34">
        <v>50.066064513770904</v>
      </c>
      <c r="AY2" s="34">
        <v>43.245482380948118</v>
      </c>
      <c r="AZ2" s="34">
        <v>1.7831300000000001E-2</v>
      </c>
      <c r="BA2" s="7">
        <v>1.5</v>
      </c>
      <c r="BB2" s="34">
        <f t="shared" ref="BB2:BB18" si="0">(AZ2/AT2)*1000000</f>
        <v>209.78</v>
      </c>
      <c r="BC2" s="15">
        <v>-66.3</v>
      </c>
      <c r="BD2" s="34">
        <v>53.383559090909102</v>
      </c>
      <c r="BE2" s="34">
        <v>93</v>
      </c>
      <c r="BF2" s="34">
        <v>48.1</v>
      </c>
      <c r="BG2" s="34">
        <v>23.75</v>
      </c>
      <c r="BH2" s="34">
        <v>4.8500000000000085</v>
      </c>
      <c r="BI2" s="34">
        <v>64.245000000000005</v>
      </c>
      <c r="BJ2" s="34">
        <v>1.0000000000000001E-5</v>
      </c>
      <c r="BK2" s="34"/>
      <c r="BL2" s="34"/>
      <c r="BM2" s="34"/>
      <c r="BN2" s="34"/>
    </row>
    <row r="3" spans="1:66" x14ac:dyDescent="0.3">
      <c r="A3" s="6">
        <v>2</v>
      </c>
      <c r="B3" s="7" t="s">
        <v>32</v>
      </c>
      <c r="C3" s="34">
        <v>3</v>
      </c>
      <c r="D3" s="8">
        <v>1.4</v>
      </c>
      <c r="E3" s="34">
        <v>122.9105211406097</v>
      </c>
      <c r="F3" s="8">
        <v>29</v>
      </c>
      <c r="G3" s="8">
        <v>1.1895036666666665</v>
      </c>
      <c r="H3" s="8">
        <v>-7.1390068965517246</v>
      </c>
      <c r="I3" s="7">
        <v>3</v>
      </c>
      <c r="J3" s="7">
        <v>3.05</v>
      </c>
      <c r="K3" s="7" t="s">
        <v>0</v>
      </c>
      <c r="L3" s="34">
        <f>(0.00647/0.0000000001)/1000000</f>
        <v>64.7</v>
      </c>
      <c r="M3" s="34">
        <v>85.928817008238866</v>
      </c>
      <c r="N3" s="34">
        <v>52.90165582182717</v>
      </c>
      <c r="O3" s="8">
        <v>36.601035346339991</v>
      </c>
      <c r="P3" s="8">
        <v>57.160249562243465</v>
      </c>
      <c r="Q3" s="34">
        <v>34.046266666252833</v>
      </c>
      <c r="R3" s="9">
        <v>1.53467E-2</v>
      </c>
      <c r="S3" s="8">
        <f>123.2-114.4</f>
        <v>8.7999999999999972</v>
      </c>
      <c r="T3" s="34">
        <v>237.19783616692425</v>
      </c>
      <c r="U3" s="34">
        <v>-65</v>
      </c>
      <c r="V3" s="34">
        <f>50.4+28.2</f>
        <v>78.599999999999994</v>
      </c>
      <c r="W3" s="34">
        <v>205.7</v>
      </c>
      <c r="X3" s="34">
        <v>65.3</v>
      </c>
      <c r="Y3" s="34">
        <v>18.399999999999999</v>
      </c>
      <c r="Z3" s="34">
        <f>70.13-63.42</f>
        <v>6.7099999999999937</v>
      </c>
      <c r="AA3" s="34">
        <f>156.5/2</f>
        <v>78.25</v>
      </c>
      <c r="AB3" s="34">
        <v>1.0000000000000001E-5</v>
      </c>
      <c r="AC3" s="34"/>
      <c r="AD3" s="34"/>
      <c r="AE3" s="34"/>
      <c r="AF3" s="34"/>
      <c r="AG3" s="34"/>
      <c r="AH3" s="34"/>
      <c r="AI3" s="6">
        <v>2</v>
      </c>
      <c r="AJ3" s="7" t="s">
        <v>33</v>
      </c>
      <c r="AK3" s="34">
        <v>3</v>
      </c>
      <c r="AL3" s="8">
        <v>0.43</v>
      </c>
      <c r="AM3" s="34">
        <v>112.04481792717073</v>
      </c>
      <c r="AN3" s="34">
        <v>24</v>
      </c>
      <c r="AO3" s="34">
        <v>1.0472443333333332</v>
      </c>
      <c r="AP3" s="34">
        <v>-6.9874517241379301</v>
      </c>
      <c r="AQ3" s="7">
        <v>3</v>
      </c>
      <c r="AR3" s="7">
        <v>6.1</v>
      </c>
      <c r="AS3" s="7" t="s">
        <v>31</v>
      </c>
      <c r="AT3" s="34">
        <v>47.6</v>
      </c>
      <c r="AU3" s="34">
        <v>92.214796550053876</v>
      </c>
      <c r="AV3" s="34">
        <v>44.939780693870311</v>
      </c>
      <c r="AW3" s="34">
        <v>29.53707288819966</v>
      </c>
      <c r="AX3" s="34">
        <v>49.337156470038387</v>
      </c>
      <c r="AY3" s="34">
        <v>25.765695733953411</v>
      </c>
      <c r="AZ3" s="9">
        <v>1.03569E-2</v>
      </c>
      <c r="BA3" s="8">
        <f>109.67-108.5</f>
        <v>1.1700000000000017</v>
      </c>
      <c r="BB3" s="34">
        <f t="shared" si="0"/>
        <v>217.58193277310923</v>
      </c>
      <c r="BC3" s="15">
        <v>-66.099999999999994</v>
      </c>
      <c r="BD3" s="17">
        <v>64.790856666666656</v>
      </c>
      <c r="BE3" s="15">
        <v>143.30000000000001</v>
      </c>
      <c r="BF3" s="15">
        <v>74.5</v>
      </c>
      <c r="BG3" s="34">
        <v>15.454545454545455</v>
      </c>
      <c r="BH3" s="34">
        <v>4.8900000000000006</v>
      </c>
      <c r="BI3" s="34">
        <v>54.36</v>
      </c>
      <c r="BJ3" s="34">
        <v>1.0000000000000001E-5</v>
      </c>
      <c r="BK3" s="34"/>
      <c r="BL3" s="34"/>
      <c r="BM3" s="34"/>
      <c r="BN3" s="34"/>
    </row>
    <row r="4" spans="1:66" x14ac:dyDescent="0.3">
      <c r="A4" s="6">
        <v>3</v>
      </c>
      <c r="B4" s="7" t="s">
        <v>34</v>
      </c>
      <c r="C4" s="34">
        <v>3</v>
      </c>
      <c r="D4" s="8">
        <v>0.36</v>
      </c>
      <c r="E4" s="8">
        <v>138.66258572218629</v>
      </c>
      <c r="F4" s="8">
        <v>22</v>
      </c>
      <c r="G4" s="8">
        <v>0.98629673333333345</v>
      </c>
      <c r="H4" s="8">
        <v>-5.3563655172413771</v>
      </c>
      <c r="I4" s="8">
        <v>3</v>
      </c>
      <c r="J4" s="7">
        <v>3.1</v>
      </c>
      <c r="K4" s="7" t="s">
        <v>0</v>
      </c>
      <c r="L4" s="34">
        <f>(0.00528/0.0000000001)/1000000</f>
        <v>52.8</v>
      </c>
      <c r="M4" s="34">
        <v>138.66258572218629</v>
      </c>
      <c r="N4" s="34">
        <v>46.74207721791155</v>
      </c>
      <c r="O4" s="34"/>
      <c r="P4" s="8">
        <v>42.84169722220431</v>
      </c>
      <c r="Q4" s="8">
        <v>38.353048866016657</v>
      </c>
      <c r="R4" s="34">
        <v>1.2986599999999999E-2</v>
      </c>
      <c r="S4" s="8">
        <f>105.7-98.6</f>
        <v>7.1000000000000085</v>
      </c>
      <c r="T4" s="34">
        <v>212.89508196721309</v>
      </c>
      <c r="U4" s="34">
        <v>-65</v>
      </c>
      <c r="V4" s="34">
        <f>45.29+26.47</f>
        <v>71.759999999999991</v>
      </c>
      <c r="W4" s="34">
        <v>168.7</v>
      </c>
      <c r="X4" s="34">
        <v>72.599999999999994</v>
      </c>
      <c r="Y4" s="34">
        <v>25.757575760000002</v>
      </c>
      <c r="Z4" s="34">
        <f>67.7-63.69</f>
        <v>4.0100000000000051</v>
      </c>
      <c r="AA4" s="34">
        <f>93.05/2</f>
        <v>46.524999999999999</v>
      </c>
      <c r="AB4" s="34">
        <v>1.0000000000000001E-5</v>
      </c>
      <c r="AC4" s="34"/>
      <c r="AD4" s="34"/>
      <c r="AE4" s="34"/>
      <c r="AF4" s="34"/>
      <c r="AG4" s="34"/>
      <c r="AH4" s="34"/>
      <c r="AI4" s="6">
        <v>3</v>
      </c>
      <c r="AJ4" s="7" t="s">
        <v>35</v>
      </c>
      <c r="AK4" s="34">
        <v>3</v>
      </c>
      <c r="AL4" s="8">
        <v>0.9</v>
      </c>
      <c r="AM4" s="34">
        <v>110.90163025396478</v>
      </c>
      <c r="AN4" s="34">
        <v>21</v>
      </c>
      <c r="AO4" s="34">
        <v>1.2507579999999996</v>
      </c>
      <c r="AP4" s="34">
        <v>-3.1778999999999984</v>
      </c>
      <c r="AQ4" s="7">
        <v>3</v>
      </c>
      <c r="AR4" s="7">
        <v>6.15</v>
      </c>
      <c r="AS4" s="7" t="s">
        <v>31</v>
      </c>
      <c r="AT4" s="15">
        <v>51.8</v>
      </c>
      <c r="AU4" s="34">
        <v>166.57421218663774</v>
      </c>
      <c r="AV4" s="34">
        <v>41.701417848206809</v>
      </c>
      <c r="AW4" s="34">
        <v>58.105359002158444</v>
      </c>
      <c r="AX4" s="34">
        <v>44.032842462630597</v>
      </c>
      <c r="AY4" s="34">
        <v>62.816280028495441</v>
      </c>
      <c r="AZ4" s="34">
        <v>6.1029400000000003E-3</v>
      </c>
      <c r="BA4" s="34">
        <v>1E-4</v>
      </c>
      <c r="BB4" s="34">
        <f t="shared" si="0"/>
        <v>117.81737451737452</v>
      </c>
      <c r="BC4" s="15">
        <v>-72</v>
      </c>
      <c r="BD4" s="34">
        <v>50.626626666666667</v>
      </c>
      <c r="BE4" s="15">
        <v>98.6</v>
      </c>
      <c r="BF4" s="15">
        <v>55</v>
      </c>
      <c r="BG4" s="34">
        <v>28.333333333333332</v>
      </c>
      <c r="BH4" s="34">
        <v>2.0889999999999986</v>
      </c>
      <c r="BI4" s="34">
        <v>62.637365000000003</v>
      </c>
      <c r="BJ4" s="34">
        <v>1.0000000000000001E-5</v>
      </c>
      <c r="BK4" s="34"/>
      <c r="BL4" s="34"/>
      <c r="BM4" s="34"/>
      <c r="BN4" s="34"/>
    </row>
    <row r="5" spans="1:66" x14ac:dyDescent="0.3">
      <c r="A5" s="6">
        <v>4</v>
      </c>
      <c r="B5" s="7" t="s">
        <v>36</v>
      </c>
      <c r="C5" s="34">
        <v>3</v>
      </c>
      <c r="D5" s="8">
        <v>0.33</v>
      </c>
      <c r="E5" s="8">
        <v>151.05740181268936</v>
      </c>
      <c r="F5" s="8">
        <v>25</v>
      </c>
      <c r="G5" s="8">
        <v>1.0856079166666668</v>
      </c>
      <c r="H5" s="8">
        <v>-7.0721347826086944</v>
      </c>
      <c r="I5" s="8">
        <v>3</v>
      </c>
      <c r="J5" s="7">
        <v>3.15</v>
      </c>
      <c r="K5" s="7" t="s">
        <v>0</v>
      </c>
      <c r="L5" s="34">
        <f>(0.00467/0.0000000001)/1000000</f>
        <v>46.699999999999996</v>
      </c>
      <c r="M5" s="8">
        <v>96.827480458593911</v>
      </c>
      <c r="N5" s="8">
        <v>51.064698973599626</v>
      </c>
      <c r="O5" s="8">
        <v>30.765043223897777</v>
      </c>
      <c r="P5" s="8">
        <v>57.556769979018881</v>
      </c>
      <c r="Q5" s="8">
        <v>21.645961903995346</v>
      </c>
      <c r="R5" s="9">
        <v>1.36533E-2</v>
      </c>
      <c r="S5" s="34">
        <f>100.08-97.91</f>
        <v>2.1700000000000017</v>
      </c>
      <c r="T5" s="34">
        <v>292.36188436830838</v>
      </c>
      <c r="U5" s="34">
        <v>-60.9</v>
      </c>
      <c r="V5" s="34">
        <f>32.4+28.3</f>
        <v>60.7</v>
      </c>
      <c r="W5" s="34">
        <v>119.4</v>
      </c>
      <c r="X5" s="34">
        <v>57.3</v>
      </c>
      <c r="Y5" s="34">
        <v>18.18181818181818</v>
      </c>
      <c r="Z5" s="34">
        <f>63.55-61.16</f>
        <v>2.3900000000000006</v>
      </c>
      <c r="AA5" s="34">
        <f>90.47/2</f>
        <v>45.234999999999999</v>
      </c>
      <c r="AB5" s="34">
        <f>51.57-49.11</f>
        <v>2.4600000000000009</v>
      </c>
      <c r="AC5" s="34"/>
      <c r="AD5" s="34"/>
      <c r="AE5" s="34"/>
      <c r="AF5" s="34"/>
      <c r="AG5" s="34"/>
      <c r="AH5" s="34"/>
      <c r="AI5" s="6">
        <v>4</v>
      </c>
      <c r="AJ5" s="7" t="s">
        <v>37</v>
      </c>
      <c r="AK5" s="34">
        <v>3</v>
      </c>
      <c r="AL5" s="8">
        <v>0.12</v>
      </c>
      <c r="AM5" s="34">
        <v>110.21712774165096</v>
      </c>
      <c r="AN5" s="34">
        <v>23</v>
      </c>
      <c r="AO5" s="34">
        <v>1.1589092000000001</v>
      </c>
      <c r="AP5" s="34">
        <v>-11.591570833333334</v>
      </c>
      <c r="AQ5" s="7">
        <v>3</v>
      </c>
      <c r="AR5" s="7">
        <v>6.2</v>
      </c>
      <c r="AS5" s="7" t="s">
        <v>31</v>
      </c>
      <c r="AT5" s="15">
        <v>160.9</v>
      </c>
      <c r="AU5" s="34">
        <v>128.18426101553888</v>
      </c>
      <c r="AV5" s="34">
        <v>44.089766765133731</v>
      </c>
      <c r="AW5" s="34">
        <v>46.559098831906873</v>
      </c>
      <c r="AX5" s="34">
        <v>47.009370733252446</v>
      </c>
      <c r="AY5" s="34">
        <v>40.959328334943606</v>
      </c>
      <c r="AZ5" s="34">
        <v>2.5238300000000002E-2</v>
      </c>
      <c r="BA5" s="34">
        <f>141.1-122.4</f>
        <v>18.699999999999989</v>
      </c>
      <c r="BB5" s="34">
        <f t="shared" si="0"/>
        <v>156.85705407085146</v>
      </c>
      <c r="BC5" s="15">
        <v>-68</v>
      </c>
      <c r="BD5" s="34">
        <v>76.433104</v>
      </c>
      <c r="BE5" s="15">
        <v>175.8</v>
      </c>
      <c r="BF5" s="15">
        <v>75.5</v>
      </c>
      <c r="BG5" s="34">
        <v>17.552239233490404</v>
      </c>
      <c r="BH5" s="34">
        <v>9.9399999999999977</v>
      </c>
      <c r="BI5" s="34">
        <v>113</v>
      </c>
      <c r="BJ5" s="34">
        <v>1.0000000000000001E-5</v>
      </c>
      <c r="BK5" s="34"/>
      <c r="BL5" s="34"/>
      <c r="BM5" s="34"/>
      <c r="BN5" s="34"/>
    </row>
    <row r="6" spans="1:66" x14ac:dyDescent="0.3">
      <c r="A6" s="6">
        <v>5</v>
      </c>
      <c r="B6" s="7" t="s">
        <v>38</v>
      </c>
      <c r="C6" s="34">
        <v>3</v>
      </c>
      <c r="D6" s="8">
        <v>0.25</v>
      </c>
      <c r="E6" s="34">
        <v>135.2447930754665</v>
      </c>
      <c r="F6" s="8">
        <v>26</v>
      </c>
      <c r="G6" s="8">
        <v>1.1950000000000001</v>
      </c>
      <c r="H6" s="8">
        <v>-7.8070000000000004</v>
      </c>
      <c r="I6" s="8">
        <v>3</v>
      </c>
      <c r="J6" s="7">
        <v>3.2</v>
      </c>
      <c r="K6" s="7" t="s">
        <v>0</v>
      </c>
      <c r="L6" s="34">
        <f>(0.00814/0.0000000001)/1000000</f>
        <v>81.400000000000006</v>
      </c>
      <c r="M6" s="34">
        <v>123.2084915901869</v>
      </c>
      <c r="N6" s="34">
        <v>37.94638696326507</v>
      </c>
      <c r="O6" s="34">
        <v>41.517383479595537</v>
      </c>
      <c r="P6" s="34">
        <v>54.773227477637072</v>
      </c>
      <c r="Q6" s="34">
        <v>37.94638696326507</v>
      </c>
      <c r="R6" s="9">
        <v>1.6842599999999999E-2</v>
      </c>
      <c r="S6" s="8">
        <f>115.8-102.5</f>
        <v>13.299999999999997</v>
      </c>
      <c r="T6" s="34">
        <v>206.91154791154801</v>
      </c>
      <c r="U6" s="34">
        <v>-58</v>
      </c>
      <c r="V6" s="34">
        <f>36.69+25.54</f>
        <v>62.23</v>
      </c>
      <c r="W6" s="34">
        <v>114.8</v>
      </c>
      <c r="X6" s="34">
        <v>53.7</v>
      </c>
      <c r="Y6" s="34">
        <v>17.27272727272727</v>
      </c>
      <c r="Z6" s="34">
        <f>63.92-58.37</f>
        <v>5.5500000000000043</v>
      </c>
      <c r="AA6" s="34">
        <f>125/2</f>
        <v>62.5</v>
      </c>
      <c r="AB6" s="34">
        <f>52.28-51.95</f>
        <v>0.32999999999999829</v>
      </c>
      <c r="AC6" s="34"/>
      <c r="AD6" s="34"/>
      <c r="AE6" s="34"/>
      <c r="AF6" s="34"/>
      <c r="AG6" s="34"/>
      <c r="AH6" s="34"/>
      <c r="AI6" s="6">
        <v>5</v>
      </c>
      <c r="AJ6" s="7" t="s">
        <v>39</v>
      </c>
      <c r="AK6" s="34">
        <v>3</v>
      </c>
      <c r="AL6" s="8">
        <v>0.2</v>
      </c>
      <c r="AM6" s="34">
        <v>42.74417610600554</v>
      </c>
      <c r="AN6" s="34">
        <v>16</v>
      </c>
      <c r="AO6" s="34">
        <v>0.78696290000000013</v>
      </c>
      <c r="AP6" s="34">
        <v>-16.174316666666673</v>
      </c>
      <c r="AQ6" s="7">
        <v>3</v>
      </c>
      <c r="AR6" s="7">
        <v>6.25</v>
      </c>
      <c r="AS6" s="7" t="s">
        <v>31</v>
      </c>
      <c r="AT6" s="15">
        <v>89.6</v>
      </c>
      <c r="AU6" s="34">
        <v>91.551124469211729</v>
      </c>
      <c r="AV6" s="34">
        <v>32.621105855488473</v>
      </c>
      <c r="AW6" s="34">
        <v>65.630454844507298</v>
      </c>
      <c r="AX6" s="34">
        <v>33.772148991559966</v>
      </c>
      <c r="AY6" s="34">
        <v>67.844474162050943</v>
      </c>
      <c r="AZ6" s="9">
        <v>2.2071400000000001E-2</v>
      </c>
      <c r="BA6" s="34">
        <f>126.1-110</f>
        <v>16.099999999999994</v>
      </c>
      <c r="BB6" s="34">
        <f t="shared" si="0"/>
        <v>246.33258928571433</v>
      </c>
      <c r="BC6" s="15">
        <v>-73</v>
      </c>
      <c r="BD6" s="34">
        <v>58.83789666666668</v>
      </c>
      <c r="BE6" s="15">
        <v>147.19999999999999</v>
      </c>
      <c r="BF6" s="15">
        <v>91.8</v>
      </c>
      <c r="BG6" s="34">
        <v>36.666666666666664</v>
      </c>
      <c r="BH6" s="34">
        <v>6.5300000000000011</v>
      </c>
      <c r="BI6" s="34">
        <v>76.02</v>
      </c>
      <c r="BJ6" s="34">
        <v>0.78600000000000136</v>
      </c>
      <c r="BK6" s="34"/>
      <c r="BL6" s="34"/>
      <c r="BM6" s="34"/>
      <c r="BN6" s="34"/>
    </row>
    <row r="7" spans="1:66" x14ac:dyDescent="0.3">
      <c r="A7" s="6">
        <v>6</v>
      </c>
      <c r="B7" s="7" t="s">
        <v>40</v>
      </c>
      <c r="C7" s="34">
        <v>3</v>
      </c>
      <c r="D7" s="8">
        <v>0.06</v>
      </c>
      <c r="E7" s="34">
        <v>115.02185415228909</v>
      </c>
      <c r="F7" s="8">
        <v>25</v>
      </c>
      <c r="G7" s="34">
        <v>1.2506770833333332</v>
      </c>
      <c r="H7" s="8">
        <v>-15.188862500000001</v>
      </c>
      <c r="I7" s="8">
        <v>2</v>
      </c>
      <c r="J7" s="7">
        <v>3.25</v>
      </c>
      <c r="K7" s="7" t="s">
        <v>0</v>
      </c>
      <c r="L7" s="8">
        <v>88.33</v>
      </c>
      <c r="M7" s="34">
        <v>94.7278377539388</v>
      </c>
      <c r="N7" s="34">
        <v>49.265937530791206</v>
      </c>
      <c r="O7" s="34">
        <v>38.250522227164204</v>
      </c>
      <c r="P7" s="34">
        <v>49.523009066267491</v>
      </c>
      <c r="Q7" s="34">
        <v>32.418733783154018</v>
      </c>
      <c r="R7" s="34">
        <v>1.41269E-2</v>
      </c>
      <c r="S7" s="8">
        <f>137.33-135.04</f>
        <v>2.2900000000000205</v>
      </c>
      <c r="T7" s="34">
        <v>159.92716981132077</v>
      </c>
      <c r="U7" s="34">
        <v>-58</v>
      </c>
      <c r="V7" s="34">
        <f>34.8+40.3</f>
        <v>75.099999999999994</v>
      </c>
      <c r="W7" s="34">
        <v>151.5</v>
      </c>
      <c r="X7" s="34">
        <v>66.8</v>
      </c>
      <c r="Y7" s="34">
        <v>23.75</v>
      </c>
      <c r="Z7" s="34"/>
      <c r="AA7" s="34"/>
      <c r="AB7" s="34"/>
      <c r="AC7" s="34"/>
      <c r="AD7" s="34"/>
      <c r="AE7" s="34"/>
      <c r="AF7" s="34"/>
      <c r="AG7" s="34"/>
      <c r="AH7" s="34"/>
      <c r="AI7" s="6">
        <v>6</v>
      </c>
      <c r="AJ7" s="7" t="s">
        <v>41</v>
      </c>
      <c r="AK7" s="34">
        <v>3</v>
      </c>
      <c r="AL7" s="8">
        <v>0.22500000000000001</v>
      </c>
      <c r="AM7" s="34">
        <v>78.204426370532531</v>
      </c>
      <c r="AN7" s="34">
        <v>18</v>
      </c>
      <c r="AO7" s="34">
        <v>1.4000260000000002</v>
      </c>
      <c r="AP7" s="34">
        <v>-12.82754583333333</v>
      </c>
      <c r="AQ7" s="24">
        <v>2</v>
      </c>
      <c r="AR7" s="7">
        <v>6.3</v>
      </c>
      <c r="AS7" s="7" t="s">
        <v>31</v>
      </c>
      <c r="AT7" s="15">
        <v>117.8</v>
      </c>
      <c r="AU7" s="34">
        <v>146.45045631070948</v>
      </c>
      <c r="AV7" s="34">
        <v>35.737259666928779</v>
      </c>
      <c r="AW7" s="34">
        <v>55.332610478661039</v>
      </c>
      <c r="AX7" s="34">
        <v>37.590771422035807</v>
      </c>
      <c r="AY7" s="34">
        <v>48.983887883387276</v>
      </c>
      <c r="AZ7" s="34">
        <v>1.7332699999999999E-2</v>
      </c>
      <c r="BA7" s="34">
        <f>189.6-175.2</f>
        <v>14.400000000000006</v>
      </c>
      <c r="BB7" s="34">
        <f t="shared" si="0"/>
        <v>147.13667232597621</v>
      </c>
      <c r="BC7" s="15">
        <v>-60</v>
      </c>
      <c r="BD7" s="34">
        <v>47.026376000000006</v>
      </c>
      <c r="BE7" s="15">
        <v>81.099999999999994</v>
      </c>
      <c r="BF7" s="15">
        <v>48.4</v>
      </c>
      <c r="BG7" s="34">
        <v>31.111111111111111</v>
      </c>
      <c r="BH7" s="34">
        <v>4.1670000000000016</v>
      </c>
      <c r="BI7" s="34">
        <v>78.669484999999995</v>
      </c>
      <c r="BJ7" s="34">
        <v>1.0000000000000001E-5</v>
      </c>
      <c r="BK7" s="34"/>
      <c r="BL7" s="34"/>
      <c r="BM7" s="34"/>
      <c r="BN7" s="34"/>
    </row>
    <row r="8" spans="1:66" x14ac:dyDescent="0.3">
      <c r="A8" s="6">
        <v>7</v>
      </c>
      <c r="B8" s="7" t="s">
        <v>42</v>
      </c>
      <c r="C8" s="34">
        <v>3</v>
      </c>
      <c r="D8" s="8">
        <v>0.18</v>
      </c>
      <c r="E8" s="8">
        <v>110</v>
      </c>
      <c r="F8" s="8">
        <v>29</v>
      </c>
      <c r="G8" s="8">
        <v>1.1420199999999998</v>
      </c>
      <c r="H8" s="8">
        <v>-20.2611375</v>
      </c>
      <c r="I8" s="8">
        <v>2</v>
      </c>
      <c r="J8" s="7">
        <v>3.3</v>
      </c>
      <c r="K8" s="7" t="s">
        <v>0</v>
      </c>
      <c r="L8" s="8">
        <v>122</v>
      </c>
      <c r="M8" s="34">
        <v>96.679781130543205</v>
      </c>
      <c r="N8" s="34">
        <v>54.710581026370441</v>
      </c>
      <c r="O8" s="34">
        <v>49.263212126250615</v>
      </c>
      <c r="P8" s="34">
        <v>59.049966726885998</v>
      </c>
      <c r="Q8" s="34">
        <v>43.128537822097151</v>
      </c>
      <c r="R8" s="34">
        <v>2.4686300000000001E-2</v>
      </c>
      <c r="S8" s="34">
        <f>143.4-128.7</f>
        <v>14.700000000000017</v>
      </c>
      <c r="T8" s="34">
        <v>202.34672131147542</v>
      </c>
      <c r="U8" s="34">
        <v>-63.9</v>
      </c>
      <c r="V8" s="34">
        <f>43.5+37.3</f>
        <v>80.8</v>
      </c>
      <c r="W8" s="34">
        <v>193.9</v>
      </c>
      <c r="X8" s="34">
        <v>73.400000000000006</v>
      </c>
      <c r="Y8" s="34">
        <v>21.538461538461537</v>
      </c>
      <c r="Z8" s="34">
        <f>68.31-59.14</f>
        <v>9.1700000000000017</v>
      </c>
      <c r="AA8" s="34">
        <f>168.12/2</f>
        <v>84.06</v>
      </c>
      <c r="AB8" s="34">
        <f>63.775-63.484</f>
        <v>0.29099999999999682</v>
      </c>
      <c r="AC8" s="34"/>
      <c r="AD8" s="34"/>
      <c r="AE8" s="34"/>
      <c r="AF8" s="34"/>
      <c r="AG8" s="34"/>
      <c r="AH8" s="34"/>
      <c r="AI8" s="6">
        <v>7</v>
      </c>
      <c r="AJ8" s="7" t="s">
        <v>43</v>
      </c>
      <c r="AK8" s="34">
        <v>3</v>
      </c>
      <c r="AL8" s="8">
        <v>0.193</v>
      </c>
      <c r="AM8" s="34">
        <v>90.637179370978075</v>
      </c>
      <c r="AN8" s="34">
        <v>17</v>
      </c>
      <c r="AO8" s="34">
        <v>1.3265130000000001</v>
      </c>
      <c r="AP8" s="34">
        <v>-5.9461157894736854</v>
      </c>
      <c r="AQ8" s="8">
        <v>2</v>
      </c>
      <c r="AR8" s="7">
        <v>6.35</v>
      </c>
      <c r="AS8" s="7" t="s">
        <v>31</v>
      </c>
      <c r="AT8" s="8">
        <v>77.7</v>
      </c>
      <c r="AU8" s="34">
        <v>173.71239455746272</v>
      </c>
      <c r="AV8" s="34">
        <v>31.769228325444001</v>
      </c>
      <c r="AW8" s="34">
        <v>61.67247750619476</v>
      </c>
      <c r="AX8" s="34">
        <v>36.203422211125364</v>
      </c>
      <c r="AY8" s="34">
        <v>48.571091144626919</v>
      </c>
      <c r="AZ8" s="34">
        <v>1.4704200000000001E-2</v>
      </c>
      <c r="BA8" s="34">
        <f>138.57-128.51</f>
        <v>10.060000000000002</v>
      </c>
      <c r="BB8" s="34">
        <f t="shared" si="0"/>
        <v>189.24324324324326</v>
      </c>
      <c r="BC8" s="15">
        <v>-64.599999999999994</v>
      </c>
      <c r="BD8" s="34">
        <v>64.730820000000008</v>
      </c>
      <c r="BE8" s="34">
        <v>128.1</v>
      </c>
      <c r="BF8" s="34">
        <v>57.6</v>
      </c>
      <c r="BG8" s="34">
        <v>28.888888888888889</v>
      </c>
      <c r="BH8" s="34">
        <v>3.8799999999999955</v>
      </c>
      <c r="BI8" s="34">
        <v>75.190010000000001</v>
      </c>
      <c r="BJ8" s="34">
        <v>0.42999999999999972</v>
      </c>
      <c r="BK8" s="34"/>
      <c r="BL8" s="34"/>
      <c r="BM8" s="34"/>
      <c r="BN8" s="34"/>
    </row>
    <row r="9" spans="1:66" x14ac:dyDescent="0.3">
      <c r="A9" s="6">
        <v>8</v>
      </c>
      <c r="B9" s="7" t="s">
        <v>44</v>
      </c>
      <c r="C9" s="34">
        <v>3</v>
      </c>
      <c r="D9" s="8">
        <v>0.27</v>
      </c>
      <c r="E9" s="8">
        <v>141.63</v>
      </c>
      <c r="F9" s="8">
        <v>26</v>
      </c>
      <c r="G9" s="8">
        <v>1.0427513333333336</v>
      </c>
      <c r="H9" s="8">
        <v>-10.258113793103448</v>
      </c>
      <c r="I9" s="8">
        <v>2</v>
      </c>
      <c r="J9" s="7">
        <v>3.35</v>
      </c>
      <c r="K9" s="7" t="s">
        <v>0</v>
      </c>
      <c r="L9" s="34">
        <f>(0.00625/0.0000000001)/1000000</f>
        <v>62.5</v>
      </c>
      <c r="M9" s="34">
        <v>124.99758021054858</v>
      </c>
      <c r="N9" s="34">
        <v>49.925112331502817</v>
      </c>
      <c r="O9" s="8">
        <v>41.67872725936013</v>
      </c>
      <c r="P9" s="8">
        <v>53.219581502002427</v>
      </c>
      <c r="Q9" s="34">
        <v>39.35205248798411</v>
      </c>
      <c r="R9" s="34">
        <v>1.1476800000000001E-2</v>
      </c>
      <c r="S9" s="8">
        <f>118.4-112.5</f>
        <v>5.9000000000000057</v>
      </c>
      <c r="T9" s="34">
        <v>183.62880000000001</v>
      </c>
      <c r="U9" s="34">
        <v>-64.3</v>
      </c>
      <c r="V9" s="34">
        <f>44.2+33.2</f>
        <v>77.400000000000006</v>
      </c>
      <c r="W9" s="34">
        <v>192.2</v>
      </c>
      <c r="X9" s="34">
        <v>75.8</v>
      </c>
      <c r="Y9" s="34">
        <v>23.333333329999999</v>
      </c>
      <c r="Z9" s="34">
        <f>68.72-63.12</f>
        <v>5.6000000000000014</v>
      </c>
      <c r="AA9" s="34">
        <f>95.74/2</f>
        <v>47.87</v>
      </c>
      <c r="AB9" s="34">
        <f>54.7-53.03</f>
        <v>1.6700000000000017</v>
      </c>
      <c r="AC9" s="34"/>
      <c r="AD9" s="34"/>
      <c r="AE9" s="34"/>
      <c r="AF9" s="34"/>
      <c r="AG9" s="34"/>
      <c r="AH9" s="34"/>
      <c r="AI9" s="6">
        <v>8</v>
      </c>
      <c r="AJ9" s="7" t="s">
        <v>45</v>
      </c>
      <c r="AK9" s="34">
        <v>3</v>
      </c>
      <c r="AL9" s="8">
        <v>0.37</v>
      </c>
      <c r="AM9" s="34">
        <v>67.226890756302524</v>
      </c>
      <c r="AN9" s="34">
        <v>13</v>
      </c>
      <c r="AO9" s="34">
        <v>1.4607985185185184</v>
      </c>
      <c r="AP9" s="34">
        <v>-8.9745423076923068</v>
      </c>
      <c r="AQ9" s="8">
        <v>3</v>
      </c>
      <c r="AR9" s="7">
        <v>6.4</v>
      </c>
      <c r="AS9" s="7" t="s">
        <v>31</v>
      </c>
      <c r="AT9" s="8">
        <v>68.2</v>
      </c>
      <c r="AU9" s="34">
        <v>227.72860958831171</v>
      </c>
      <c r="AV9" s="34">
        <v>29.792939073439648</v>
      </c>
      <c r="AW9" s="34">
        <v>73.301080146631165</v>
      </c>
      <c r="AX9" s="34">
        <v>30.471434164217531</v>
      </c>
      <c r="AY9" s="34">
        <v>68.043744534315891</v>
      </c>
      <c r="AZ9" s="34">
        <v>1.64937E-2</v>
      </c>
      <c r="BA9" s="8">
        <f>134.4-126.5</f>
        <v>7.9000000000000057</v>
      </c>
      <c r="BB9" s="34">
        <f t="shared" si="0"/>
        <v>241.84310850439883</v>
      </c>
      <c r="BC9" s="15">
        <v>-65</v>
      </c>
      <c r="BD9" s="34">
        <v>53.335685185185184</v>
      </c>
      <c r="BE9" s="34">
        <v>89.2</v>
      </c>
      <c r="BF9" s="34">
        <v>48</v>
      </c>
      <c r="BG9" s="34">
        <v>32</v>
      </c>
      <c r="BH9" s="34">
        <v>3.2499999999999929</v>
      </c>
      <c r="BI9" s="34">
        <v>82.601534999999998</v>
      </c>
      <c r="BJ9" s="34">
        <v>1.5</v>
      </c>
      <c r="BK9" s="34"/>
      <c r="BL9" s="34"/>
      <c r="BM9" s="34"/>
      <c r="BN9" s="34"/>
    </row>
    <row r="10" spans="1:66" x14ac:dyDescent="0.3">
      <c r="A10" s="6">
        <v>9</v>
      </c>
      <c r="B10" s="7" t="s">
        <v>46</v>
      </c>
      <c r="C10" s="34">
        <v>3</v>
      </c>
      <c r="D10" s="8">
        <v>0.35</v>
      </c>
      <c r="E10" s="34">
        <v>126.1352169525732</v>
      </c>
      <c r="F10" s="8">
        <v>23</v>
      </c>
      <c r="G10" s="8">
        <v>1.0872793333333333</v>
      </c>
      <c r="H10" s="8">
        <v>-11.768600000000003</v>
      </c>
      <c r="I10" s="8">
        <v>3</v>
      </c>
      <c r="J10" s="7">
        <v>3.4</v>
      </c>
      <c r="K10" s="7" t="s">
        <v>0</v>
      </c>
      <c r="L10" s="8">
        <v>57.2</v>
      </c>
      <c r="M10" s="34">
        <v>89.372615430796913</v>
      </c>
      <c r="N10" s="34">
        <v>42.545949625595611</v>
      </c>
      <c r="O10" s="34">
        <v>32.951694898611805</v>
      </c>
      <c r="P10" s="34">
        <v>49.210881469075986</v>
      </c>
      <c r="Q10" s="34">
        <v>24.193729073378524</v>
      </c>
      <c r="R10" s="34">
        <v>1.44984E-2</v>
      </c>
      <c r="S10" s="34">
        <f>104.07-102.23</f>
        <v>1.8399999999999892</v>
      </c>
      <c r="T10" s="34">
        <v>253.46853146853147</v>
      </c>
      <c r="U10" s="34">
        <v>-65</v>
      </c>
      <c r="V10" s="34">
        <f>40+41.2</f>
        <v>81.2</v>
      </c>
      <c r="W10" s="34">
        <v>168.5</v>
      </c>
      <c r="X10" s="34">
        <v>75.400000000000006</v>
      </c>
      <c r="Y10" s="34">
        <v>15.65217391</v>
      </c>
      <c r="Z10" s="34">
        <f>70.21-64.944</f>
        <v>5.2659999999999911</v>
      </c>
      <c r="AA10" s="34">
        <f>205/2</f>
        <v>102.5</v>
      </c>
      <c r="AB10" s="34">
        <f>56.56-55.85</f>
        <v>0.71000000000000085</v>
      </c>
      <c r="AC10" s="34"/>
      <c r="AD10" s="34"/>
      <c r="AE10" s="34"/>
      <c r="AF10" s="34"/>
      <c r="AG10" s="34"/>
      <c r="AH10" s="34"/>
      <c r="AI10" s="6">
        <v>9</v>
      </c>
      <c r="AJ10" s="7" t="s">
        <v>47</v>
      </c>
      <c r="AK10" s="34">
        <v>3</v>
      </c>
      <c r="AL10" s="8">
        <v>0.35</v>
      </c>
      <c r="AM10" s="34">
        <v>117.564072419469</v>
      </c>
      <c r="AN10" s="34">
        <v>27</v>
      </c>
      <c r="AO10" s="34">
        <v>0.80528522222222232</v>
      </c>
      <c r="AP10" s="34">
        <v>-16.350655555555552</v>
      </c>
      <c r="AQ10" s="8">
        <v>2</v>
      </c>
      <c r="AR10" s="7">
        <v>6.45</v>
      </c>
      <c r="AS10" s="7" t="s">
        <v>31</v>
      </c>
      <c r="AT10" s="8">
        <v>70</v>
      </c>
      <c r="AU10" s="34">
        <v>73.593853941018423</v>
      </c>
      <c r="AV10" s="34">
        <v>51.816156277527391</v>
      </c>
      <c r="AW10" s="34">
        <v>30.843542435344453</v>
      </c>
      <c r="AX10" s="34">
        <v>54.507303433487827</v>
      </c>
      <c r="AY10" s="34">
        <v>27.031947395669356</v>
      </c>
      <c r="AZ10" s="34">
        <v>9.3377300000000007E-3</v>
      </c>
      <c r="BA10" s="34">
        <f>116.16-108.37</f>
        <v>7.789999999999992</v>
      </c>
      <c r="BB10" s="34">
        <f t="shared" si="0"/>
        <v>133.39614285714288</v>
      </c>
      <c r="BC10" s="15">
        <v>-64.87</v>
      </c>
      <c r="BD10" s="34">
        <v>75.873488888888886</v>
      </c>
      <c r="BE10" s="34">
        <v>242.83</v>
      </c>
      <c r="BF10" s="34">
        <v>108.28</v>
      </c>
      <c r="BG10" s="34">
        <v>16.666666666666668</v>
      </c>
      <c r="BH10" s="34">
        <v>7.2740000000000009</v>
      </c>
      <c r="BI10" s="34">
        <v>65.582104999999999</v>
      </c>
      <c r="BJ10" s="34">
        <v>0.27499999999999858</v>
      </c>
      <c r="BK10" s="34"/>
      <c r="BL10" s="34"/>
      <c r="BM10" s="34"/>
      <c r="BN10" s="34"/>
    </row>
    <row r="11" spans="1:66" x14ac:dyDescent="0.3">
      <c r="A11" s="6">
        <v>10</v>
      </c>
      <c r="B11" s="7" t="s">
        <v>48</v>
      </c>
      <c r="C11" s="34">
        <v>3</v>
      </c>
      <c r="D11" s="10">
        <v>0.48</v>
      </c>
      <c r="E11" s="10">
        <v>120.90436464756397</v>
      </c>
      <c r="F11" s="10">
        <v>25</v>
      </c>
      <c r="G11" s="10">
        <v>1.0085</v>
      </c>
      <c r="H11" s="10">
        <v>13.964</v>
      </c>
      <c r="I11" s="10">
        <v>3</v>
      </c>
      <c r="J11" s="7">
        <v>3.45</v>
      </c>
      <c r="K11" s="7" t="s">
        <v>0</v>
      </c>
      <c r="L11" s="34">
        <f>(0.00497/0.0000000001)/1000000</f>
        <v>49.699999999999996</v>
      </c>
      <c r="M11" s="34">
        <v>102.35746902775114</v>
      </c>
      <c r="N11" s="34">
        <v>49.171460884102892</v>
      </c>
      <c r="O11" s="34">
        <v>37.667935620091164</v>
      </c>
      <c r="P11" s="34">
        <v>62.932021233446413</v>
      </c>
      <c r="Q11" s="34">
        <v>33.375646368437671</v>
      </c>
      <c r="R11" s="34">
        <v>1.42325E-2</v>
      </c>
      <c r="S11" s="11">
        <f>105.1-102.55</f>
        <v>2.5499999999999972</v>
      </c>
      <c r="T11" s="34">
        <v>286.36799999999999</v>
      </c>
      <c r="U11" s="12">
        <v>-63.9</v>
      </c>
      <c r="V11" s="34">
        <f>31.87+42.71</f>
        <v>74.58</v>
      </c>
      <c r="W11" s="13">
        <v>172.4</v>
      </c>
      <c r="X11" s="34">
        <v>81.2</v>
      </c>
      <c r="Y11" s="34">
        <v>23.15789474</v>
      </c>
      <c r="Z11" s="34">
        <f>66.86-61.48</f>
        <v>5.3800000000000026</v>
      </c>
      <c r="AA11" s="34">
        <f>156.37/2</f>
        <v>78.185000000000002</v>
      </c>
      <c r="AB11" s="34">
        <f>57.51-56.6</f>
        <v>0.90999999999999659</v>
      </c>
      <c r="AC11" s="34"/>
      <c r="AD11" s="34"/>
      <c r="AE11" s="34"/>
      <c r="AF11" s="34"/>
      <c r="AG11" s="34"/>
      <c r="AH11" s="34"/>
      <c r="AI11" s="6">
        <v>10</v>
      </c>
      <c r="AJ11" s="7" t="s">
        <v>49</v>
      </c>
      <c r="AK11" s="34">
        <v>3</v>
      </c>
      <c r="AL11" s="10">
        <v>0.67</v>
      </c>
      <c r="AM11" s="34">
        <v>132.27513227513222</v>
      </c>
      <c r="AN11" s="34">
        <v>31</v>
      </c>
      <c r="AO11" s="34">
        <v>0.91917976470588258</v>
      </c>
      <c r="AP11" s="34">
        <v>-12.113676470588233</v>
      </c>
      <c r="AQ11" s="8">
        <v>2</v>
      </c>
      <c r="AR11" s="7">
        <v>6.5</v>
      </c>
      <c r="AS11" s="7" t="s">
        <v>31</v>
      </c>
      <c r="AT11" s="34">
        <v>57.4</v>
      </c>
      <c r="AU11" s="34">
        <v>100.3338517488975</v>
      </c>
      <c r="AV11" s="34">
        <v>54.996425232359918</v>
      </c>
      <c r="AW11" s="34">
        <v>42.096397839996477</v>
      </c>
      <c r="AX11" s="34">
        <v>62.257869837245941</v>
      </c>
      <c r="AY11" s="34">
        <v>33.687063528484508</v>
      </c>
      <c r="AZ11" s="34">
        <v>1.29012E-2</v>
      </c>
      <c r="BA11" s="34">
        <f>116.19-112.14</f>
        <v>4.0499999999999972</v>
      </c>
      <c r="BB11" s="34">
        <f t="shared" si="0"/>
        <v>224.75958188153311</v>
      </c>
      <c r="BC11" s="12">
        <v>-68.2</v>
      </c>
      <c r="BD11" s="34">
        <v>65.368652941176492</v>
      </c>
      <c r="BE11" s="13">
        <v>158.69999999999999</v>
      </c>
      <c r="BF11" s="34">
        <v>90</v>
      </c>
      <c r="BG11" s="34">
        <v>21.666666666666668</v>
      </c>
      <c r="BH11" s="34">
        <v>5.0900000000000034</v>
      </c>
      <c r="BI11" s="34">
        <v>66.226915000000005</v>
      </c>
      <c r="BJ11" s="34">
        <v>1.0000000000000001E-5</v>
      </c>
      <c r="BK11" s="34"/>
      <c r="BL11" s="34"/>
      <c r="BM11" s="34"/>
      <c r="BN11" s="34"/>
    </row>
    <row r="12" spans="1:66" x14ac:dyDescent="0.3">
      <c r="A12" s="6">
        <v>11</v>
      </c>
      <c r="B12" s="7" t="s">
        <v>50</v>
      </c>
      <c r="C12" s="34">
        <v>3</v>
      </c>
      <c r="D12" s="10">
        <v>0.09</v>
      </c>
      <c r="E12" s="34">
        <v>103.45541071798058</v>
      </c>
      <c r="F12" s="10">
        <v>20</v>
      </c>
      <c r="G12" s="10">
        <v>1.4664000000000001</v>
      </c>
      <c r="H12" s="10">
        <v>-10.903752941176469</v>
      </c>
      <c r="I12" s="10">
        <v>3</v>
      </c>
      <c r="J12" s="7">
        <v>3.5</v>
      </c>
      <c r="K12" s="7" t="s">
        <v>0</v>
      </c>
      <c r="L12" s="34">
        <f>(0.01891/0.0000000001)/1000000</f>
        <v>189.1</v>
      </c>
      <c r="M12" s="34">
        <v>195.9989469896407</v>
      </c>
      <c r="N12" s="34">
        <v>35.273368606701915</v>
      </c>
      <c r="O12" s="34">
        <v>64.723825497101359</v>
      </c>
      <c r="P12" s="34">
        <v>64.483783630286567</v>
      </c>
      <c r="Q12" s="34">
        <v>51.248707317573263</v>
      </c>
      <c r="R12" s="34">
        <v>2.8678700000000001E-2</v>
      </c>
      <c r="S12" s="10">
        <f>166.15-151.1</f>
        <v>15.050000000000011</v>
      </c>
      <c r="T12" s="14">
        <v>151.65891062929668</v>
      </c>
      <c r="U12" s="15">
        <v>-65</v>
      </c>
      <c r="V12" s="34">
        <f>39.1+37.9</f>
        <v>77</v>
      </c>
      <c r="W12" s="34">
        <v>135.6</v>
      </c>
      <c r="X12" s="34">
        <v>47.8</v>
      </c>
      <c r="Y12" s="34">
        <v>37.142857139999997</v>
      </c>
      <c r="Z12" s="34">
        <f>65.51-64.95</f>
        <v>0.56000000000000227</v>
      </c>
      <c r="AA12" s="34">
        <f>36.11/2</f>
        <v>18.055</v>
      </c>
      <c r="AB12" s="34">
        <f>55.47-53.814</f>
        <v>1.6559999999999988</v>
      </c>
      <c r="AC12" s="34"/>
      <c r="AD12" s="34"/>
      <c r="AE12" s="34"/>
      <c r="AF12" s="34" t="s">
        <v>51</v>
      </c>
      <c r="AG12" s="34"/>
      <c r="AH12" s="34"/>
      <c r="AI12" s="6">
        <v>11</v>
      </c>
      <c r="AJ12" s="7" t="s">
        <v>52</v>
      </c>
      <c r="AK12" s="34">
        <v>3</v>
      </c>
      <c r="AL12" s="10">
        <v>0.49</v>
      </c>
      <c r="AM12" s="34">
        <v>139.0047261606897</v>
      </c>
      <c r="AN12" s="34">
        <v>33</v>
      </c>
      <c r="AO12" s="34">
        <v>0.7873917241379309</v>
      </c>
      <c r="AP12" s="34">
        <v>-15.096734482758624</v>
      </c>
      <c r="AQ12" s="8">
        <v>2</v>
      </c>
      <c r="AR12" s="7">
        <v>6.55</v>
      </c>
      <c r="AS12" s="7" t="s">
        <v>31</v>
      </c>
      <c r="AT12" s="18">
        <v>50</v>
      </c>
      <c r="AU12" s="34">
        <v>70.415320892060564</v>
      </c>
      <c r="AV12" s="34">
        <v>63.271116735210576</v>
      </c>
      <c r="AW12" s="34">
        <v>30.339626480898261</v>
      </c>
      <c r="AX12" s="34">
        <v>67.771236789718856</v>
      </c>
      <c r="AY12" s="34">
        <v>28.47495494473857</v>
      </c>
      <c r="AZ12" s="34">
        <v>1.1332E-2</v>
      </c>
      <c r="BA12" s="10">
        <f>110-105.26</f>
        <v>4.7399999999999949</v>
      </c>
      <c r="BB12" s="34">
        <f t="shared" si="0"/>
        <v>226.64000000000001</v>
      </c>
      <c r="BC12" s="15">
        <v>-64.599999999999994</v>
      </c>
      <c r="BD12" s="34">
        <v>73.839920689655173</v>
      </c>
      <c r="BE12" s="34">
        <v>244.67</v>
      </c>
      <c r="BF12" s="34">
        <v>114.75</v>
      </c>
      <c r="BG12" s="34">
        <v>16.111111111111111</v>
      </c>
      <c r="BH12" s="34">
        <v>6.7019999999999982</v>
      </c>
      <c r="BI12" s="34">
        <v>56.111409999999999</v>
      </c>
      <c r="BJ12" s="34">
        <v>1.0000000000000001E-5</v>
      </c>
      <c r="BK12" s="34"/>
      <c r="BL12" s="34"/>
      <c r="BM12" s="34"/>
      <c r="BN12" s="34"/>
    </row>
    <row r="13" spans="1:66" x14ac:dyDescent="0.3">
      <c r="A13" s="6">
        <v>12</v>
      </c>
      <c r="B13" s="34"/>
      <c r="C13" s="34">
        <v>3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 t="s">
        <v>53</v>
      </c>
      <c r="AG13" s="34"/>
      <c r="AH13" s="34"/>
      <c r="AI13" s="6">
        <v>12</v>
      </c>
      <c r="AJ13" s="7" t="s">
        <v>54</v>
      </c>
      <c r="AK13" s="34">
        <v>3</v>
      </c>
      <c r="AL13" s="10">
        <v>0.37</v>
      </c>
      <c r="AM13" s="34">
        <v>108.18998160770319</v>
      </c>
      <c r="AN13" s="34">
        <v>28</v>
      </c>
      <c r="AO13" s="34">
        <v>0.96135249999999994</v>
      </c>
      <c r="AP13" s="34">
        <v>-10.653427272727273</v>
      </c>
      <c r="AQ13" s="8">
        <v>2</v>
      </c>
      <c r="AR13" s="7">
        <v>6.6</v>
      </c>
      <c r="AS13" s="7" t="s">
        <v>31</v>
      </c>
      <c r="AT13" s="10">
        <v>56</v>
      </c>
      <c r="AU13" s="34">
        <v>86.086095413210728</v>
      </c>
      <c r="AV13" s="34">
        <v>50.942435048395325</v>
      </c>
      <c r="AW13" s="34">
        <v>38.273365243423299</v>
      </c>
      <c r="AX13" s="34">
        <v>55.721003397224052</v>
      </c>
      <c r="AY13" s="34">
        <v>33.919961181954775</v>
      </c>
      <c r="AZ13" s="14">
        <v>1.6192600000000001E-2</v>
      </c>
      <c r="BA13" s="14">
        <f>115.83-113.2</f>
        <v>2.6299999999999955</v>
      </c>
      <c r="BB13" s="34">
        <f t="shared" si="0"/>
        <v>289.15357142857147</v>
      </c>
      <c r="BC13" s="15">
        <v>-66.7</v>
      </c>
      <c r="BD13" s="34">
        <v>55.225727272727269</v>
      </c>
      <c r="BE13" s="34">
        <v>139.80000000000001</v>
      </c>
      <c r="BF13" s="34">
        <v>85.1</v>
      </c>
      <c r="BG13" s="34">
        <v>20</v>
      </c>
      <c r="BH13" s="34">
        <v>4.0869999999999891</v>
      </c>
      <c r="BI13" s="34">
        <v>73.680000000000007</v>
      </c>
      <c r="BJ13" s="34">
        <v>1.0000000000000001E-5</v>
      </c>
      <c r="BK13" s="34"/>
      <c r="BL13" s="34"/>
      <c r="BM13" s="34"/>
      <c r="BN13" s="34"/>
    </row>
    <row r="14" spans="1:66" x14ac:dyDescent="0.3">
      <c r="A14" s="6">
        <v>13</v>
      </c>
      <c r="B14" s="24" t="s">
        <v>55</v>
      </c>
      <c r="C14" s="34">
        <v>3</v>
      </c>
      <c r="D14" s="24">
        <v>0.55000000000000004</v>
      </c>
      <c r="E14" s="34">
        <v>104.3841336116912</v>
      </c>
      <c r="F14" s="15">
        <v>21</v>
      </c>
      <c r="G14" s="34">
        <v>1.0732326086956518</v>
      </c>
      <c r="H14" s="34">
        <v>-9.1303045454545479</v>
      </c>
      <c r="I14" s="24">
        <v>3</v>
      </c>
      <c r="J14" s="7">
        <v>3.6</v>
      </c>
      <c r="K14" s="7" t="s">
        <v>0</v>
      </c>
      <c r="L14" s="34">
        <v>52.7</v>
      </c>
      <c r="M14" s="34">
        <v>86.190067931890027</v>
      </c>
      <c r="N14" s="34">
        <v>39.536630688332728</v>
      </c>
      <c r="O14" s="34">
        <f>0.0298289932523026*1000</f>
        <v>29.828993252302599</v>
      </c>
      <c r="P14" s="34">
        <v>43.006410260326511</v>
      </c>
      <c r="Q14" s="34">
        <v>24.539168222284086</v>
      </c>
      <c r="R14" s="34">
        <v>1.0788499999999999E-2</v>
      </c>
      <c r="S14" s="34">
        <f>114-110.74</f>
        <v>3.2600000000000051</v>
      </c>
      <c r="T14" s="34">
        <f>(R14/L14)*1000000</f>
        <v>204.71537001897531</v>
      </c>
      <c r="U14" s="15">
        <v>-63.1</v>
      </c>
      <c r="V14" s="34">
        <v>63.131582608695652</v>
      </c>
      <c r="W14" s="34">
        <v>154.5</v>
      </c>
      <c r="X14" s="34">
        <v>69.3</v>
      </c>
      <c r="Y14" s="34">
        <v>16.19047619047619</v>
      </c>
      <c r="Z14" s="34">
        <f>65.36-59.76</f>
        <v>5.6000000000000014</v>
      </c>
      <c r="AA14" s="34">
        <f>176.17/2</f>
        <v>88.084999999999994</v>
      </c>
      <c r="AB14" s="34">
        <v>1.0000000000000001E-5</v>
      </c>
      <c r="AC14" s="34"/>
      <c r="AD14" s="34"/>
      <c r="AE14" s="34"/>
      <c r="AF14" s="34" t="s">
        <v>56</v>
      </c>
      <c r="AG14" s="34"/>
      <c r="AH14" s="34"/>
      <c r="AI14" s="6">
        <v>13</v>
      </c>
      <c r="AJ14" s="24" t="s">
        <v>57</v>
      </c>
      <c r="AK14" s="34">
        <v>3</v>
      </c>
      <c r="AL14" s="24">
        <v>0.45</v>
      </c>
      <c r="AM14" s="34">
        <v>119.58861516383648</v>
      </c>
      <c r="AN14" s="34">
        <v>28</v>
      </c>
      <c r="AO14" s="34">
        <v>0.97377523333333349</v>
      </c>
      <c r="AP14" s="34">
        <v>-9.1808929580032093</v>
      </c>
      <c r="AQ14" s="24">
        <v>3</v>
      </c>
      <c r="AR14" s="7">
        <v>6.65</v>
      </c>
      <c r="AS14" s="7" t="s">
        <v>31</v>
      </c>
      <c r="AT14" s="35">
        <v>45.5</v>
      </c>
      <c r="AU14" s="34">
        <v>99.795520431750703</v>
      </c>
      <c r="AV14" s="34">
        <v>51.538421893521566</v>
      </c>
      <c r="AW14" s="34">
        <v>41.111287612228807</v>
      </c>
      <c r="AX14" s="34">
        <v>55.724852305077142</v>
      </c>
      <c r="AY14" s="34">
        <v>37.251694411344872</v>
      </c>
      <c r="AZ14" s="34">
        <v>1.30648E-2</v>
      </c>
      <c r="BA14" s="34">
        <f>112.31-109.92</f>
        <v>2.3900000000000006</v>
      </c>
      <c r="BB14" s="34">
        <f t="shared" si="0"/>
        <v>287.13846153846151</v>
      </c>
      <c r="BC14" s="15">
        <v>-64.8</v>
      </c>
      <c r="BD14" s="34">
        <v>59.936526666666651</v>
      </c>
      <c r="BE14" s="34">
        <v>130.5</v>
      </c>
      <c r="BF14" s="34">
        <v>79.7</v>
      </c>
      <c r="BG14" s="34">
        <v>20.90909090909091</v>
      </c>
      <c r="BH14" s="34">
        <v>5.0999999999999943</v>
      </c>
      <c r="BI14" s="34">
        <v>84.922084999999996</v>
      </c>
      <c r="BJ14" s="34">
        <v>1.0000000000000001E-5</v>
      </c>
      <c r="BK14" s="34"/>
      <c r="BL14" s="34"/>
      <c r="BM14" s="34"/>
      <c r="BN14" s="34"/>
    </row>
    <row r="15" spans="1:66" x14ac:dyDescent="0.3">
      <c r="A15" s="6">
        <v>14</v>
      </c>
      <c r="B15" s="24" t="s">
        <v>58</v>
      </c>
      <c r="C15" s="34">
        <v>3</v>
      </c>
      <c r="D15" s="24">
        <v>0.46</v>
      </c>
      <c r="E15" s="34">
        <v>94.759783947692625</v>
      </c>
      <c r="F15" s="15">
        <v>21</v>
      </c>
      <c r="G15" s="34">
        <v>1.0503516666666666</v>
      </c>
      <c r="H15" s="34">
        <v>-4.032524137931035</v>
      </c>
      <c r="I15" s="10">
        <v>3</v>
      </c>
      <c r="J15" s="7">
        <v>3.65</v>
      </c>
      <c r="K15" s="7" t="s">
        <v>0</v>
      </c>
      <c r="L15" s="34">
        <v>41.3</v>
      </c>
      <c r="M15" s="34">
        <v>84.260646174765981</v>
      </c>
      <c r="N15" s="34">
        <v>41.464527097068526</v>
      </c>
      <c r="O15" s="34">
        <v>34.389827211812545</v>
      </c>
      <c r="P15" s="34">
        <v>41.962914740784115</v>
      </c>
      <c r="Q15" s="34">
        <v>33.727115058327449</v>
      </c>
      <c r="R15" s="34">
        <v>9.2183600000000001E-3</v>
      </c>
      <c r="S15" s="34">
        <v>1E-4</v>
      </c>
      <c r="T15" s="34">
        <f>(R15/L15)*1000000</f>
        <v>223.20484261501213</v>
      </c>
      <c r="U15" s="15">
        <v>-63.19</v>
      </c>
      <c r="V15" s="34">
        <v>63.138836666666656</v>
      </c>
      <c r="W15" s="34">
        <v>163.5</v>
      </c>
      <c r="X15" s="34">
        <v>74.8</v>
      </c>
      <c r="Y15" s="34">
        <v>17.777777777777779</v>
      </c>
      <c r="Z15" s="34">
        <v>6.1800000000000068</v>
      </c>
      <c r="AA15" s="34">
        <f>164.9/2</f>
        <v>82.45</v>
      </c>
      <c r="AB15" s="34">
        <v>1.0000000000000001E-5</v>
      </c>
      <c r="AC15" s="34"/>
      <c r="AD15" s="34"/>
      <c r="AE15" s="34"/>
      <c r="AF15" s="34" t="s">
        <v>59</v>
      </c>
      <c r="AG15" s="34"/>
      <c r="AH15" s="34"/>
      <c r="AI15" s="6">
        <v>14</v>
      </c>
      <c r="AJ15" s="24" t="s">
        <v>60</v>
      </c>
      <c r="AK15" s="34">
        <v>3</v>
      </c>
      <c r="AL15" s="34">
        <v>0.25</v>
      </c>
      <c r="AM15" s="34">
        <v>95.147478591817148</v>
      </c>
      <c r="AN15" s="34">
        <v>26</v>
      </c>
      <c r="AO15" s="34">
        <v>1.0570581818181817</v>
      </c>
      <c r="AP15" s="34">
        <v>-13.49432272727273</v>
      </c>
      <c r="AQ15" s="24">
        <v>3</v>
      </c>
      <c r="AR15" s="7">
        <v>6.7</v>
      </c>
      <c r="AS15" s="7" t="s">
        <v>31</v>
      </c>
      <c r="AT15" s="34">
        <v>98.1</v>
      </c>
      <c r="AU15" s="34">
        <v>145.95965610795056</v>
      </c>
      <c r="AV15" s="34">
        <v>47.438330170777895</v>
      </c>
      <c r="AW15" s="34">
        <v>71.964899697943764</v>
      </c>
      <c r="AX15" s="34">
        <v>51.906628279548833</v>
      </c>
      <c r="AY15" s="34">
        <v>63.683480097696396</v>
      </c>
      <c r="AZ15" s="34">
        <v>1.6072199999999998E-2</v>
      </c>
      <c r="BA15" s="34">
        <f>151.1-135.9</f>
        <v>15.199999999999989</v>
      </c>
      <c r="BB15" s="34">
        <f t="shared" si="0"/>
        <v>163.83486238532112</v>
      </c>
      <c r="BC15" s="34">
        <v>-66.716977272727306</v>
      </c>
      <c r="BD15" s="34">
        <v>66.716977272727277</v>
      </c>
      <c r="BE15" s="34">
        <v>123</v>
      </c>
      <c r="BF15" s="34">
        <v>70.3</v>
      </c>
      <c r="BG15" s="34">
        <v>35</v>
      </c>
      <c r="BH15" s="34">
        <v>4.5570000000000022</v>
      </c>
      <c r="BI15" s="34">
        <v>94.92698</v>
      </c>
      <c r="BJ15" s="34">
        <v>1.0000000000000001E-5</v>
      </c>
      <c r="BK15" s="34"/>
      <c r="BL15" s="34"/>
      <c r="BM15" s="17"/>
      <c r="BN15" s="17"/>
    </row>
    <row r="16" spans="1:66" x14ac:dyDescent="0.3">
      <c r="A16" s="6">
        <v>15</v>
      </c>
      <c r="B16" s="24" t="s">
        <v>61</v>
      </c>
      <c r="C16" s="34">
        <v>3</v>
      </c>
      <c r="D16" s="24">
        <v>1.25</v>
      </c>
      <c r="E16" s="34">
        <v>131.09596224436262</v>
      </c>
      <c r="F16" s="15">
        <v>26</v>
      </c>
      <c r="G16" s="34">
        <v>0.95915493333333335</v>
      </c>
      <c r="H16" s="34">
        <v>-9.5256931034482779</v>
      </c>
      <c r="I16" s="24">
        <v>3</v>
      </c>
      <c r="J16" s="7">
        <v>3.7</v>
      </c>
      <c r="K16" s="7" t="s">
        <v>0</v>
      </c>
      <c r="L16" s="34"/>
      <c r="M16" s="34">
        <v>66.095632633497274</v>
      </c>
      <c r="N16" s="34">
        <v>48.787627457676834</v>
      </c>
      <c r="O16" s="34">
        <v>21.422137197544586</v>
      </c>
      <c r="P16" s="34">
        <v>53.904474963360116</v>
      </c>
      <c r="Q16" s="34">
        <v>18.813127635038676</v>
      </c>
      <c r="R16" s="34"/>
      <c r="S16" s="34">
        <v>1E-4</v>
      </c>
      <c r="T16" s="34"/>
      <c r="U16" s="15">
        <v>-68.900000000000006</v>
      </c>
      <c r="V16" s="34">
        <v>59.560143333333357</v>
      </c>
      <c r="W16" s="34">
        <v>148.16</v>
      </c>
      <c r="X16" s="34">
        <v>78.959999999999994</v>
      </c>
      <c r="Y16" s="34">
        <v>10.588235294117647</v>
      </c>
      <c r="Z16" s="34">
        <f>67.11-62.79</f>
        <v>4.32</v>
      </c>
      <c r="AA16" s="34">
        <f>115.4/2</f>
        <v>57.7</v>
      </c>
      <c r="AB16" s="34">
        <v>1.0000000000000001E-5</v>
      </c>
      <c r="AC16" s="34"/>
      <c r="AD16" s="34"/>
      <c r="AE16" s="34"/>
      <c r="AF16" s="34" t="s">
        <v>62</v>
      </c>
      <c r="AG16" s="34"/>
      <c r="AH16" s="34"/>
      <c r="AI16" s="6">
        <v>15</v>
      </c>
      <c r="AJ16" s="24" t="s">
        <v>63</v>
      </c>
      <c r="AK16" s="34">
        <v>3</v>
      </c>
      <c r="AL16" s="34">
        <v>0.2</v>
      </c>
      <c r="AM16" s="34">
        <v>130.0052002080082</v>
      </c>
      <c r="AN16" s="34">
        <v>28</v>
      </c>
      <c r="AO16" s="34">
        <v>1.0664890909090909</v>
      </c>
      <c r="AP16" s="34">
        <v>-6.7471590909090926</v>
      </c>
      <c r="AQ16" s="24">
        <v>3</v>
      </c>
      <c r="AR16" s="7">
        <v>6.75</v>
      </c>
      <c r="AS16" s="7" t="s">
        <v>31</v>
      </c>
      <c r="AT16" s="34">
        <v>77.66</v>
      </c>
      <c r="AU16" s="34">
        <v>76.321310891496552</v>
      </c>
      <c r="AV16" s="34">
        <v>53.14343412871338</v>
      </c>
      <c r="AW16" s="34">
        <v>30.462072012581174</v>
      </c>
      <c r="AX16" s="34">
        <v>57.172885213390423</v>
      </c>
      <c r="AY16" s="34">
        <v>27.555464874451658</v>
      </c>
      <c r="AZ16" s="34">
        <v>1.6740999999999999E-2</v>
      </c>
      <c r="BA16" s="34">
        <v>1E-4</v>
      </c>
      <c r="BB16" s="34">
        <f t="shared" si="0"/>
        <v>215.56785990213751</v>
      </c>
      <c r="BC16" s="34">
        <v>-66.819999999999993</v>
      </c>
      <c r="BD16" s="34">
        <v>63.92876363636362</v>
      </c>
      <c r="BE16" s="34">
        <v>134.30000000000001</v>
      </c>
      <c r="BF16" s="34">
        <v>68.099999999999994</v>
      </c>
      <c r="BG16" s="34">
        <v>15</v>
      </c>
      <c r="BH16" s="34">
        <v>8.2999999999999972</v>
      </c>
      <c r="BI16" s="34">
        <v>131.48515</v>
      </c>
      <c r="BJ16" s="34">
        <v>0.67999999999999972</v>
      </c>
      <c r="BK16" s="34"/>
      <c r="BL16" s="34"/>
      <c r="BM16" s="34"/>
      <c r="BN16" s="34"/>
    </row>
    <row r="17" spans="1:65" x14ac:dyDescent="0.3">
      <c r="A17" s="6">
        <v>16</v>
      </c>
      <c r="B17" s="24" t="s">
        <v>64</v>
      </c>
      <c r="C17" s="34">
        <v>3</v>
      </c>
      <c r="D17" s="24">
        <v>0.57999999999999996</v>
      </c>
      <c r="E17" s="34">
        <v>128.98232942086909</v>
      </c>
      <c r="F17" s="34">
        <v>26</v>
      </c>
      <c r="G17" s="34">
        <v>1.1003613333333333</v>
      </c>
      <c r="H17" s="34">
        <v>-9.2478724137931021</v>
      </c>
      <c r="I17" s="10">
        <v>3</v>
      </c>
      <c r="J17" s="7">
        <v>3.75</v>
      </c>
      <c r="K17" s="7" t="s">
        <v>0</v>
      </c>
      <c r="L17" s="34">
        <v>70.599999999999994</v>
      </c>
      <c r="M17" s="34">
        <v>91.481160293845761</v>
      </c>
      <c r="N17" s="34">
        <v>47.709923664122051</v>
      </c>
      <c r="O17" s="34">
        <v>32.287966252831055</v>
      </c>
      <c r="P17" s="34">
        <v>52.14115166923014</v>
      </c>
      <c r="Q17" s="34">
        <v>28.614095472321939</v>
      </c>
      <c r="R17" s="34">
        <v>1.6213399999999999E-2</v>
      </c>
      <c r="S17" s="34">
        <f>144.32-140.6</f>
        <v>3.7199999999999989</v>
      </c>
      <c r="T17" s="34">
        <f t="shared" ref="T17:T24" si="1">(R17/L17)*1000000</f>
        <v>229.6515580736544</v>
      </c>
      <c r="U17" s="15">
        <v>-66.5</v>
      </c>
      <c r="V17" s="34">
        <v>63.806149999999995</v>
      </c>
      <c r="W17" s="34">
        <v>149.30000000000001</v>
      </c>
      <c r="X17" s="34">
        <v>72.8</v>
      </c>
      <c r="Y17" s="34">
        <v>16.923076923076923</v>
      </c>
      <c r="Z17" s="34">
        <v>4.9200000000000017</v>
      </c>
      <c r="AA17" s="34">
        <v>55</v>
      </c>
      <c r="AB17" s="34">
        <v>1.0000000000000001E-5</v>
      </c>
      <c r="AC17" s="34"/>
      <c r="AD17" s="34"/>
      <c r="AE17" s="34"/>
      <c r="AF17" s="34" t="s">
        <v>65</v>
      </c>
      <c r="AG17" s="34"/>
      <c r="AH17" s="34"/>
      <c r="AI17" s="6">
        <v>16</v>
      </c>
      <c r="AJ17" s="24" t="s">
        <v>66</v>
      </c>
      <c r="AK17" s="34">
        <v>3</v>
      </c>
      <c r="AL17" s="34">
        <v>0.4</v>
      </c>
      <c r="AM17" s="34">
        <v>118.45534233593965</v>
      </c>
      <c r="AN17" s="34">
        <v>27</v>
      </c>
      <c r="AO17" s="34">
        <v>0.73556913636363641</v>
      </c>
      <c r="AP17" s="34">
        <v>-11.876895454545455</v>
      </c>
      <c r="AQ17" s="24">
        <v>3</v>
      </c>
      <c r="AR17" s="7">
        <v>6.8</v>
      </c>
      <c r="AS17" s="7" t="s">
        <v>31</v>
      </c>
      <c r="AT17" s="34">
        <v>43.3</v>
      </c>
      <c r="AU17" s="34">
        <v>95.092073652603872</v>
      </c>
      <c r="AV17" s="34">
        <v>55.524708495280429</v>
      </c>
      <c r="AW17" s="34">
        <v>32.178374933567333</v>
      </c>
      <c r="AX17" s="34">
        <v>55.295349871239971</v>
      </c>
      <c r="AY17" s="34">
        <v>37.892692813085901</v>
      </c>
      <c r="AZ17" s="34">
        <v>1.46721E-2</v>
      </c>
      <c r="BA17" s="34">
        <f>101.62-94.69</f>
        <v>6.9300000000000068</v>
      </c>
      <c r="BB17" s="34">
        <f t="shared" si="0"/>
        <v>338.84757505773678</v>
      </c>
      <c r="BC17" s="34">
        <v>-64.349999999999994</v>
      </c>
      <c r="BD17" s="34">
        <v>73.730463636363638</v>
      </c>
      <c r="BE17" s="34">
        <v>225.83</v>
      </c>
      <c r="BF17" s="34">
        <v>112.53</v>
      </c>
      <c r="BG17" s="34">
        <v>18.18181818181818</v>
      </c>
      <c r="BH17" s="34">
        <v>5.25</v>
      </c>
      <c r="BI17" s="34">
        <v>80.538619999999995</v>
      </c>
      <c r="BJ17" s="34">
        <v>0.90999999999999659</v>
      </c>
      <c r="BK17" s="34"/>
      <c r="BL17" s="34"/>
      <c r="BM17" s="17"/>
    </row>
    <row r="18" spans="1:65" x14ac:dyDescent="0.3">
      <c r="A18" s="6">
        <v>17</v>
      </c>
      <c r="B18" s="24" t="s">
        <v>67</v>
      </c>
      <c r="C18" s="34">
        <v>3</v>
      </c>
      <c r="D18" s="24">
        <v>0.78</v>
      </c>
      <c r="E18" s="34">
        <v>114.42956860052632</v>
      </c>
      <c r="F18" s="34">
        <v>25</v>
      </c>
      <c r="G18" s="34">
        <v>0.90819736666666651</v>
      </c>
      <c r="H18" s="34">
        <v>-9.6688068965517218</v>
      </c>
      <c r="I18" s="24">
        <v>3</v>
      </c>
      <c r="J18" s="7">
        <v>3.8</v>
      </c>
      <c r="K18" s="7" t="s">
        <v>0</v>
      </c>
      <c r="L18" s="34">
        <v>32.22</v>
      </c>
      <c r="M18" s="34">
        <v>91.621163991744851</v>
      </c>
      <c r="N18" s="34">
        <v>47.705371624844979</v>
      </c>
      <c r="O18" s="34">
        <v>33.57948829193321</v>
      </c>
      <c r="P18" s="34">
        <v>52.379576755619638</v>
      </c>
      <c r="Q18" s="34">
        <v>27.988092482965587</v>
      </c>
      <c r="R18" s="34">
        <v>1.43082E-2</v>
      </c>
      <c r="S18" s="34"/>
      <c r="T18" s="34">
        <f t="shared" si="1"/>
        <v>444.07821229050279</v>
      </c>
      <c r="U18" s="15">
        <v>-66.2</v>
      </c>
      <c r="V18" s="34">
        <v>60.386150000000015</v>
      </c>
      <c r="W18" s="34">
        <v>165.2</v>
      </c>
      <c r="X18" s="34">
        <v>84</v>
      </c>
      <c r="Y18" s="34">
        <v>16.363636363636363</v>
      </c>
      <c r="Z18" s="34">
        <f>71.03-66.97</f>
        <v>4.0600000000000023</v>
      </c>
      <c r="AA18" s="34">
        <v>53.715000000000003</v>
      </c>
      <c r="AB18" s="34">
        <v>1.0000000000000001E-5</v>
      </c>
      <c r="AC18" s="34"/>
      <c r="AD18" s="34"/>
      <c r="AE18" s="34"/>
      <c r="AF18" s="34" t="s">
        <v>68</v>
      </c>
      <c r="AG18" s="34"/>
      <c r="AH18" s="34"/>
      <c r="AI18" s="6">
        <v>17</v>
      </c>
      <c r="AJ18" s="24" t="s">
        <v>69</v>
      </c>
      <c r="AK18" s="34">
        <v>3</v>
      </c>
      <c r="AL18" s="34">
        <v>0.53</v>
      </c>
      <c r="AM18" s="34">
        <v>127.92631444288125</v>
      </c>
      <c r="AN18" s="34">
        <v>32</v>
      </c>
      <c r="AO18" s="34">
        <v>0.82643472727272738</v>
      </c>
      <c r="AP18" s="34">
        <v>-17.600322727272726</v>
      </c>
      <c r="AQ18" s="24">
        <v>3</v>
      </c>
      <c r="AR18" s="7">
        <v>6.85</v>
      </c>
      <c r="AS18" s="7" t="s">
        <v>31</v>
      </c>
      <c r="AT18" s="34">
        <v>53.8</v>
      </c>
      <c r="AU18" s="34">
        <v>83.601915430102139</v>
      </c>
      <c r="AV18" s="34">
        <v>59.63740458015257</v>
      </c>
      <c r="AW18" s="34">
        <v>37.199963504190272</v>
      </c>
      <c r="AX18" s="34">
        <v>63.558136743248845</v>
      </c>
      <c r="AY18" s="34">
        <v>32.807559619745042</v>
      </c>
      <c r="AZ18" s="34">
        <v>1.08548E-2</v>
      </c>
      <c r="BA18" s="34">
        <f>123.2-117.09</f>
        <v>6.1099999999999994</v>
      </c>
      <c r="BB18" s="34">
        <f t="shared" si="0"/>
        <v>201.7620817843866</v>
      </c>
      <c r="BC18" s="34">
        <v>70.520581818181824</v>
      </c>
      <c r="BD18" s="34">
        <v>70.520581818181824</v>
      </c>
      <c r="BE18" s="34">
        <v>188.42</v>
      </c>
      <c r="BF18" s="34">
        <v>88.5</v>
      </c>
      <c r="BG18" s="34">
        <v>19.285714285714285</v>
      </c>
      <c r="BH18" s="34">
        <v>4.9470000000000027</v>
      </c>
      <c r="BI18" s="34">
        <v>60.02</v>
      </c>
      <c r="BJ18" s="34">
        <v>1.0000000000000001E-5</v>
      </c>
      <c r="BK18" s="34"/>
      <c r="BL18" s="34"/>
      <c r="BM18" s="34"/>
    </row>
    <row r="19" spans="1:65" x14ac:dyDescent="0.3">
      <c r="A19" s="34"/>
      <c r="B19" s="34"/>
      <c r="C19" s="34">
        <v>3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 t="s">
        <v>70</v>
      </c>
      <c r="AG19" s="34"/>
      <c r="AH19" s="34"/>
      <c r="AI19" s="34"/>
      <c r="AJ19" s="34"/>
      <c r="AK19" s="34">
        <v>3</v>
      </c>
      <c r="AL19" s="34"/>
      <c r="AM19" s="34"/>
      <c r="AN19" s="34"/>
      <c r="AO19" s="34"/>
      <c r="AP19" s="34"/>
      <c r="AQ19" s="34"/>
      <c r="AR19" s="7">
        <v>6.9</v>
      </c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</row>
    <row r="20" spans="1:65" x14ac:dyDescent="0.3">
      <c r="A20" s="6">
        <v>19</v>
      </c>
      <c r="B20" s="24" t="s">
        <v>71</v>
      </c>
      <c r="C20" s="34">
        <v>3</v>
      </c>
      <c r="D20" s="24">
        <v>0.13</v>
      </c>
      <c r="E20" s="34">
        <v>62.586055826761765</v>
      </c>
      <c r="F20" s="34">
        <v>15</v>
      </c>
      <c r="G20" s="34">
        <v>1.4320226666666671</v>
      </c>
      <c r="H20" s="34">
        <v>-8.5112551724137901</v>
      </c>
      <c r="I20" s="24">
        <v>2</v>
      </c>
      <c r="J20" s="7">
        <v>3.9</v>
      </c>
      <c r="K20" s="7" t="s">
        <v>0</v>
      </c>
      <c r="L20" s="34">
        <v>162</v>
      </c>
      <c r="M20" s="34">
        <v>179.3050900469558</v>
      </c>
      <c r="N20" s="34">
        <v>27.057741219762956</v>
      </c>
      <c r="O20" s="34">
        <v>82.595498245948818</v>
      </c>
      <c r="P20" s="34">
        <v>31.007337360199497</v>
      </c>
      <c r="Q20" s="34">
        <v>68.605380947016997</v>
      </c>
      <c r="R20" s="34">
        <v>3.0579800000000001E-2</v>
      </c>
      <c r="S20" s="34">
        <f>148.92-134.53</f>
        <v>14.389999999999986</v>
      </c>
      <c r="T20" s="34">
        <f t="shared" si="1"/>
        <v>188.76419753086421</v>
      </c>
      <c r="U20" s="15">
        <v>-79</v>
      </c>
      <c r="V20" s="34">
        <v>73.154700000000005</v>
      </c>
      <c r="W20" s="34">
        <v>126.8</v>
      </c>
      <c r="X20" s="34">
        <v>52.1</v>
      </c>
      <c r="Y20" s="34">
        <v>44</v>
      </c>
      <c r="Z20" s="34">
        <v>1.9399999999999977</v>
      </c>
      <c r="AA20" s="34">
        <v>69.5</v>
      </c>
      <c r="AB20" s="34">
        <v>1.0000000000000001E-5</v>
      </c>
      <c r="AC20" s="34"/>
      <c r="AD20" s="34"/>
      <c r="AE20" s="34"/>
      <c r="AF20" s="34" t="s">
        <v>72</v>
      </c>
      <c r="AG20" s="34"/>
      <c r="AH20" s="34"/>
      <c r="AI20" s="34"/>
      <c r="AJ20" s="34"/>
      <c r="AK20" s="34">
        <v>3</v>
      </c>
      <c r="AL20" s="34"/>
      <c r="AM20" s="34"/>
      <c r="AN20" s="34"/>
      <c r="AO20" s="34"/>
      <c r="AP20" s="34"/>
      <c r="AQ20" s="34"/>
      <c r="AR20" s="7">
        <v>6.95</v>
      </c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</row>
    <row r="21" spans="1:65" x14ac:dyDescent="0.3">
      <c r="A21" s="6">
        <v>20</v>
      </c>
      <c r="B21" s="34"/>
      <c r="C21" s="34">
        <v>3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 t="s">
        <v>73</v>
      </c>
      <c r="AG21" s="34"/>
      <c r="AH21" s="34"/>
      <c r="AI21" s="34"/>
      <c r="AJ21" s="34"/>
      <c r="AK21" s="34">
        <v>3</v>
      </c>
      <c r="AL21" s="34"/>
      <c r="AM21" s="34"/>
      <c r="AN21" s="34"/>
      <c r="AO21" s="34"/>
      <c r="AP21" s="34"/>
      <c r="AQ21" s="34"/>
      <c r="AR21" s="7">
        <v>7.0000000000000098</v>
      </c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</row>
    <row r="22" spans="1:65" x14ac:dyDescent="0.3">
      <c r="A22" s="6">
        <v>21</v>
      </c>
      <c r="B22" s="34"/>
      <c r="C22" s="34">
        <v>3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 t="s">
        <v>27</v>
      </c>
      <c r="AG22" s="34"/>
      <c r="AH22" s="34"/>
      <c r="AI22" s="34"/>
      <c r="AJ22" s="34"/>
      <c r="AK22" s="34">
        <v>3</v>
      </c>
      <c r="AL22" s="34"/>
      <c r="AM22" s="34"/>
      <c r="AN22" s="34"/>
      <c r="AO22" s="34"/>
      <c r="AP22" s="34"/>
      <c r="AQ22" s="34"/>
      <c r="AR22" s="7">
        <v>7.0500000000000096</v>
      </c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</row>
    <row r="23" spans="1:65" x14ac:dyDescent="0.3">
      <c r="A23" s="6">
        <v>22</v>
      </c>
      <c r="B23" s="24" t="s">
        <v>74</v>
      </c>
      <c r="C23" s="34">
        <v>3</v>
      </c>
      <c r="D23" s="24">
        <v>0.13</v>
      </c>
      <c r="E23" s="34">
        <v>76.103500761034923</v>
      </c>
      <c r="F23" s="34">
        <v>17</v>
      </c>
      <c r="G23" s="34">
        <v>1.6449433333333336</v>
      </c>
      <c r="H23" s="34">
        <v>-7.7430448275861998</v>
      </c>
      <c r="I23" s="24">
        <v>3</v>
      </c>
      <c r="J23" s="7">
        <v>4.05</v>
      </c>
      <c r="K23" s="7" t="s">
        <v>0</v>
      </c>
      <c r="L23" s="34">
        <v>132</v>
      </c>
      <c r="M23" s="34">
        <v>116.03916879905812</v>
      </c>
      <c r="N23" s="34">
        <v>30.861339999382754</v>
      </c>
      <c r="O23" s="34">
        <v>47.129545483954388</v>
      </c>
      <c r="P23" s="34">
        <v>35.326528348875897</v>
      </c>
      <c r="Q23" s="34">
        <v>39.712264727307186</v>
      </c>
      <c r="R23" s="34">
        <v>2.3177E-2</v>
      </c>
      <c r="S23" s="34">
        <f>111.54-102.23</f>
        <v>9.3100000000000023</v>
      </c>
      <c r="T23" s="34">
        <f t="shared" si="1"/>
        <v>175.58333333333334</v>
      </c>
      <c r="U23" s="15">
        <v>-60</v>
      </c>
      <c r="V23" s="34">
        <v>64.003489999999999</v>
      </c>
      <c r="W23" s="34">
        <v>94.8</v>
      </c>
      <c r="X23" s="34">
        <v>48.9</v>
      </c>
      <c r="Y23" s="34">
        <v>21.666666666666668</v>
      </c>
      <c r="Z23" s="34">
        <v>8.8500000000000085</v>
      </c>
      <c r="AA23" s="34">
        <v>92.78</v>
      </c>
      <c r="AB23" s="34">
        <v>0.74000000000000199</v>
      </c>
      <c r="AC23" s="34"/>
      <c r="AD23" s="34"/>
      <c r="AE23" s="34"/>
      <c r="AF23" s="34" t="s">
        <v>25</v>
      </c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</row>
    <row r="24" spans="1:65" x14ac:dyDescent="0.3">
      <c r="A24" s="6">
        <v>23</v>
      </c>
      <c r="B24" s="24" t="s">
        <v>75</v>
      </c>
      <c r="C24" s="34">
        <v>3</v>
      </c>
      <c r="D24" s="24">
        <v>0.45</v>
      </c>
      <c r="E24" s="34">
        <v>93.808630393996282</v>
      </c>
      <c r="F24" s="34">
        <v>19</v>
      </c>
      <c r="G24" s="34">
        <v>1.199236</v>
      </c>
      <c r="H24" s="34">
        <v>-8.9372857142857125</v>
      </c>
      <c r="I24" s="24">
        <v>3</v>
      </c>
      <c r="J24" s="7">
        <v>4.0999999999999996</v>
      </c>
      <c r="K24" s="7" t="s">
        <v>0</v>
      </c>
      <c r="L24" s="34">
        <v>64.599999999999994</v>
      </c>
      <c r="M24" s="34">
        <v>79.060993487303278</v>
      </c>
      <c r="N24" s="34">
        <v>37.639265281541569</v>
      </c>
      <c r="O24" s="34">
        <v>28.012926152269795</v>
      </c>
      <c r="P24" s="34">
        <v>39.985617035812552</v>
      </c>
      <c r="Q24" s="34">
        <v>24.536142192363645</v>
      </c>
      <c r="R24" s="34">
        <v>1.6533599999999999E-2</v>
      </c>
      <c r="S24" s="34"/>
      <c r="T24" s="34">
        <f t="shared" si="1"/>
        <v>255.93808049535602</v>
      </c>
      <c r="U24" s="15">
        <v>-67.099999999999994</v>
      </c>
      <c r="V24" s="34">
        <v>64.164246666666671</v>
      </c>
      <c r="W24" s="34">
        <v>120.3</v>
      </c>
      <c r="X24" s="34">
        <v>62.9</v>
      </c>
      <c r="Y24" s="34">
        <v>13</v>
      </c>
      <c r="Z24" s="34">
        <v>10.429999999999993</v>
      </c>
      <c r="AA24" s="34">
        <v>66.409045000000006</v>
      </c>
      <c r="AB24" s="34">
        <v>1.0000000000000001E-5</v>
      </c>
      <c r="AC24" s="34"/>
      <c r="AD24" s="34"/>
      <c r="AE24" s="34"/>
      <c r="AF24" s="34" t="s">
        <v>26</v>
      </c>
      <c r="AG24" s="34"/>
      <c r="AH24" s="34"/>
      <c r="AI24" s="17" t="s">
        <v>76</v>
      </c>
      <c r="AJ24" s="17"/>
      <c r="AK24" s="34"/>
      <c r="AL24" s="17">
        <f>AVERAGE(AL2:AL18)</f>
        <v>0.37047058823529416</v>
      </c>
      <c r="AM24" s="17">
        <f>AVERAGE(AM2:AM18)</f>
        <v>106.04534723334203</v>
      </c>
      <c r="AN24" s="17">
        <f>AVERAGE(AN2:AN18)</f>
        <v>24.529411764705884</v>
      </c>
      <c r="AO24" s="17">
        <f>AVERAGE(AO2:AO18)</f>
        <v>1.0588021543249382</v>
      </c>
      <c r="AP24" s="17">
        <f>AVERAGE(AP2:AP18)</f>
        <v>-10.976646464368832</v>
      </c>
      <c r="AQ24" s="17">
        <f t="shared" ref="AQ24:BJ24" si="2">AVERAGE(AQ2:AQ18)</f>
        <v>2.6470588235294117</v>
      </c>
      <c r="AR24" s="17">
        <f t="shared" si="2"/>
        <v>6.4499999999999993</v>
      </c>
      <c r="AS24" s="17" t="e">
        <f t="shared" si="2"/>
        <v>#DIV/0!</v>
      </c>
      <c r="AT24" s="17">
        <f t="shared" si="2"/>
        <v>73.550588235294114</v>
      </c>
      <c r="AU24" s="17">
        <f>AVERAGE(AU2:AU18)</f>
        <v>115.92202562834464</v>
      </c>
      <c r="AV24" s="17">
        <f>AVERAGE(AV2:AV18)</f>
        <v>46.749235087090597</v>
      </c>
      <c r="AW24" s="17">
        <f>AVERAGE(AW2:AW18)</f>
        <v>46.611377398159959</v>
      </c>
      <c r="AX24" s="17">
        <f>AVERAGE(AX2:AX18)</f>
        <v>50.141086872871348</v>
      </c>
      <c r="AY24" s="17">
        <f>AVERAGE(AY2:AY18)</f>
        <v>42.854988415876029</v>
      </c>
      <c r="AZ24" s="17">
        <f t="shared" si="2"/>
        <v>1.4782345294117649E-2</v>
      </c>
      <c r="BA24" s="17">
        <f t="shared" si="2"/>
        <v>7.0394235294117635</v>
      </c>
      <c r="BB24" s="17">
        <f>AVERAGE(BB2:BB18)</f>
        <v>212.21718303270347</v>
      </c>
      <c r="BC24" s="17">
        <f>AVERAGE(BC2:BC18)</f>
        <v>-58.325670320855608</v>
      </c>
      <c r="BD24" s="17">
        <f t="shared" si="2"/>
        <v>63.194472182285004</v>
      </c>
      <c r="BE24" s="17">
        <f t="shared" si="2"/>
        <v>149.66764705882355</v>
      </c>
      <c r="BF24" s="17">
        <f t="shared" si="2"/>
        <v>77.421176470588222</v>
      </c>
      <c r="BG24" s="17">
        <f>AVERAGE(BG2:BG18)</f>
        <v>23.328108971123743</v>
      </c>
      <c r="BH24" s="17">
        <f>AVERAGE(BH2:BH18)</f>
        <v>5.3472352941176462</v>
      </c>
      <c r="BI24" s="17">
        <f>AVERAGE(BI2:BI18)</f>
        <v>77.659803529411761</v>
      </c>
      <c r="BJ24" s="17">
        <f t="shared" si="2"/>
        <v>0.26947705882352913</v>
      </c>
      <c r="BK24" s="34"/>
      <c r="BL24" s="34"/>
      <c r="BM24" s="34"/>
    </row>
    <row r="25" spans="1:65" x14ac:dyDescent="0.3">
      <c r="A25" s="34"/>
      <c r="B25" s="34"/>
      <c r="C25" s="34">
        <v>3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7"/>
      <c r="AJ25" s="17"/>
      <c r="AK25" s="34"/>
      <c r="AL25" s="17">
        <f>STDEVA(AL2:AL18)</f>
        <v>0.20273909269275706</v>
      </c>
      <c r="AM25" s="17">
        <f>STDEVA(AM2:AM18)</f>
        <v>25.044556968436535</v>
      </c>
      <c r="AN25" s="17">
        <f>STDEVA(AN2:AN18)</f>
        <v>5.810740562299519</v>
      </c>
      <c r="AO25" s="17">
        <f>STDEVA(AO2:AO18)</f>
        <v>0.24309055554052292</v>
      </c>
      <c r="AP25" s="17">
        <f>STDEVA(AP2:AP18)</f>
        <v>4.0795796146540555</v>
      </c>
      <c r="AQ25" s="17">
        <f t="shared" ref="AQ25:BJ25" si="3">STDEVA(AQ2:AQ18)</f>
        <v>0.49259218307188857</v>
      </c>
      <c r="AR25" s="17">
        <f t="shared" si="3"/>
        <v>0.25248762345905196</v>
      </c>
      <c r="AS25" s="17">
        <f t="shared" si="3"/>
        <v>0</v>
      </c>
      <c r="AT25" s="17">
        <f t="shared" si="3"/>
        <v>30.635612542959777</v>
      </c>
      <c r="AU25" s="17">
        <f>STDEVA(AU2:AU18)</f>
        <v>43.198181127303172</v>
      </c>
      <c r="AV25" s="17">
        <f>STDEVA(AV2:AV18)</f>
        <v>9.8780463951256774</v>
      </c>
      <c r="AW25" s="17">
        <f>STDEVA(AW2:AW18)</f>
        <v>15.074871296909022</v>
      </c>
      <c r="AX25" s="17">
        <f>STDEVA(AX2:AX18)</f>
        <v>10.760285351099796</v>
      </c>
      <c r="AY25" s="17">
        <f>STDEVA(AY2:AY18)</f>
        <v>14.725278674996437</v>
      </c>
      <c r="AZ25" s="17">
        <f t="shared" si="3"/>
        <v>4.6574755151639231E-3</v>
      </c>
      <c r="BA25" s="17">
        <f t="shared" si="3"/>
        <v>5.9669060155294664</v>
      </c>
      <c r="BB25" s="17">
        <f t="shared" si="3"/>
        <v>58.855093371645424</v>
      </c>
      <c r="BC25" s="17">
        <f>STDEVA(BC2:BC18)</f>
        <v>33.334127035942053</v>
      </c>
      <c r="BD25" s="17">
        <f t="shared" si="3"/>
        <v>9.1600666338988308</v>
      </c>
      <c r="BE25" s="17">
        <f t="shared" si="3"/>
        <v>51.156918707225088</v>
      </c>
      <c r="BF25" s="17">
        <f t="shared" si="3"/>
        <v>21.998843970295606</v>
      </c>
      <c r="BG25" s="17">
        <f>STDEVA(BG2:BG18)</f>
        <v>7.2014064185524207</v>
      </c>
      <c r="BH25" s="17">
        <f>STDEVA(BH2:BH18)</f>
        <v>1.9086183985219418</v>
      </c>
      <c r="BI25" s="17">
        <f>STDEVA(BI2:BI18)</f>
        <v>20.242186886456064</v>
      </c>
      <c r="BJ25" s="17">
        <f t="shared" si="3"/>
        <v>0.44611636319413189</v>
      </c>
      <c r="BK25" s="34"/>
      <c r="BL25" s="34"/>
      <c r="BM25" s="34"/>
    </row>
    <row r="26" spans="1:65" ht="15" thickBot="1" x14ac:dyDescent="0.35">
      <c r="A26" s="34"/>
      <c r="B26" s="34"/>
      <c r="C26" s="34">
        <v>3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17" t="s">
        <v>77</v>
      </c>
      <c r="AK26" s="34"/>
      <c r="AL26" s="17">
        <f>COUNT(AL2:AL18)</f>
        <v>17</v>
      </c>
      <c r="AM26" s="17">
        <f>COUNT(AM2:AM18)</f>
        <v>17</v>
      </c>
      <c r="AN26" s="17">
        <f>COUNT(AN2:AN18)</f>
        <v>17</v>
      </c>
      <c r="AO26" s="17">
        <f>COUNT(AO2:AO18)</f>
        <v>17</v>
      </c>
      <c r="AP26" s="17">
        <f>COUNT(AP2:AP18)</f>
        <v>17</v>
      </c>
      <c r="AQ26" s="17">
        <f t="shared" ref="AQ26:BJ26" si="4">COUNT(AQ2:AQ18)</f>
        <v>17</v>
      </c>
      <c r="AR26" s="17">
        <f t="shared" si="4"/>
        <v>17</v>
      </c>
      <c r="AS26" s="17">
        <f t="shared" si="4"/>
        <v>0</v>
      </c>
      <c r="AT26" s="17">
        <f t="shared" si="4"/>
        <v>17</v>
      </c>
      <c r="AU26" s="17">
        <f>COUNT(AU2:AU18)</f>
        <v>17</v>
      </c>
      <c r="AV26" s="17">
        <f>COUNT(AV2:AV18)</f>
        <v>17</v>
      </c>
      <c r="AW26" s="17">
        <f>COUNT(AW2:AW18)</f>
        <v>17</v>
      </c>
      <c r="AX26" s="17">
        <f>COUNT(AX2:AX18)</f>
        <v>17</v>
      </c>
      <c r="AY26" s="17">
        <f>COUNT(AY2:AY18)</f>
        <v>17</v>
      </c>
      <c r="AZ26" s="17">
        <f t="shared" si="4"/>
        <v>17</v>
      </c>
      <c r="BA26" s="17">
        <f t="shared" si="4"/>
        <v>17</v>
      </c>
      <c r="BB26" s="17">
        <f t="shared" si="4"/>
        <v>17</v>
      </c>
      <c r="BC26" s="17">
        <f>COUNT(BC2:BC18)</f>
        <v>17</v>
      </c>
      <c r="BD26" s="17">
        <f t="shared" si="4"/>
        <v>17</v>
      </c>
      <c r="BE26" s="17">
        <f t="shared" si="4"/>
        <v>17</v>
      </c>
      <c r="BF26" s="17">
        <f t="shared" si="4"/>
        <v>17</v>
      </c>
      <c r="BG26" s="17">
        <f>COUNT(BG2:BG18)</f>
        <v>17</v>
      </c>
      <c r="BH26" s="17">
        <f>COUNT(BH2:BH18)</f>
        <v>17</v>
      </c>
      <c r="BI26" s="17">
        <f>COUNT(BI2:BI18)</f>
        <v>17</v>
      </c>
      <c r="BJ26" s="17">
        <f t="shared" si="4"/>
        <v>17</v>
      </c>
      <c r="BK26" s="34"/>
      <c r="BL26" s="34"/>
      <c r="BM26" s="34"/>
    </row>
    <row r="27" spans="1:65" x14ac:dyDescent="0.3">
      <c r="A27" s="36">
        <v>18</v>
      </c>
      <c r="B27" s="37" t="s">
        <v>78</v>
      </c>
      <c r="C27" s="34">
        <v>3</v>
      </c>
      <c r="D27" s="37">
        <v>0.05</v>
      </c>
      <c r="E27" s="38">
        <v>63.171193935565334</v>
      </c>
      <c r="F27" s="38">
        <v>25</v>
      </c>
      <c r="G27" s="38">
        <v>1.8348024137931029</v>
      </c>
      <c r="H27" s="38">
        <v>-10.720400000000001</v>
      </c>
      <c r="I27" s="37">
        <v>2</v>
      </c>
      <c r="J27" s="39">
        <v>3.85</v>
      </c>
      <c r="K27" s="39" t="s">
        <v>0</v>
      </c>
      <c r="L27" s="38">
        <v>420</v>
      </c>
      <c r="M27" s="38">
        <v>209.51888205061312</v>
      </c>
      <c r="N27" s="38">
        <v>32.412809542331097</v>
      </c>
      <c r="O27" s="38">
        <v>112.92236688118213</v>
      </c>
      <c r="P27" s="38">
        <v>37.631296282109304</v>
      </c>
      <c r="Q27" s="38">
        <v>91.636091846461696</v>
      </c>
      <c r="R27" s="38">
        <v>4.1286200000000002E-2</v>
      </c>
      <c r="S27" s="38">
        <f>184.8-159.9</f>
        <v>24.900000000000006</v>
      </c>
      <c r="T27" s="38">
        <f>(R27/L27)*1000000</f>
        <v>98.300476190476203</v>
      </c>
      <c r="U27" s="38">
        <v>-70</v>
      </c>
      <c r="V27" s="38">
        <v>66.660917241379295</v>
      </c>
      <c r="W27" s="38">
        <v>103.4</v>
      </c>
      <c r="X27" s="38">
        <v>46.9</v>
      </c>
      <c r="Y27" s="38">
        <v>57.142857142857139</v>
      </c>
      <c r="Z27" s="38">
        <v>4.5999999999999943</v>
      </c>
      <c r="AA27" s="38">
        <v>92.95</v>
      </c>
      <c r="AB27" s="40">
        <v>1.0000000000000001E-5</v>
      </c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</row>
    <row r="28" spans="1:65" x14ac:dyDescent="0.3">
      <c r="A28" s="41"/>
      <c r="B28" s="42" t="s">
        <v>79</v>
      </c>
      <c r="C28" s="34">
        <v>3</v>
      </c>
      <c r="D28" s="42">
        <v>0.06</v>
      </c>
      <c r="E28" s="42">
        <v>70.87172218284897</v>
      </c>
      <c r="F28" s="43">
        <v>18</v>
      </c>
      <c r="G28" s="43">
        <v>1.630907058823529</v>
      </c>
      <c r="H28" s="43">
        <v>-28.991693750000003</v>
      </c>
      <c r="I28" s="42">
        <v>3</v>
      </c>
      <c r="J28" s="44">
        <v>3.55</v>
      </c>
      <c r="K28" s="44" t="s">
        <v>0</v>
      </c>
      <c r="L28" s="42">
        <v>310</v>
      </c>
      <c r="M28" s="43">
        <f>0.139127555076605*1000</f>
        <v>139.12755507660498</v>
      </c>
      <c r="N28" s="42">
        <v>30.5726252713321</v>
      </c>
      <c r="O28" s="42">
        <v>61.536593008179793</v>
      </c>
      <c r="P28" s="42">
        <v>39.937874014950864</v>
      </c>
      <c r="Q28" s="42">
        <f>0.0368951258232123*1000</f>
        <v>36.895125823212297</v>
      </c>
      <c r="R28" s="43">
        <v>4.5010399999999999E-2</v>
      </c>
      <c r="S28" s="43">
        <f>167.4-148.9</f>
        <v>18.5</v>
      </c>
      <c r="T28" s="43">
        <f>(R28/L28)*1000000</f>
        <v>145.19483870967741</v>
      </c>
      <c r="U28" s="43">
        <v>-64.400000000000006</v>
      </c>
      <c r="V28" s="43">
        <v>65.60919411764705</v>
      </c>
      <c r="W28" s="43">
        <v>124</v>
      </c>
      <c r="X28" s="43">
        <v>49.1</v>
      </c>
      <c r="Y28" s="43">
        <v>42.857142857142854</v>
      </c>
      <c r="Z28" s="43">
        <f>66.76-63.59</f>
        <v>3.1700000000000017</v>
      </c>
      <c r="AA28" s="43">
        <f>148.31/2</f>
        <v>74.155000000000001</v>
      </c>
      <c r="AB28" s="45">
        <v>1.0000000000000001E-5</v>
      </c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</row>
    <row r="29" spans="1:65" x14ac:dyDescent="0.3">
      <c r="A29" s="41"/>
      <c r="B29" s="46" t="s">
        <v>80</v>
      </c>
      <c r="C29" s="34">
        <v>3</v>
      </c>
      <c r="D29" s="46">
        <v>0.04</v>
      </c>
      <c r="E29" s="43">
        <v>73.773515308004391</v>
      </c>
      <c r="F29" s="43">
        <v>19</v>
      </c>
      <c r="G29" s="43">
        <v>1.4695069230769229</v>
      </c>
      <c r="H29" s="43">
        <v>-14.235848000000001</v>
      </c>
      <c r="I29" s="46">
        <v>2</v>
      </c>
      <c r="J29" s="44">
        <v>3.95</v>
      </c>
      <c r="K29" s="44" t="s">
        <v>0</v>
      </c>
      <c r="L29" s="43">
        <f>(0.00638/0.00000000002)/1000000</f>
        <v>319.00000000000006</v>
      </c>
      <c r="M29" s="43">
        <v>207.28395428513878</v>
      </c>
      <c r="N29" s="43">
        <v>40.040040040040004</v>
      </c>
      <c r="O29" s="43">
        <v>101.78404076760096</v>
      </c>
      <c r="P29" s="43">
        <v>52.681000601108487</v>
      </c>
      <c r="Q29" s="43">
        <v>86.976504711697316</v>
      </c>
      <c r="R29" s="43">
        <v>3.8431300000000002E-2</v>
      </c>
      <c r="S29" s="43"/>
      <c r="T29" s="43">
        <f>(R29/L29)*1000000</f>
        <v>120.47429467084639</v>
      </c>
      <c r="U29" s="43">
        <v>-76.5</v>
      </c>
      <c r="V29" s="43">
        <v>71.852457692307681</v>
      </c>
      <c r="W29" s="43">
        <v>137.9</v>
      </c>
      <c r="X29" s="43">
        <v>56.3</v>
      </c>
      <c r="Y29" s="43">
        <v>50</v>
      </c>
      <c r="Z29" s="43">
        <f>79.18-71.47</f>
        <v>7.710000000000008</v>
      </c>
      <c r="AA29" s="43">
        <f>216.97024/2</f>
        <v>108.48511999999999</v>
      </c>
      <c r="AB29" s="45">
        <v>1.0000000000000001E-5</v>
      </c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</row>
    <row r="30" spans="1:65" ht="15" thickBot="1" x14ac:dyDescent="0.35">
      <c r="A30" s="47"/>
      <c r="B30" s="48" t="s">
        <v>81</v>
      </c>
      <c r="C30" s="34">
        <v>3</v>
      </c>
      <c r="D30" s="48">
        <v>0.01</v>
      </c>
      <c r="E30" s="49">
        <v>51.937259790173499</v>
      </c>
      <c r="F30" s="49">
        <v>18</v>
      </c>
      <c r="G30" s="49">
        <v>1.848366</v>
      </c>
      <c r="H30" s="49">
        <v>-17.030906896551723</v>
      </c>
      <c r="I30" s="48">
        <v>2</v>
      </c>
      <c r="J30" s="48">
        <v>4</v>
      </c>
      <c r="K30" s="48" t="s">
        <v>0</v>
      </c>
      <c r="L30" s="49">
        <v>427</v>
      </c>
      <c r="M30" s="49">
        <v>165.73688555005259</v>
      </c>
      <c r="N30" s="49">
        <v>32.317486992211499</v>
      </c>
      <c r="O30" s="49">
        <v>103.88144235489918</v>
      </c>
      <c r="P30" s="49">
        <v>35.673472108081143</v>
      </c>
      <c r="Q30" s="49">
        <v>84.712044569709406</v>
      </c>
      <c r="R30" s="49">
        <v>6.7362599999999995E-2</v>
      </c>
      <c r="S30" s="50">
        <v>1E-4</v>
      </c>
      <c r="T30" s="49">
        <f>(R30/L30)*1000000</f>
        <v>157.75784543325526</v>
      </c>
      <c r="U30" s="49">
        <v>-77</v>
      </c>
      <c r="V30" s="49">
        <v>67.13257333333334</v>
      </c>
      <c r="W30" s="49">
        <v>96</v>
      </c>
      <c r="X30" s="49">
        <v>47.9</v>
      </c>
      <c r="Y30" s="49">
        <v>51.851851851851848</v>
      </c>
      <c r="Z30" s="49">
        <v>8.2400000000000091</v>
      </c>
      <c r="AA30" s="49">
        <v>133.37</v>
      </c>
      <c r="AB30" s="51">
        <v>1.0000000000000001E-5</v>
      </c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</row>
    <row r="33" spans="1:66" x14ac:dyDescent="0.3">
      <c r="A33" s="17" t="s">
        <v>76</v>
      </c>
      <c r="B33" s="17"/>
      <c r="C33" s="34"/>
      <c r="D33" s="17">
        <f t="shared" ref="D33:Z33" si="5">AVERAGE(D2:D30)</f>
        <v>0.36173913043478262</v>
      </c>
      <c r="E33" s="17">
        <f t="shared" si="5"/>
        <v>104.71631487006354</v>
      </c>
      <c r="F33" s="17">
        <f t="shared" si="5"/>
        <v>22.434782608695652</v>
      </c>
      <c r="G33" s="17">
        <f t="shared" si="5"/>
        <v>1.2732104105428019</v>
      </c>
      <c r="H33" s="17">
        <f t="shared" si="5"/>
        <v>-10.516155480668022</v>
      </c>
      <c r="I33" s="17">
        <f t="shared" si="5"/>
        <v>2.6956521739130435</v>
      </c>
      <c r="J33" s="17">
        <f t="shared" si="5"/>
        <v>3.5717391304347821</v>
      </c>
      <c r="K33" s="17" t="e">
        <f t="shared" si="5"/>
        <v>#DIV/0!</v>
      </c>
      <c r="L33" s="17">
        <f t="shared" si="5"/>
        <v>133.8568181818182</v>
      </c>
      <c r="M33" s="17">
        <f t="shared" si="5"/>
        <v>122.55760759634295</v>
      </c>
      <c r="N33" s="17">
        <f t="shared" si="5"/>
        <v>41.775021414754903</v>
      </c>
      <c r="O33" s="17">
        <f t="shared" si="5"/>
        <v>50.783884987863217</v>
      </c>
      <c r="P33" s="17">
        <f t="shared" si="5"/>
        <v>47.782672270419624</v>
      </c>
      <c r="Q33" s="17">
        <f t="shared" si="5"/>
        <v>41.930192042766407</v>
      </c>
      <c r="R33" s="17">
        <f t="shared" si="5"/>
        <v>2.2620284545454547E-2</v>
      </c>
      <c r="S33" s="17">
        <f t="shared" si="5"/>
        <v>7.774015000000003</v>
      </c>
      <c r="T33" s="17">
        <f t="shared" si="5"/>
        <v>208.2766565284486</v>
      </c>
      <c r="U33" s="17">
        <f t="shared" si="5"/>
        <v>-65.916956521739138</v>
      </c>
      <c r="V33" s="17">
        <f t="shared" si="5"/>
        <v>69.020453985218708</v>
      </c>
      <c r="W33" s="17">
        <f t="shared" si="5"/>
        <v>143.62869565217395</v>
      </c>
      <c r="X33" s="17">
        <f t="shared" si="5"/>
        <v>63.072173913043478</v>
      </c>
      <c r="Y33" s="17">
        <f t="shared" si="5"/>
        <v>26.415154910461322</v>
      </c>
      <c r="Z33" s="17">
        <f t="shared" si="5"/>
        <v>5.6248181818181839</v>
      </c>
      <c r="AA33" s="17">
        <f>AVERAGE(AA2:AA30)</f>
        <v>73.446325681818195</v>
      </c>
      <c r="AB33" s="17">
        <f>AVERAGE(AB2:AB30)</f>
        <v>0.39850636363636327</v>
      </c>
      <c r="AC33" s="34"/>
      <c r="AD33" s="17"/>
      <c r="AE33" s="34"/>
      <c r="AF33" s="34"/>
      <c r="AG33" s="34"/>
      <c r="AH33" s="34"/>
      <c r="AI33" s="17"/>
      <c r="AJ33" s="17"/>
      <c r="AK33" s="34"/>
      <c r="AL33" s="34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34"/>
      <c r="BH33" s="34"/>
      <c r="BI33" s="34"/>
      <c r="BJ33" s="34"/>
      <c r="BK33" s="34"/>
      <c r="BL33" s="34"/>
      <c r="BM33" s="34"/>
      <c r="BN33" s="34"/>
    </row>
    <row r="34" spans="1:66" x14ac:dyDescent="0.3">
      <c r="A34" s="17"/>
      <c r="B34" s="17"/>
      <c r="C34" s="34"/>
      <c r="D34" s="17">
        <f t="shared" ref="D34:L34" si="6">STDEVA(D2:D24)</f>
        <v>0.37175968468608145</v>
      </c>
      <c r="E34" s="17">
        <f t="shared" si="6"/>
        <v>24.012211872911589</v>
      </c>
      <c r="F34" s="17">
        <f t="shared" si="6"/>
        <v>4.1294832096701173</v>
      </c>
      <c r="G34" s="17">
        <f t="shared" si="6"/>
        <v>0.22081872232415381</v>
      </c>
      <c r="H34" s="17">
        <f t="shared" si="6"/>
        <v>7.1938795391967068</v>
      </c>
      <c r="I34" s="17">
        <f t="shared" si="6"/>
        <v>0.41885390829169578</v>
      </c>
      <c r="J34" s="17">
        <f t="shared" si="6"/>
        <v>0.31227330959119914</v>
      </c>
      <c r="K34" s="17">
        <f t="shared" si="6"/>
        <v>0</v>
      </c>
      <c r="L34" s="17">
        <f t="shared" si="6"/>
        <v>43.493980084544688</v>
      </c>
      <c r="M34" s="17">
        <f t="shared" ref="M34:AB34" si="7">STDEVA(M2:M24)</f>
        <v>34.850814064114083</v>
      </c>
      <c r="N34" s="17">
        <f t="shared" si="7"/>
        <v>7.8346284764947169</v>
      </c>
      <c r="O34" s="17">
        <f t="shared" si="7"/>
        <v>14.631826290017369</v>
      </c>
      <c r="P34" s="17">
        <f t="shared" si="7"/>
        <v>9.8744903462549427</v>
      </c>
      <c r="Q34" s="17">
        <f t="shared" si="7"/>
        <v>11.869296794420572</v>
      </c>
      <c r="R34" s="17">
        <f t="shared" si="7"/>
        <v>5.9874783361828421E-3</v>
      </c>
      <c r="S34" s="17">
        <f t="shared" si="7"/>
        <v>5.247310714680145</v>
      </c>
      <c r="T34" s="17">
        <f t="shared" si="7"/>
        <v>68.638654950829206</v>
      </c>
      <c r="U34" s="17">
        <f t="shared" si="7"/>
        <v>4.5124226840503505</v>
      </c>
      <c r="V34" s="17">
        <f t="shared" si="7"/>
        <v>7.6047991128679513</v>
      </c>
      <c r="W34" s="17">
        <f t="shared" si="7"/>
        <v>31.719614128608516</v>
      </c>
      <c r="X34" s="17">
        <f t="shared" si="7"/>
        <v>12.936108040213284</v>
      </c>
      <c r="Y34" s="17">
        <f t="shared" si="7"/>
        <v>7.9773780653509387</v>
      </c>
      <c r="Z34" s="17">
        <f t="shared" si="7"/>
        <v>2.6191138375636975</v>
      </c>
      <c r="AA34" s="17">
        <f t="shared" si="7"/>
        <v>20.808694845761018</v>
      </c>
      <c r="AB34" s="17">
        <f t="shared" si="7"/>
        <v>0.74305029256507671</v>
      </c>
      <c r="AC34" s="34"/>
      <c r="AD34" s="17"/>
      <c r="AE34" s="34"/>
      <c r="AF34" s="34"/>
      <c r="AG34" s="34"/>
      <c r="AH34" s="34"/>
      <c r="AI34" s="17"/>
      <c r="AJ34" s="17"/>
      <c r="AK34" s="34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34"/>
      <c r="BH34" s="34"/>
      <c r="BI34" s="34"/>
      <c r="BJ34" s="34"/>
      <c r="BK34" s="34"/>
      <c r="BL34" s="34"/>
      <c r="BM34" s="34"/>
      <c r="BN34" s="34"/>
    </row>
    <row r="35" spans="1:66" x14ac:dyDescent="0.3">
      <c r="A35" s="34"/>
      <c r="B35" s="17" t="s">
        <v>77</v>
      </c>
      <c r="C35" s="34"/>
      <c r="D35" s="17">
        <f>COUNT(D2:D30)</f>
        <v>23</v>
      </c>
      <c r="E35" s="17">
        <f t="shared" ref="E35:AB35" si="8">COUNT(E2:E30)</f>
        <v>23</v>
      </c>
      <c r="F35" s="17">
        <f t="shared" si="8"/>
        <v>23</v>
      </c>
      <c r="G35" s="17">
        <f t="shared" si="8"/>
        <v>23</v>
      </c>
      <c r="H35" s="17">
        <f t="shared" si="8"/>
        <v>23</v>
      </c>
      <c r="I35" s="17">
        <f t="shared" si="8"/>
        <v>23</v>
      </c>
      <c r="J35" s="17">
        <f t="shared" si="8"/>
        <v>23</v>
      </c>
      <c r="K35" s="17">
        <f t="shared" si="8"/>
        <v>0</v>
      </c>
      <c r="L35" s="17">
        <f t="shared" si="8"/>
        <v>22</v>
      </c>
      <c r="M35" s="17">
        <f t="shared" si="8"/>
        <v>23</v>
      </c>
      <c r="N35" s="17">
        <f t="shared" si="8"/>
        <v>23</v>
      </c>
      <c r="O35" s="17">
        <f t="shared" si="8"/>
        <v>22</v>
      </c>
      <c r="P35" s="17">
        <f t="shared" si="8"/>
        <v>23</v>
      </c>
      <c r="Q35" s="17">
        <f t="shared" si="8"/>
        <v>22</v>
      </c>
      <c r="R35" s="17">
        <f t="shared" si="8"/>
        <v>22</v>
      </c>
      <c r="S35" s="17">
        <f t="shared" si="8"/>
        <v>20</v>
      </c>
      <c r="T35" s="17">
        <f t="shared" si="8"/>
        <v>22</v>
      </c>
      <c r="U35" s="17">
        <f t="shared" si="8"/>
        <v>23</v>
      </c>
      <c r="V35" s="17">
        <f t="shared" si="8"/>
        <v>23</v>
      </c>
      <c r="W35" s="17">
        <f t="shared" si="8"/>
        <v>23</v>
      </c>
      <c r="X35" s="17">
        <f t="shared" si="8"/>
        <v>23</v>
      </c>
      <c r="Y35" s="17">
        <f t="shared" si="8"/>
        <v>23</v>
      </c>
      <c r="Z35" s="17">
        <f t="shared" si="8"/>
        <v>22</v>
      </c>
      <c r="AA35" s="17">
        <f t="shared" si="8"/>
        <v>22</v>
      </c>
      <c r="AB35" s="17">
        <f t="shared" si="8"/>
        <v>22</v>
      </c>
      <c r="AC35" s="34"/>
      <c r="AD35" s="17"/>
      <c r="AE35" s="34"/>
      <c r="AF35" s="34"/>
      <c r="AG35" s="34"/>
      <c r="AH35" s="34"/>
      <c r="AI35" s="34"/>
      <c r="AJ35" s="17"/>
      <c r="AK35" s="34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34"/>
      <c r="BH35" s="34"/>
      <c r="BI35" s="34"/>
      <c r="BJ35" s="34"/>
      <c r="BK35" s="34"/>
      <c r="BL35" s="34"/>
      <c r="BM35" s="34"/>
      <c r="BN35" s="34"/>
    </row>
    <row r="36" spans="1:66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</row>
    <row r="37" spans="1:66" ht="15" thickBo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</row>
    <row r="38" spans="1:66" ht="15" thickBot="1" x14ac:dyDescent="0.35">
      <c r="A38" s="19" t="s">
        <v>82</v>
      </c>
      <c r="B38" s="2" t="s">
        <v>1</v>
      </c>
      <c r="C38" s="34"/>
      <c r="D38" s="2" t="s">
        <v>3</v>
      </c>
      <c r="E38" s="2" t="s">
        <v>83</v>
      </c>
      <c r="F38" s="2" t="s">
        <v>5</v>
      </c>
      <c r="G38" s="2" t="s">
        <v>6</v>
      </c>
      <c r="H38" s="2" t="s">
        <v>7</v>
      </c>
      <c r="I38" s="2" t="s">
        <v>8</v>
      </c>
      <c r="J38" s="2" t="s">
        <v>9</v>
      </c>
      <c r="K38" s="2" t="s">
        <v>10</v>
      </c>
      <c r="L38" s="2" t="s">
        <v>11</v>
      </c>
      <c r="M38" s="2" t="s">
        <v>12</v>
      </c>
      <c r="N38" s="2" t="s">
        <v>13</v>
      </c>
      <c r="O38" s="3" t="s">
        <v>14</v>
      </c>
      <c r="P38" s="3" t="s">
        <v>15</v>
      </c>
      <c r="Q38" s="3" t="s">
        <v>16</v>
      </c>
      <c r="R38" s="3" t="s">
        <v>17</v>
      </c>
      <c r="S38" s="3" t="s">
        <v>18</v>
      </c>
      <c r="T38" s="4" t="s">
        <v>19</v>
      </c>
      <c r="U38" s="5" t="s">
        <v>20</v>
      </c>
      <c r="V38" s="5" t="s">
        <v>21</v>
      </c>
      <c r="W38" s="5" t="s">
        <v>84</v>
      </c>
      <c r="X38" s="5" t="s">
        <v>23</v>
      </c>
      <c r="Y38" s="5" t="s">
        <v>24</v>
      </c>
      <c r="Z38" s="5" t="s">
        <v>25</v>
      </c>
      <c r="AA38" s="5" t="s">
        <v>26</v>
      </c>
      <c r="AB38" s="5" t="s">
        <v>27</v>
      </c>
      <c r="AC38" s="34"/>
      <c r="AD38" s="5"/>
      <c r="AE38" s="34"/>
      <c r="AF38" s="34"/>
      <c r="AG38" s="34"/>
      <c r="AH38" s="34"/>
      <c r="AI38" s="1" t="s">
        <v>85</v>
      </c>
      <c r="AJ38" s="2" t="s">
        <v>1</v>
      </c>
      <c r="AK38" s="34"/>
      <c r="AL38" s="2" t="s">
        <v>3</v>
      </c>
      <c r="AM38" s="2" t="s">
        <v>83</v>
      </c>
      <c r="AN38" s="2" t="s">
        <v>5</v>
      </c>
      <c r="AO38" s="2" t="s">
        <v>6</v>
      </c>
      <c r="AP38" s="2" t="s">
        <v>86</v>
      </c>
      <c r="AQ38" s="2" t="s">
        <v>8</v>
      </c>
      <c r="AR38" s="2" t="s">
        <v>9</v>
      </c>
      <c r="AS38" s="2" t="s">
        <v>10</v>
      </c>
      <c r="AT38" s="2" t="s">
        <v>11</v>
      </c>
      <c r="AU38" s="2" t="s">
        <v>12</v>
      </c>
      <c r="AV38" s="2" t="s">
        <v>13</v>
      </c>
      <c r="AW38" s="3" t="s">
        <v>14</v>
      </c>
      <c r="AX38" s="3" t="s">
        <v>15</v>
      </c>
      <c r="AY38" s="3" t="s">
        <v>16</v>
      </c>
      <c r="AZ38" s="3" t="s">
        <v>17</v>
      </c>
      <c r="BA38" s="4" t="s">
        <v>18</v>
      </c>
      <c r="BB38" s="4" t="s">
        <v>19</v>
      </c>
      <c r="BC38" s="5" t="s">
        <v>20</v>
      </c>
      <c r="BD38" s="5" t="s">
        <v>21</v>
      </c>
      <c r="BE38" s="5" t="s">
        <v>84</v>
      </c>
      <c r="BF38" s="5" t="s">
        <v>23</v>
      </c>
      <c r="BG38" s="5" t="s">
        <v>24</v>
      </c>
      <c r="BH38" s="5" t="s">
        <v>25</v>
      </c>
      <c r="BI38" s="5" t="s">
        <v>26</v>
      </c>
      <c r="BJ38" s="5" t="s">
        <v>27</v>
      </c>
      <c r="BK38" s="34"/>
      <c r="BL38" s="34"/>
      <c r="BM38" s="5"/>
      <c r="BN38" s="34"/>
    </row>
    <row r="39" spans="1:66" x14ac:dyDescent="0.3">
      <c r="A39" s="20">
        <v>1</v>
      </c>
      <c r="B39" s="7" t="s">
        <v>87</v>
      </c>
      <c r="C39" s="34">
        <v>7</v>
      </c>
      <c r="D39" s="7">
        <v>0.12</v>
      </c>
      <c r="E39" s="7">
        <v>130.7531380753139</v>
      </c>
      <c r="F39" s="7">
        <v>23</v>
      </c>
      <c r="G39" s="7">
        <v>1.226826666666667</v>
      </c>
      <c r="H39" s="7">
        <v>-9.946196666666669</v>
      </c>
      <c r="I39" s="7">
        <v>7</v>
      </c>
      <c r="J39" s="7">
        <v>9.5</v>
      </c>
      <c r="K39" s="7" t="s">
        <v>88</v>
      </c>
      <c r="L39" s="7">
        <v>44.75</v>
      </c>
      <c r="M39" s="7">
        <v>72.334713478213629</v>
      </c>
      <c r="N39" s="7">
        <v>45.244774228576418</v>
      </c>
      <c r="O39" s="34">
        <v>19.97439062390723</v>
      </c>
      <c r="P39" s="34">
        <f>MAX(J80:J94)</f>
        <v>33</v>
      </c>
      <c r="Q39" s="34">
        <v>19.97439062390723</v>
      </c>
      <c r="R39" s="34">
        <v>1.6703599999999999E-2</v>
      </c>
      <c r="S39" s="34"/>
      <c r="T39" s="34">
        <f t="shared" ref="T39:T55" si="9">(R39/L39)*1000000</f>
        <v>373.26480446927377</v>
      </c>
      <c r="U39" s="34">
        <v>-62</v>
      </c>
      <c r="V39" s="34">
        <f>29.2+42.4</f>
        <v>71.599999999999994</v>
      </c>
      <c r="W39" s="34">
        <v>154.1</v>
      </c>
      <c r="X39" s="34">
        <v>60.1</v>
      </c>
      <c r="Y39" s="34">
        <v>11.515151515151516</v>
      </c>
      <c r="Z39" s="34"/>
      <c r="AA39" s="34"/>
      <c r="AB39" s="34"/>
      <c r="AC39" s="34"/>
      <c r="AD39" s="34"/>
      <c r="AE39" s="34"/>
      <c r="AF39" s="34"/>
      <c r="AG39" s="34"/>
      <c r="AH39" s="34"/>
      <c r="AI39" s="6">
        <v>1</v>
      </c>
      <c r="AJ39" s="7" t="s">
        <v>89</v>
      </c>
      <c r="AK39" s="34">
        <v>7</v>
      </c>
      <c r="AL39" s="7">
        <v>0.49</v>
      </c>
      <c r="AM39" s="7">
        <v>141.1432604093153</v>
      </c>
      <c r="AN39" s="7">
        <v>28</v>
      </c>
      <c r="AO39" s="7">
        <v>0.79222165957446822</v>
      </c>
      <c r="AP39" s="7">
        <v>-12.212999999999999</v>
      </c>
      <c r="AQ39" s="7">
        <v>6</v>
      </c>
      <c r="AR39" s="7">
        <v>12.5</v>
      </c>
      <c r="AS39" s="7" t="s">
        <v>90</v>
      </c>
      <c r="AT39" s="7">
        <v>31.25</v>
      </c>
      <c r="AU39" s="7">
        <v>74.964656609787156</v>
      </c>
      <c r="AV39" s="7">
        <v>49.120738775911043</v>
      </c>
      <c r="AW39" s="7">
        <v>26.832202484214477</v>
      </c>
      <c r="AX39" s="7">
        <v>59.489950195561242</v>
      </c>
      <c r="AY39" s="7">
        <v>20.842372249853231</v>
      </c>
      <c r="AZ39" s="7">
        <v>1.4E-2</v>
      </c>
      <c r="BA39" s="7" t="s">
        <v>91</v>
      </c>
      <c r="BB39" s="34">
        <f t="shared" ref="BB39:BB55" si="10">(AZ39/AT39)*1000000</f>
        <v>448</v>
      </c>
      <c r="BC39" s="34">
        <v>-62.5</v>
      </c>
      <c r="BD39" s="34">
        <f>40.2+39.8</f>
        <v>80</v>
      </c>
      <c r="BE39" s="34">
        <v>199.3</v>
      </c>
      <c r="BF39" s="34">
        <v>108.1</v>
      </c>
      <c r="BG39" s="34">
        <v>14.375000000000002</v>
      </c>
      <c r="BH39" s="34"/>
      <c r="BI39" s="34"/>
      <c r="BJ39" s="34"/>
      <c r="BK39" s="34"/>
      <c r="BL39" s="34"/>
      <c r="BM39" s="34"/>
      <c r="BN39" s="34"/>
    </row>
    <row r="40" spans="1:66" x14ac:dyDescent="0.3">
      <c r="A40" s="22">
        <v>2</v>
      </c>
      <c r="B40" s="8" t="s">
        <v>92</v>
      </c>
      <c r="C40" s="34">
        <v>7</v>
      </c>
      <c r="D40" s="8">
        <v>1.05</v>
      </c>
      <c r="E40" s="8">
        <v>164.20361247947449</v>
      </c>
      <c r="F40" s="8">
        <v>33</v>
      </c>
      <c r="G40" s="8">
        <v>0.85354328125000023</v>
      </c>
      <c r="H40" s="8">
        <v>-14.59503125</v>
      </c>
      <c r="I40" s="8">
        <v>7</v>
      </c>
      <c r="J40" s="7">
        <v>9.0500000000000007</v>
      </c>
      <c r="K40" s="7" t="s">
        <v>88</v>
      </c>
      <c r="L40" s="8">
        <v>20.75</v>
      </c>
      <c r="M40" s="8">
        <v>82.137733886039612</v>
      </c>
      <c r="N40" s="8">
        <v>59.790732436472268</v>
      </c>
      <c r="O40" s="34">
        <v>25.153718757965603</v>
      </c>
      <c r="P40" s="34">
        <v>67.82680431808339</v>
      </c>
      <c r="Q40" s="34">
        <v>23.604348036348302</v>
      </c>
      <c r="R40" s="34">
        <v>1.04457E-2</v>
      </c>
      <c r="S40" s="34">
        <f>85.1-83.2</f>
        <v>1.8999999999999915</v>
      </c>
      <c r="T40" s="34">
        <f t="shared" si="9"/>
        <v>503.40722891566264</v>
      </c>
      <c r="U40" s="34">
        <v>-64</v>
      </c>
      <c r="V40" s="34">
        <f>29.7+43.1</f>
        <v>72.8</v>
      </c>
      <c r="W40" s="34">
        <v>201.2</v>
      </c>
      <c r="X40" s="34">
        <v>85.1</v>
      </c>
      <c r="Y40" s="34">
        <v>13.846153846153847</v>
      </c>
      <c r="Z40" s="34"/>
      <c r="AA40" s="34"/>
      <c r="AB40" s="34"/>
      <c r="AC40" s="34"/>
      <c r="AD40" s="34"/>
      <c r="AE40" s="34"/>
      <c r="AF40" s="34"/>
      <c r="AG40" s="34"/>
      <c r="AH40" s="34"/>
      <c r="AI40" s="16">
        <v>2</v>
      </c>
      <c r="AJ40" s="8" t="s">
        <v>93</v>
      </c>
      <c r="AK40" s="34">
        <v>7</v>
      </c>
      <c r="AL40" s="8">
        <v>0.55000000000000004</v>
      </c>
      <c r="AM40" s="8">
        <v>172.1170395869199</v>
      </c>
      <c r="AN40" s="8">
        <v>34</v>
      </c>
      <c r="AO40" s="8">
        <v>0.65222936666666664</v>
      </c>
      <c r="AP40" s="8">
        <v>-14.220163333333341</v>
      </c>
      <c r="AQ40" s="8">
        <v>6</v>
      </c>
      <c r="AR40" s="7">
        <v>12.05</v>
      </c>
      <c r="AS40" s="7" t="s">
        <v>90</v>
      </c>
      <c r="AT40" s="8">
        <v>26.875</v>
      </c>
      <c r="AU40" s="8">
        <v>101.87267843265693</v>
      </c>
      <c r="AV40" s="8">
        <v>66.137566137566111</v>
      </c>
      <c r="AW40" s="8">
        <v>32.601053198102299</v>
      </c>
      <c r="AX40" s="8">
        <v>69.291684011824088</v>
      </c>
      <c r="AY40" s="8">
        <v>30.743160077267635</v>
      </c>
      <c r="AZ40" s="8">
        <v>9.0361299999999999E-3</v>
      </c>
      <c r="BA40" s="7" t="s">
        <v>91</v>
      </c>
      <c r="BB40" s="34">
        <f t="shared" si="10"/>
        <v>336.22809302325584</v>
      </c>
      <c r="BC40" s="34">
        <v>-65</v>
      </c>
      <c r="BD40" s="34">
        <f>30.9+42.1</f>
        <v>73</v>
      </c>
      <c r="BE40" s="34">
        <v>231.2</v>
      </c>
      <c r="BF40" s="34">
        <v>116.04</v>
      </c>
      <c r="BG40" s="34">
        <v>24.166666666666668</v>
      </c>
      <c r="BH40" s="34"/>
      <c r="BI40" s="34"/>
      <c r="BJ40" s="34"/>
      <c r="BK40" s="34"/>
      <c r="BL40" s="34"/>
      <c r="BM40" s="34"/>
      <c r="BN40" s="34"/>
    </row>
    <row r="41" spans="1:66" x14ac:dyDescent="0.3">
      <c r="A41" s="22">
        <v>3</v>
      </c>
      <c r="B41" s="8" t="s">
        <v>94</v>
      </c>
      <c r="C41" s="34">
        <v>7</v>
      </c>
      <c r="D41" s="8">
        <v>0.5</v>
      </c>
      <c r="E41" s="8">
        <v>130.17443374121291</v>
      </c>
      <c r="F41" s="8">
        <v>22</v>
      </c>
      <c r="G41" s="8">
        <v>0.89785375000000001</v>
      </c>
      <c r="H41" s="8">
        <v>-11.662166666666661</v>
      </c>
      <c r="I41" s="8">
        <v>7</v>
      </c>
      <c r="J41" s="7">
        <v>9.1</v>
      </c>
      <c r="K41" s="7" t="s">
        <v>88</v>
      </c>
      <c r="L41" s="8">
        <v>21.875</v>
      </c>
      <c r="M41" s="8">
        <v>75.701510554553678</v>
      </c>
      <c r="N41" s="8">
        <v>44.712720769058777</v>
      </c>
      <c r="O41" s="34">
        <v>22.772227962309596</v>
      </c>
      <c r="P41" s="34">
        <v>46.250157601404325</v>
      </c>
      <c r="Q41" s="34">
        <v>17.773482739180441</v>
      </c>
      <c r="R41" s="34">
        <v>1.5667299999999999E-2</v>
      </c>
      <c r="S41" s="34">
        <f>80.22-79.08</f>
        <v>1.1400000000000006</v>
      </c>
      <c r="T41" s="34">
        <f t="shared" si="9"/>
        <v>716.21942857142847</v>
      </c>
      <c r="U41" s="34">
        <v>-62</v>
      </c>
      <c r="V41" s="34">
        <f>26.9+40.8</f>
        <v>67.699999999999989</v>
      </c>
      <c r="W41" s="34">
        <v>204.3</v>
      </c>
      <c r="X41" s="34">
        <v>67.2</v>
      </c>
      <c r="Y41" s="34">
        <v>13.33333333</v>
      </c>
      <c r="Z41" s="34"/>
      <c r="AA41" s="34"/>
      <c r="AB41" s="34"/>
      <c r="AC41" s="34"/>
      <c r="AD41" s="34"/>
      <c r="AE41" s="34"/>
      <c r="AF41" s="34"/>
      <c r="AG41" s="34"/>
      <c r="AH41" s="34"/>
      <c r="AI41" s="16">
        <v>3</v>
      </c>
      <c r="AJ41" s="8" t="s">
        <v>95</v>
      </c>
      <c r="AK41" s="34">
        <v>7</v>
      </c>
      <c r="AL41" s="8">
        <v>0.54</v>
      </c>
      <c r="AM41" s="8">
        <v>180.53800324968361</v>
      </c>
      <c r="AN41" s="8">
        <v>39</v>
      </c>
      <c r="AO41" s="8">
        <v>0.72852476666666677</v>
      </c>
      <c r="AP41" s="8">
        <v>-17.29837666666667</v>
      </c>
      <c r="AQ41" s="8">
        <v>7</v>
      </c>
      <c r="AR41" s="7">
        <v>12.1</v>
      </c>
      <c r="AS41" s="7" t="s">
        <v>90</v>
      </c>
      <c r="AT41" s="8">
        <v>40.0625</v>
      </c>
      <c r="AU41" s="8">
        <v>68.875316795737845</v>
      </c>
      <c r="AV41" s="8">
        <v>73.69739848183319</v>
      </c>
      <c r="AW41" s="34">
        <v>22.869375327810527</v>
      </c>
      <c r="AX41" s="8">
        <v>80.778548212989222</v>
      </c>
      <c r="AY41" s="8">
        <v>22.643409102248139</v>
      </c>
      <c r="AZ41" s="34">
        <v>1.17E-2</v>
      </c>
      <c r="BA41" s="7">
        <f>103.73-101.07</f>
        <v>2.6600000000000108</v>
      </c>
      <c r="BB41" s="34">
        <f t="shared" si="10"/>
        <v>292.04368174726989</v>
      </c>
      <c r="BC41" s="34">
        <v>-64</v>
      </c>
      <c r="BD41" s="34">
        <f>37.8+39.3</f>
        <v>77.099999999999994</v>
      </c>
      <c r="BE41" s="34">
        <v>221.8</v>
      </c>
      <c r="BF41" s="34">
        <v>115.64</v>
      </c>
      <c r="BG41" s="34">
        <v>15.238095238095237</v>
      </c>
      <c r="BH41" s="34"/>
      <c r="BI41" s="34"/>
      <c r="BJ41" s="34"/>
      <c r="BK41" s="34"/>
      <c r="BL41" s="34"/>
      <c r="BM41" s="34"/>
      <c r="BN41" s="34"/>
    </row>
    <row r="42" spans="1:66" x14ac:dyDescent="0.3">
      <c r="A42" s="22">
        <v>4</v>
      </c>
      <c r="B42" s="8" t="s">
        <v>96</v>
      </c>
      <c r="C42" s="34">
        <v>7</v>
      </c>
      <c r="D42" s="8">
        <v>0.4</v>
      </c>
      <c r="E42" s="8">
        <v>145.39110206455391</v>
      </c>
      <c r="F42" s="8">
        <v>29</v>
      </c>
      <c r="G42" s="8">
        <v>1.0411362500000001</v>
      </c>
      <c r="H42" s="8">
        <v>-15.12655</v>
      </c>
      <c r="I42" s="8">
        <v>7</v>
      </c>
      <c r="J42" s="7">
        <v>9.15</v>
      </c>
      <c r="K42" s="7" t="s">
        <v>88</v>
      </c>
      <c r="L42" s="8">
        <v>41.8125</v>
      </c>
      <c r="M42" s="8">
        <v>78.111472716329601</v>
      </c>
      <c r="N42" s="8">
        <v>51.91568892119183</v>
      </c>
      <c r="O42" s="34">
        <v>28.902525252755247</v>
      </c>
      <c r="P42" s="34">
        <v>61.547871404943301</v>
      </c>
      <c r="Q42" s="34">
        <v>20.615114443262215</v>
      </c>
      <c r="R42" s="34">
        <v>1.1673299999999999E-2</v>
      </c>
      <c r="S42" s="34">
        <f>98.85-94.85</f>
        <v>4</v>
      </c>
      <c r="T42" s="34">
        <f t="shared" si="9"/>
        <v>279.18206278026906</v>
      </c>
      <c r="U42" s="34">
        <v>-64</v>
      </c>
      <c r="V42" s="34">
        <f>28.1+37.8</f>
        <v>65.900000000000006</v>
      </c>
      <c r="W42" s="34">
        <v>156.5</v>
      </c>
      <c r="X42" s="34">
        <v>63.6</v>
      </c>
      <c r="Y42" s="34">
        <v>15.483870967741938</v>
      </c>
      <c r="Z42" s="34"/>
      <c r="AA42" s="34"/>
      <c r="AB42" s="34"/>
      <c r="AC42" s="34"/>
      <c r="AD42" s="34"/>
      <c r="AE42" s="34"/>
      <c r="AF42" s="34"/>
      <c r="AG42" s="34"/>
      <c r="AH42" s="34"/>
      <c r="AI42" s="16">
        <v>4</v>
      </c>
      <c r="AJ42" s="8" t="s">
        <v>97</v>
      </c>
      <c r="AK42" s="34">
        <v>7</v>
      </c>
      <c r="AL42" s="8">
        <v>0.42</v>
      </c>
      <c r="AM42" s="8">
        <v>183.2172957127153</v>
      </c>
      <c r="AN42" s="8">
        <v>26</v>
      </c>
      <c r="AO42" s="8">
        <v>0.76785043333333336</v>
      </c>
      <c r="AP42" s="8">
        <v>-13.92721666666667</v>
      </c>
      <c r="AQ42" s="8">
        <v>7</v>
      </c>
      <c r="AR42" s="7">
        <v>12.15</v>
      </c>
      <c r="AS42" s="7" t="s">
        <v>90</v>
      </c>
      <c r="AT42" s="8">
        <v>49.5625</v>
      </c>
      <c r="AU42" s="8">
        <v>100.44676265148409</v>
      </c>
      <c r="AV42" s="8">
        <v>54.02485143165859</v>
      </c>
      <c r="AW42" s="8">
        <v>22.87123879681344</v>
      </c>
      <c r="AX42" s="8">
        <v>57.700861530634434</v>
      </c>
      <c r="AY42" s="8">
        <v>21.287532516063688</v>
      </c>
      <c r="AZ42" s="34">
        <v>1.18701E-2</v>
      </c>
      <c r="BA42" s="34">
        <f>101.6-98.5</f>
        <v>3.0999999999999943</v>
      </c>
      <c r="BB42" s="34">
        <f t="shared" si="10"/>
        <v>239.49760403530894</v>
      </c>
      <c r="BC42" s="34">
        <v>-65</v>
      </c>
      <c r="BD42" s="34">
        <f>41.4+39.1</f>
        <v>80.5</v>
      </c>
      <c r="BE42" s="34">
        <v>231.33</v>
      </c>
      <c r="BF42" s="34">
        <v>107.7</v>
      </c>
      <c r="BG42" s="34">
        <v>14.193548387096774</v>
      </c>
      <c r="BH42" s="34"/>
      <c r="BI42" s="34"/>
      <c r="BJ42" s="34"/>
      <c r="BK42" s="34"/>
      <c r="BL42" s="34"/>
      <c r="BM42" s="34"/>
      <c r="BN42" s="34"/>
    </row>
    <row r="43" spans="1:66" x14ac:dyDescent="0.3">
      <c r="A43" s="22">
        <v>5</v>
      </c>
      <c r="B43" s="8" t="s">
        <v>98</v>
      </c>
      <c r="C43" s="34">
        <v>7</v>
      </c>
      <c r="D43" s="8">
        <v>0.6</v>
      </c>
      <c r="E43" s="8">
        <v>172.9206294310915</v>
      </c>
      <c r="F43" s="8">
        <v>41</v>
      </c>
      <c r="G43" s="8">
        <v>0.82788986666666664</v>
      </c>
      <c r="H43" s="8">
        <v>-15.2888</v>
      </c>
      <c r="I43" s="8">
        <v>7</v>
      </c>
      <c r="J43" s="7">
        <v>9.1999999999999993</v>
      </c>
      <c r="K43" s="7" t="s">
        <v>88</v>
      </c>
      <c r="L43" s="8">
        <v>34.875</v>
      </c>
      <c r="M43" s="8">
        <v>78.984112971360759</v>
      </c>
      <c r="N43" s="8">
        <v>97.087378640776592</v>
      </c>
      <c r="O43" s="34">
        <v>34.400583099617123</v>
      </c>
      <c r="P43" s="34">
        <v>84.429611687116349</v>
      </c>
      <c r="Q43" s="34">
        <v>25.116446923473212</v>
      </c>
      <c r="R43" s="34">
        <v>9.51252E-3</v>
      </c>
      <c r="S43" s="34">
        <f>104.3-100.9</f>
        <v>3.3999999999999915</v>
      </c>
      <c r="T43" s="34">
        <f t="shared" si="9"/>
        <v>272.76043010752687</v>
      </c>
      <c r="U43" s="34">
        <v>-58</v>
      </c>
      <c r="V43" s="34">
        <f>34.5+28.3</f>
        <v>62.8</v>
      </c>
      <c r="W43" s="34">
        <v>160.4</v>
      </c>
      <c r="X43" s="34">
        <v>83.8</v>
      </c>
      <c r="Y43" s="34">
        <v>18.974358974358978</v>
      </c>
      <c r="Z43" s="34"/>
      <c r="AA43" s="34"/>
      <c r="AB43" s="34"/>
      <c r="AC43" s="34"/>
      <c r="AD43" s="34"/>
      <c r="AE43" s="34"/>
      <c r="AF43" s="34"/>
      <c r="AG43" s="34"/>
      <c r="AH43" s="34"/>
      <c r="AI43" s="16">
        <v>5</v>
      </c>
      <c r="AJ43" s="8" t="s">
        <v>99</v>
      </c>
      <c r="AK43" s="34">
        <v>7</v>
      </c>
      <c r="AL43" s="8">
        <v>0.4</v>
      </c>
      <c r="AM43" s="8">
        <v>150.3759398496239</v>
      </c>
      <c r="AN43" s="8">
        <v>25</v>
      </c>
      <c r="AO43" s="8">
        <v>0.86486243333333312</v>
      </c>
      <c r="AP43" s="8">
        <v>-18.934626666666659</v>
      </c>
      <c r="AQ43" s="8">
        <v>7</v>
      </c>
      <c r="AR43" s="7">
        <v>12.2</v>
      </c>
      <c r="AS43" s="7" t="s">
        <v>90</v>
      </c>
      <c r="AT43" s="8">
        <v>52.75</v>
      </c>
      <c r="AU43" s="8">
        <v>98.195388400995199</v>
      </c>
      <c r="AV43" s="8">
        <v>53.89</v>
      </c>
      <c r="AW43" s="8">
        <v>30.22682040081289</v>
      </c>
      <c r="AX43" s="8">
        <v>57.853002438777942</v>
      </c>
      <c r="AY43" s="8">
        <v>25.401948851858794</v>
      </c>
      <c r="AZ43" s="34">
        <v>1.2354499999999999E-2</v>
      </c>
      <c r="BA43" s="8">
        <v>1.0000000000000001E-5</v>
      </c>
      <c r="BB43" s="34">
        <f t="shared" si="10"/>
        <v>234.20853080568719</v>
      </c>
      <c r="BC43" s="34">
        <v>-64.5</v>
      </c>
      <c r="BD43" s="34">
        <f>26+46.5</f>
        <v>72.5</v>
      </c>
      <c r="BE43" s="34">
        <v>180.7</v>
      </c>
      <c r="BF43" s="34">
        <v>87.9</v>
      </c>
      <c r="BG43" s="34">
        <v>15.65217391304348</v>
      </c>
      <c r="BH43" s="34"/>
      <c r="BI43" s="34"/>
      <c r="BJ43" s="34"/>
      <c r="BK43" s="34"/>
      <c r="BL43" s="34"/>
      <c r="BM43" s="34"/>
      <c r="BN43" s="34"/>
    </row>
    <row r="44" spans="1:66" x14ac:dyDescent="0.3">
      <c r="A44" s="22">
        <v>6</v>
      </c>
      <c r="B44" s="8" t="s">
        <v>100</v>
      </c>
      <c r="C44" s="34">
        <v>7</v>
      </c>
      <c r="D44" s="8">
        <v>0.28999999999999998</v>
      </c>
      <c r="E44" s="8">
        <v>174.52006980802739</v>
      </c>
      <c r="F44" s="8">
        <v>33</v>
      </c>
      <c r="G44" s="8">
        <v>0.94244819999999985</v>
      </c>
      <c r="H44" s="8">
        <v>-11.547836666666671</v>
      </c>
      <c r="I44" s="8">
        <v>6</v>
      </c>
      <c r="J44" s="7">
        <v>9.25</v>
      </c>
      <c r="K44" s="7" t="s">
        <v>88</v>
      </c>
      <c r="L44" s="34">
        <f>(0.00316/0.00000000025)/1000000</f>
        <v>12.64</v>
      </c>
      <c r="M44" s="8">
        <v>102.8653966206993</v>
      </c>
      <c r="N44" s="8">
        <v>67.186240257995607</v>
      </c>
      <c r="O44" s="34">
        <v>34.787494099745892</v>
      </c>
      <c r="P44" s="34">
        <v>67.83977763523896</v>
      </c>
      <c r="Q44" s="34">
        <v>36.261860336179673</v>
      </c>
      <c r="R44" s="34">
        <v>7.4446499999999997E-3</v>
      </c>
      <c r="S44" s="34">
        <v>1E-4</v>
      </c>
      <c r="T44" s="34">
        <f t="shared" si="9"/>
        <v>588.97547468354423</v>
      </c>
      <c r="U44" s="34">
        <v>-64.5</v>
      </c>
      <c r="V44" s="34">
        <f>33.4+25.7</f>
        <v>59.099999999999994</v>
      </c>
      <c r="W44" s="34">
        <v>137.5</v>
      </c>
      <c r="X44" s="34">
        <v>74.900000000000006</v>
      </c>
      <c r="Y44" s="34">
        <v>19.310344827586203</v>
      </c>
      <c r="Z44" s="34"/>
      <c r="AA44" s="34"/>
      <c r="AB44" s="34"/>
      <c r="AC44" s="34"/>
      <c r="AD44" s="34"/>
      <c r="AE44" s="34"/>
      <c r="AF44" s="34"/>
      <c r="AG44" s="34"/>
      <c r="AH44" s="34"/>
      <c r="AI44" s="16">
        <v>6</v>
      </c>
      <c r="AJ44" s="8" t="s">
        <v>101</v>
      </c>
      <c r="AK44" s="34">
        <v>7</v>
      </c>
      <c r="AL44" s="8">
        <v>0.8</v>
      </c>
      <c r="AM44" s="8">
        <v>175.43859649122751</v>
      </c>
      <c r="AN44" s="8">
        <v>41</v>
      </c>
      <c r="AO44" s="8">
        <v>0.58078639534883736</v>
      </c>
      <c r="AP44" s="8">
        <v>-18.061081395348829</v>
      </c>
      <c r="AQ44" s="8">
        <v>7</v>
      </c>
      <c r="AR44" s="7">
        <v>12.25</v>
      </c>
      <c r="AS44" s="7" t="s">
        <v>90</v>
      </c>
      <c r="AT44" s="8">
        <v>21.643750000000001</v>
      </c>
      <c r="AU44" s="8">
        <v>60.243240097915617</v>
      </c>
      <c r="AV44" s="8">
        <v>80.276149955848155</v>
      </c>
      <c r="AW44" s="8">
        <v>25.503106126382363</v>
      </c>
      <c r="AX44" s="8">
        <v>82.820069210880348</v>
      </c>
      <c r="AY44" s="8">
        <v>22.465448417811601</v>
      </c>
      <c r="AZ44" s="34">
        <v>1.28363E-2</v>
      </c>
      <c r="BA44" s="8">
        <f>86.66-84.1</f>
        <v>2.5600000000000023</v>
      </c>
      <c r="BB44" s="34">
        <f t="shared" si="10"/>
        <v>593.07190297429975</v>
      </c>
      <c r="BC44" s="34">
        <v>-65</v>
      </c>
      <c r="BD44" s="34">
        <f>44.1+36.1</f>
        <v>80.2</v>
      </c>
      <c r="BE44" s="34">
        <v>333.92</v>
      </c>
      <c r="BF44" s="34">
        <v>163.19999999999999</v>
      </c>
      <c r="BG44" s="34">
        <v>13.461538461538462</v>
      </c>
      <c r="BH44" s="34"/>
      <c r="BI44" s="34"/>
      <c r="BJ44" s="34"/>
      <c r="BK44" s="34"/>
      <c r="BL44" s="34" t="s">
        <v>102</v>
      </c>
      <c r="BM44" s="34"/>
      <c r="BN44" s="34"/>
    </row>
    <row r="45" spans="1:66" x14ac:dyDescent="0.3">
      <c r="A45" s="22">
        <v>7</v>
      </c>
      <c r="B45" s="8" t="s">
        <v>103</v>
      </c>
      <c r="C45" s="34">
        <v>7</v>
      </c>
      <c r="D45" s="8">
        <v>0.56000000000000005</v>
      </c>
      <c r="E45" s="8">
        <v>165.8374792703151</v>
      </c>
      <c r="F45" s="8">
        <v>25</v>
      </c>
      <c r="G45" s="8">
        <v>0.86277386666666678</v>
      </c>
      <c r="H45" s="8">
        <v>-7.6014200000000036</v>
      </c>
      <c r="I45" s="8">
        <v>6</v>
      </c>
      <c r="J45" s="7">
        <v>9.3000000000000007</v>
      </c>
      <c r="K45" s="7" t="s">
        <v>88</v>
      </c>
      <c r="L45" s="8">
        <v>42.277777777777779</v>
      </c>
      <c r="M45" s="8">
        <v>141.88612219343781</v>
      </c>
      <c r="N45" s="8">
        <v>47.993856786331321</v>
      </c>
      <c r="O45" s="34">
        <v>37.754931159439892</v>
      </c>
      <c r="P45" s="34">
        <v>54.430114286745535</v>
      </c>
      <c r="Q45" s="34">
        <v>32.03749285663649</v>
      </c>
      <c r="R45" s="34">
        <v>1.5173300000000001E-2</v>
      </c>
      <c r="S45" s="34">
        <f>111.9-110.2</f>
        <v>1.7000000000000028</v>
      </c>
      <c r="T45" s="34">
        <f t="shared" si="9"/>
        <v>358.89540078843629</v>
      </c>
      <c r="U45" s="34">
        <v>-65</v>
      </c>
      <c r="V45" s="34">
        <f>33.9+35.7</f>
        <v>69.599999999999994</v>
      </c>
      <c r="W45" s="34">
        <v>181.1</v>
      </c>
      <c r="X45" s="34">
        <v>83.6</v>
      </c>
      <c r="Y45" s="34">
        <v>23.333333333333332</v>
      </c>
      <c r="Z45" s="34"/>
      <c r="AA45" s="34"/>
      <c r="AB45" s="34"/>
      <c r="AC45" s="34"/>
      <c r="AD45" s="34"/>
      <c r="AE45" s="34"/>
      <c r="AF45" s="34"/>
      <c r="AG45" s="34"/>
      <c r="AH45" s="34"/>
      <c r="AI45" s="16">
        <v>7</v>
      </c>
      <c r="AJ45" s="8" t="s">
        <v>104</v>
      </c>
      <c r="AK45" s="34">
        <v>7</v>
      </c>
      <c r="AL45" s="8">
        <v>1.3</v>
      </c>
      <c r="AM45" s="8">
        <v>185.56318426424161</v>
      </c>
      <c r="AN45" s="8">
        <v>34</v>
      </c>
      <c r="AO45" s="8">
        <v>0.67242964102564085</v>
      </c>
      <c r="AP45" s="8">
        <v>-14.020871794871789</v>
      </c>
      <c r="AQ45" s="8">
        <v>7</v>
      </c>
      <c r="AR45" s="7">
        <v>12.3</v>
      </c>
      <c r="AS45" s="7" t="s">
        <v>90</v>
      </c>
      <c r="AT45" s="8">
        <v>19.1875</v>
      </c>
      <c r="AU45" s="8">
        <v>86.423045034207206</v>
      </c>
      <c r="AV45" s="8">
        <v>67.006164567140274</v>
      </c>
      <c r="AW45" s="8">
        <v>26.989727009542765</v>
      </c>
      <c r="AX45" s="8">
        <v>67.006164567140274</v>
      </c>
      <c r="AY45" s="8">
        <v>19.450197253228868</v>
      </c>
      <c r="AZ45" s="34">
        <v>1.1466499999999999E-2</v>
      </c>
      <c r="BA45" s="8">
        <v>1.0000000000000001E-5</v>
      </c>
      <c r="BB45" s="34">
        <f t="shared" si="10"/>
        <v>597.60260586319214</v>
      </c>
      <c r="BC45" s="34">
        <v>-62</v>
      </c>
      <c r="BD45" s="34">
        <f>19.1+46.3</f>
        <v>65.400000000000006</v>
      </c>
      <c r="BE45" s="34">
        <v>204.8</v>
      </c>
      <c r="BF45" s="34">
        <v>105.6</v>
      </c>
      <c r="BG45" s="34">
        <v>12.558139534883779</v>
      </c>
      <c r="BH45" s="34"/>
      <c r="BI45" s="34"/>
      <c r="BJ45" s="34"/>
      <c r="BK45" s="34"/>
      <c r="BL45" s="34" t="s">
        <v>53</v>
      </c>
      <c r="BM45" s="34"/>
      <c r="BN45" s="34"/>
    </row>
    <row r="46" spans="1:66" x14ac:dyDescent="0.3">
      <c r="A46" s="22">
        <v>8</v>
      </c>
      <c r="B46" s="8" t="s">
        <v>105</v>
      </c>
      <c r="C46" s="34">
        <v>7</v>
      </c>
      <c r="D46" s="8">
        <v>1.1499999999999999</v>
      </c>
      <c r="E46" s="8">
        <v>173.2501732501735</v>
      </c>
      <c r="F46" s="8">
        <v>23</v>
      </c>
      <c r="G46" s="8">
        <v>0.83984700000000001</v>
      </c>
      <c r="H46" s="8">
        <v>-8.0092285714285705</v>
      </c>
      <c r="I46" s="8">
        <v>6</v>
      </c>
      <c r="J46" s="7">
        <v>9.3499999999999908</v>
      </c>
      <c r="K46" s="7" t="s">
        <v>88</v>
      </c>
      <c r="L46" s="8">
        <v>22.8</v>
      </c>
      <c r="M46" s="8">
        <v>169.90122084765801</v>
      </c>
      <c r="N46" s="8">
        <v>47.553378667554341</v>
      </c>
      <c r="O46" s="34">
        <v>40.560379275338143</v>
      </c>
      <c r="P46" s="34">
        <v>54.994720900264433</v>
      </c>
      <c r="Q46" s="34">
        <v>31.320041141593773</v>
      </c>
      <c r="R46" s="34">
        <v>5.9754700000000001E-3</v>
      </c>
      <c r="S46" s="34">
        <v>0.01</v>
      </c>
      <c r="T46" s="34">
        <f t="shared" si="9"/>
        <v>262.08201754385965</v>
      </c>
      <c r="U46" s="34">
        <v>-67</v>
      </c>
      <c r="V46" s="34">
        <f>31.8+39.7</f>
        <v>71.5</v>
      </c>
      <c r="W46" s="34">
        <v>181.5</v>
      </c>
      <c r="X46" s="34">
        <v>84.3</v>
      </c>
      <c r="Y46" s="34">
        <v>25.000000000000007</v>
      </c>
      <c r="Z46" s="34"/>
      <c r="AA46" s="34"/>
      <c r="AB46" s="34"/>
      <c r="AC46" s="34"/>
      <c r="AD46" s="34"/>
      <c r="AE46" s="34"/>
      <c r="AF46" s="34"/>
      <c r="AG46" s="34"/>
      <c r="AH46" s="34"/>
      <c r="AI46" s="16">
        <v>8</v>
      </c>
      <c r="AJ46" s="8" t="s">
        <v>106</v>
      </c>
      <c r="AK46" s="34">
        <v>7</v>
      </c>
      <c r="AL46" s="8">
        <v>0.92</v>
      </c>
      <c r="AM46" s="8">
        <v>117.12344811431269</v>
      </c>
      <c r="AN46" s="8">
        <v>23</v>
      </c>
      <c r="AO46" s="8">
        <v>0.46240786666666672</v>
      </c>
      <c r="AP46" s="8">
        <v>-30.456029999999998</v>
      </c>
      <c r="AQ46" s="8">
        <v>6</v>
      </c>
      <c r="AR46" s="7">
        <v>12.35</v>
      </c>
      <c r="AS46" s="7" t="s">
        <v>90</v>
      </c>
      <c r="AT46" s="8">
        <v>22.6875</v>
      </c>
      <c r="AU46" s="8">
        <v>43.898304344017532</v>
      </c>
      <c r="AV46" s="8">
        <v>48.376953219486253</v>
      </c>
      <c r="AW46" s="8">
        <v>14.548259124894136</v>
      </c>
      <c r="AX46" s="8">
        <v>46.045753415471758</v>
      </c>
      <c r="AY46" s="8">
        <v>11.917429854981684</v>
      </c>
      <c r="AZ46" s="34">
        <v>1.7603000000000001E-2</v>
      </c>
      <c r="BA46" s="8" t="s">
        <v>91</v>
      </c>
      <c r="BB46" s="34">
        <f t="shared" si="10"/>
        <v>775.88980716253445</v>
      </c>
      <c r="BC46" s="34">
        <v>-60</v>
      </c>
      <c r="BD46" s="34">
        <f>33.3+29.9</f>
        <v>63.199999999999996</v>
      </c>
      <c r="BE46" s="34">
        <v>257.48</v>
      </c>
      <c r="BF46" s="34">
        <v>137.59</v>
      </c>
      <c r="BG46" s="34">
        <v>7.6190476190476559</v>
      </c>
      <c r="BH46" s="34"/>
      <c r="BI46" s="34"/>
      <c r="BJ46" s="34"/>
      <c r="BK46" s="34"/>
      <c r="BL46" s="34" t="s">
        <v>56</v>
      </c>
      <c r="BM46" s="34"/>
      <c r="BN46" s="34"/>
    </row>
    <row r="47" spans="1:66" x14ac:dyDescent="0.3">
      <c r="A47" s="22">
        <v>9</v>
      </c>
      <c r="B47" s="8" t="s">
        <v>107</v>
      </c>
      <c r="C47" s="34">
        <v>7</v>
      </c>
      <c r="D47" s="8">
        <v>1.1000000000000001</v>
      </c>
      <c r="E47" s="8">
        <v>214.13276231263441</v>
      </c>
      <c r="F47" s="8">
        <v>55</v>
      </c>
      <c r="G47" s="8">
        <v>0.75212356666666669</v>
      </c>
      <c r="H47" s="8">
        <v>-7.149244333333332</v>
      </c>
      <c r="I47" s="8">
        <v>7</v>
      </c>
      <c r="J47" s="7">
        <v>9.3999999999999897</v>
      </c>
      <c r="K47" s="7" t="s">
        <v>88</v>
      </c>
      <c r="L47" s="8">
        <v>41.785714285714278</v>
      </c>
      <c r="M47" s="8">
        <v>82.185418703040838</v>
      </c>
      <c r="N47" s="8">
        <v>86.850790342192042</v>
      </c>
      <c r="O47" s="34">
        <v>34.236378652509295</v>
      </c>
      <c r="P47" s="34">
        <v>95.958656292329579</v>
      </c>
      <c r="Q47" s="34">
        <v>24.185483438702487</v>
      </c>
      <c r="R47" s="34">
        <v>5.8051300000000004E-3</v>
      </c>
      <c r="S47" s="34"/>
      <c r="T47" s="34">
        <f t="shared" si="9"/>
        <v>138.92618803418807</v>
      </c>
      <c r="U47" s="34">
        <v>-65</v>
      </c>
      <c r="V47" s="34">
        <f>13.2+47.47</f>
        <v>60.67</v>
      </c>
      <c r="W47" s="34">
        <v>156.5</v>
      </c>
      <c r="X47" s="34">
        <v>83.6</v>
      </c>
      <c r="Y47" s="34">
        <v>19.130434782608777</v>
      </c>
      <c r="Z47" s="34"/>
      <c r="AA47" s="34"/>
      <c r="AB47" s="34"/>
      <c r="AC47" s="34"/>
      <c r="AD47" s="34"/>
      <c r="AE47" s="34"/>
      <c r="AF47" s="34"/>
      <c r="AG47" s="34"/>
      <c r="AH47" s="34"/>
      <c r="AI47" s="16">
        <v>9</v>
      </c>
      <c r="AJ47" s="8" t="s">
        <v>108</v>
      </c>
      <c r="AK47" s="34">
        <v>7</v>
      </c>
      <c r="AL47" s="8">
        <v>1.1000000000000001</v>
      </c>
      <c r="AM47" s="8">
        <v>216.73168617251821</v>
      </c>
      <c r="AN47" s="8">
        <v>46</v>
      </c>
      <c r="AO47" s="8">
        <v>0.71984819999999994</v>
      </c>
      <c r="AP47" s="8">
        <v>-8.6685266666666685</v>
      </c>
      <c r="AQ47" s="8">
        <v>6</v>
      </c>
      <c r="AR47" s="7">
        <v>12.4</v>
      </c>
      <c r="AS47" s="7" t="s">
        <v>90</v>
      </c>
      <c r="AT47" s="8">
        <v>26.306249999999999</v>
      </c>
      <c r="AU47" s="8">
        <v>77.113743673654596</v>
      </c>
      <c r="AV47" s="8">
        <v>97.751710654936829</v>
      </c>
      <c r="AW47" s="8">
        <v>30.674949015894903</v>
      </c>
      <c r="AX47" s="8">
        <v>93.552364752586897</v>
      </c>
      <c r="AY47" s="8">
        <v>26.489868525839825</v>
      </c>
      <c r="AZ47" s="8">
        <v>1.5702600000000001E-2</v>
      </c>
      <c r="BA47" s="34">
        <f>84.64-84.11</f>
        <v>0.53000000000000114</v>
      </c>
      <c r="BB47" s="34">
        <f t="shared" si="10"/>
        <v>596.91518175338558</v>
      </c>
      <c r="BC47" s="34">
        <v>-62</v>
      </c>
      <c r="BD47" s="34">
        <f>37.4+29.5</f>
        <v>66.900000000000006</v>
      </c>
      <c r="BE47" s="34">
        <v>170</v>
      </c>
      <c r="BF47" s="34">
        <v>102.4</v>
      </c>
      <c r="BG47" s="34">
        <v>15.600000000000062</v>
      </c>
      <c r="BH47" s="34"/>
      <c r="BI47" s="34"/>
      <c r="BJ47" s="34"/>
      <c r="BK47" s="34"/>
      <c r="BL47" s="34" t="s">
        <v>59</v>
      </c>
      <c r="BM47" s="34"/>
      <c r="BN47" s="34"/>
    </row>
    <row r="48" spans="1:66" x14ac:dyDescent="0.3">
      <c r="A48" s="22">
        <v>10</v>
      </c>
      <c r="B48" s="23" t="s">
        <v>109</v>
      </c>
      <c r="C48" s="34">
        <v>7</v>
      </c>
      <c r="D48" s="23">
        <v>2.35</v>
      </c>
      <c r="E48" s="23">
        <v>177.935</v>
      </c>
      <c r="F48" s="23">
        <v>31</v>
      </c>
      <c r="G48" s="23">
        <v>0.51292572727272723</v>
      </c>
      <c r="H48" s="23">
        <v>-14.46117272727273</v>
      </c>
      <c r="I48" s="23">
        <v>7</v>
      </c>
      <c r="J48" s="7">
        <v>9.4499999999999904</v>
      </c>
      <c r="K48" s="7" t="s">
        <v>88</v>
      </c>
      <c r="L48" s="23">
        <v>15.375</v>
      </c>
      <c r="M48" s="23">
        <v>88.135237762949728</v>
      </c>
      <c r="N48" s="23">
        <v>59.790732436472268</v>
      </c>
      <c r="O48" s="34">
        <v>22.678190997400009</v>
      </c>
      <c r="P48" s="34">
        <v>65.17134168281946</v>
      </c>
      <c r="Q48" s="34">
        <v>20.538269462619205</v>
      </c>
      <c r="R48" s="34">
        <v>6.2532200000000003E-3</v>
      </c>
      <c r="S48" s="34"/>
      <c r="T48" s="34">
        <f t="shared" si="9"/>
        <v>406.71349593495938</v>
      </c>
      <c r="U48" s="34">
        <v>-65</v>
      </c>
      <c r="V48" s="34">
        <f>42.81+22.94</f>
        <v>65.75</v>
      </c>
      <c r="W48" s="34">
        <v>250.26</v>
      </c>
      <c r="X48" s="34">
        <v>138.11000000000001</v>
      </c>
      <c r="Y48" s="34">
        <v>13</v>
      </c>
      <c r="Z48" s="34"/>
      <c r="AA48" s="34"/>
      <c r="AB48" s="34"/>
      <c r="AC48" s="34"/>
      <c r="AD48" s="34"/>
      <c r="AE48" s="34"/>
      <c r="AF48" s="34"/>
      <c r="AG48" s="34"/>
      <c r="AH48" s="34"/>
      <c r="AI48" s="16">
        <v>10</v>
      </c>
      <c r="AJ48" s="8" t="s">
        <v>110</v>
      </c>
      <c r="AK48" s="34">
        <v>7</v>
      </c>
      <c r="AL48" s="28">
        <v>0.7</v>
      </c>
      <c r="AM48" s="28">
        <v>108.3775875149019</v>
      </c>
      <c r="AN48" s="28">
        <v>22</v>
      </c>
      <c r="AO48" s="28">
        <v>1.1695281481481481</v>
      </c>
      <c r="AP48" s="28">
        <v>-10.35223481481481</v>
      </c>
      <c r="AQ48" s="28">
        <v>7</v>
      </c>
      <c r="AR48" s="7">
        <v>12.45</v>
      </c>
      <c r="AS48" s="7" t="s">
        <v>90</v>
      </c>
      <c r="AT48" s="28">
        <v>49.16</v>
      </c>
      <c r="AU48" s="28">
        <v>51.377743060238686</v>
      </c>
      <c r="AV48" s="28">
        <v>39.261876717707239</v>
      </c>
      <c r="AW48" s="29">
        <v>19.815638021875227</v>
      </c>
      <c r="AX48" s="29">
        <v>45.149284443447222</v>
      </c>
      <c r="AY48" s="29">
        <v>14.851512714198654</v>
      </c>
      <c r="AZ48" s="30">
        <v>2.7449499999999999E-3</v>
      </c>
      <c r="BA48" s="29" t="s">
        <v>91</v>
      </c>
      <c r="BB48" s="34">
        <f t="shared" si="10"/>
        <v>55.837062652563063</v>
      </c>
      <c r="BC48" s="31">
        <v>-65</v>
      </c>
      <c r="BD48" s="34">
        <f>13.69+61.57</f>
        <v>75.260000000000005</v>
      </c>
      <c r="BE48" s="34">
        <v>144.19999999999999</v>
      </c>
      <c r="BF48" s="34">
        <v>66.7</v>
      </c>
      <c r="BG48" s="34">
        <v>10.666666666666666</v>
      </c>
      <c r="BH48" s="34"/>
      <c r="BI48" s="34"/>
      <c r="BJ48" s="34"/>
      <c r="BK48" s="34"/>
      <c r="BL48" s="34" t="s">
        <v>62</v>
      </c>
      <c r="BM48" s="34"/>
      <c r="BN48" s="34"/>
    </row>
    <row r="49" spans="1:66" x14ac:dyDescent="0.3">
      <c r="A49" s="20">
        <v>11</v>
      </c>
      <c r="B49" s="24" t="s">
        <v>111</v>
      </c>
      <c r="C49" s="34">
        <v>7</v>
      </c>
      <c r="D49" s="24">
        <v>0.54</v>
      </c>
      <c r="E49" s="34">
        <v>154.15446277169735</v>
      </c>
      <c r="F49" s="24">
        <v>24</v>
      </c>
      <c r="G49" s="21">
        <v>0.90103379166666686</v>
      </c>
      <c r="H49" s="21">
        <v>-9.4670869565217419</v>
      </c>
      <c r="I49" s="24">
        <v>6</v>
      </c>
      <c r="J49" s="7">
        <v>9.4999999999999893</v>
      </c>
      <c r="K49" s="7" t="s">
        <v>88</v>
      </c>
      <c r="L49" s="34">
        <f>(0.00319/0.0000000001)/1000000</f>
        <v>31.9</v>
      </c>
      <c r="M49" s="34">
        <v>101.30311766848808</v>
      </c>
      <c r="N49" s="34">
        <v>50.466818067120727</v>
      </c>
      <c r="O49" s="34">
        <v>26.983517277889138</v>
      </c>
      <c r="P49" s="34">
        <v>50.812862502335065</v>
      </c>
      <c r="Q49" s="34">
        <v>22.27579140876891</v>
      </c>
      <c r="R49" s="9">
        <v>1.10486E-2</v>
      </c>
      <c r="S49" s="34">
        <f>94.11-90.85</f>
        <v>3.2600000000000051</v>
      </c>
      <c r="T49" s="34">
        <f t="shared" si="9"/>
        <v>346.3510971786834</v>
      </c>
      <c r="U49" s="34">
        <v>-65</v>
      </c>
      <c r="V49" s="34">
        <f>31+39.6</f>
        <v>70.599999999999994</v>
      </c>
      <c r="W49" s="34">
        <v>168.6</v>
      </c>
      <c r="X49" s="34">
        <v>86.8</v>
      </c>
      <c r="Y49" s="34">
        <f>(V83-V49)/(P83-P49)</f>
        <v>1.3894119819908912</v>
      </c>
      <c r="Z49" s="34"/>
      <c r="AA49" s="34"/>
      <c r="AB49" s="34"/>
      <c r="AC49" s="34"/>
      <c r="AD49" s="34"/>
      <c r="AE49" s="34"/>
      <c r="AF49" s="34"/>
      <c r="AG49" s="34"/>
      <c r="AH49" s="34"/>
      <c r="AI49" s="16">
        <v>11</v>
      </c>
      <c r="AJ49" s="8" t="s">
        <v>112</v>
      </c>
      <c r="AK49" s="34">
        <v>7</v>
      </c>
      <c r="AL49" s="8">
        <v>0.9</v>
      </c>
      <c r="AM49" s="8">
        <v>149.76785981728341</v>
      </c>
      <c r="AN49" s="8">
        <v>30</v>
      </c>
      <c r="AO49" s="8">
        <v>0.73536579166666638</v>
      </c>
      <c r="AP49" s="8">
        <v>-18.836966666666669</v>
      </c>
      <c r="AQ49" s="8">
        <v>7</v>
      </c>
      <c r="AR49" s="7">
        <v>12.5</v>
      </c>
      <c r="AS49" s="7" t="s">
        <v>90</v>
      </c>
      <c r="AT49" s="8">
        <v>96.666666666666671</v>
      </c>
      <c r="AU49" s="8">
        <v>67.163829856145014</v>
      </c>
      <c r="AV49" s="8">
        <v>54.525627044710923</v>
      </c>
      <c r="AW49" s="8">
        <v>24.259992871741964</v>
      </c>
      <c r="AX49" s="8">
        <v>64.000627458948571</v>
      </c>
      <c r="AY49" s="8">
        <v>17.454724626443209</v>
      </c>
      <c r="AZ49" s="34">
        <v>7.6760099999999996E-3</v>
      </c>
      <c r="BA49" s="29" t="s">
        <v>91</v>
      </c>
      <c r="BB49" s="34">
        <f t="shared" si="10"/>
        <v>79.406999999999996</v>
      </c>
      <c r="BC49" s="34">
        <v>-59</v>
      </c>
      <c r="BD49" s="34">
        <f>18.6+43.5</f>
        <v>62.1</v>
      </c>
      <c r="BE49" s="34">
        <v>189.7</v>
      </c>
      <c r="BF49" s="34">
        <v>88.2</v>
      </c>
      <c r="BG49" s="34">
        <v>12.432432432432433</v>
      </c>
      <c r="BH49" s="34"/>
      <c r="BI49" s="34"/>
      <c r="BJ49" s="34"/>
      <c r="BK49" s="34"/>
      <c r="BL49" s="34" t="s">
        <v>65</v>
      </c>
      <c r="BM49" s="34"/>
      <c r="BN49" s="34"/>
    </row>
    <row r="50" spans="1:66" x14ac:dyDescent="0.3">
      <c r="A50" s="22">
        <v>12</v>
      </c>
      <c r="B50" s="24" t="s">
        <v>113</v>
      </c>
      <c r="C50" s="34">
        <v>7</v>
      </c>
      <c r="D50" s="24">
        <v>0.84</v>
      </c>
      <c r="E50" s="34">
        <v>167.1961210499918</v>
      </c>
      <c r="F50" s="24">
        <v>31</v>
      </c>
      <c r="G50" s="34">
        <v>0.77972688000000023</v>
      </c>
      <c r="H50" s="34">
        <v>-12.746179166666666</v>
      </c>
      <c r="I50" s="24">
        <v>6</v>
      </c>
      <c r="J50" s="7">
        <v>9.5499999999999901</v>
      </c>
      <c r="K50" s="7" t="s">
        <v>88</v>
      </c>
      <c r="L50" s="34">
        <f>(0.0024/0.0000000001)/1000000</f>
        <v>23.999999999999996</v>
      </c>
      <c r="M50" s="34">
        <v>70.8562908313408</v>
      </c>
      <c r="N50" s="34">
        <v>72.679700559633616</v>
      </c>
      <c r="O50" s="34">
        <v>20.473906673570124</v>
      </c>
      <c r="P50" s="34">
        <v>61.093140904024487</v>
      </c>
      <c r="Q50" s="34">
        <v>17.900007163375548</v>
      </c>
      <c r="R50" s="9">
        <v>6.9324299999999998E-3</v>
      </c>
      <c r="S50" s="34">
        <v>1.0074906297634025</v>
      </c>
      <c r="T50" s="34">
        <f t="shared" si="9"/>
        <v>288.85125000000005</v>
      </c>
      <c r="U50" s="34">
        <v>-67.5</v>
      </c>
      <c r="V50" s="34">
        <f>46.9+27.2</f>
        <v>74.099999999999994</v>
      </c>
      <c r="W50" s="34">
        <v>244.2</v>
      </c>
      <c r="X50" s="34">
        <v>98.8</v>
      </c>
      <c r="Y50" s="34">
        <v>12.2727272727273</v>
      </c>
      <c r="Z50" s="34"/>
      <c r="AA50" s="34"/>
      <c r="AB50" s="34"/>
      <c r="AC50" s="34"/>
      <c r="AD50" s="34"/>
      <c r="AE50" s="34"/>
      <c r="AF50" s="34"/>
      <c r="AG50" s="34"/>
      <c r="AH50" s="34"/>
      <c r="AI50" s="6">
        <v>12</v>
      </c>
      <c r="AJ50" s="8" t="s">
        <v>114</v>
      </c>
      <c r="AK50" s="34">
        <v>7</v>
      </c>
      <c r="AL50" s="8">
        <v>0.4</v>
      </c>
      <c r="AM50" s="8">
        <v>163.61256544502629</v>
      </c>
      <c r="AN50" s="8">
        <v>35</v>
      </c>
      <c r="AO50" s="8">
        <v>0.95615986666666664</v>
      </c>
      <c r="AP50" s="8">
        <v>-14.080819999999999</v>
      </c>
      <c r="AQ50" s="8">
        <v>7</v>
      </c>
      <c r="AR50" s="7">
        <v>12.55</v>
      </c>
      <c r="AS50" s="7" t="s">
        <v>90</v>
      </c>
      <c r="AT50" s="8">
        <v>38.733333333333327</v>
      </c>
      <c r="AU50" s="8">
        <v>85.327853862077205</v>
      </c>
      <c r="AV50" s="8">
        <v>65.997888067582139</v>
      </c>
      <c r="AW50" s="8">
        <v>30.113098948903222</v>
      </c>
      <c r="AX50" s="8">
        <v>71.917693251181731</v>
      </c>
      <c r="AY50" s="8">
        <v>23.95046292006754</v>
      </c>
      <c r="AZ50" s="34">
        <v>1.6097299999999998E-2</v>
      </c>
      <c r="BA50" s="34">
        <f>103.67-100.4</f>
        <v>3.269999999999996</v>
      </c>
      <c r="BB50" s="34">
        <f t="shared" si="10"/>
        <v>415.59294320137695</v>
      </c>
      <c r="BC50" s="34">
        <v>-60</v>
      </c>
      <c r="BD50" s="34">
        <f>25.6+39.1</f>
        <v>64.7</v>
      </c>
      <c r="BE50" s="34">
        <v>137.5</v>
      </c>
      <c r="BF50" s="34">
        <v>77.400000000000006</v>
      </c>
      <c r="BG50" s="34">
        <v>16.875</v>
      </c>
      <c r="BH50" s="34"/>
      <c r="BI50" s="34"/>
      <c r="BJ50" s="34"/>
      <c r="BK50" s="34"/>
      <c r="BL50" s="34" t="s">
        <v>68</v>
      </c>
      <c r="BM50" s="34"/>
      <c r="BN50" s="34"/>
    </row>
    <row r="51" spans="1:66" x14ac:dyDescent="0.3">
      <c r="A51" s="22">
        <v>13</v>
      </c>
      <c r="B51" s="24" t="s">
        <v>115</v>
      </c>
      <c r="C51" s="34">
        <v>7</v>
      </c>
      <c r="D51" s="24">
        <v>0.1</v>
      </c>
      <c r="E51" s="34">
        <v>153.35071308081615</v>
      </c>
      <c r="F51" s="24">
        <v>26</v>
      </c>
      <c r="G51" s="34">
        <v>1.176507391304348</v>
      </c>
      <c r="H51" s="34">
        <v>-11.486809999999997</v>
      </c>
      <c r="I51" s="24">
        <v>7</v>
      </c>
      <c r="J51" s="7">
        <v>9.5999999999999908</v>
      </c>
      <c r="K51" s="7" t="s">
        <v>88</v>
      </c>
      <c r="L51" s="34">
        <v>87</v>
      </c>
      <c r="M51" s="34">
        <v>98.700377725920347</v>
      </c>
      <c r="N51" s="34">
        <v>54.972239019295337</v>
      </c>
      <c r="O51" s="34">
        <v>99.322237368160216</v>
      </c>
      <c r="P51" s="34">
        <v>60.524538518363201</v>
      </c>
      <c r="Q51" s="34">
        <v>32.331744349417647</v>
      </c>
      <c r="R51" s="34">
        <v>2.1326399999999999E-2</v>
      </c>
      <c r="S51" s="34">
        <f>114.6-109.1</f>
        <v>5.5</v>
      </c>
      <c r="T51" s="34">
        <f t="shared" si="9"/>
        <v>245.13103448275859</v>
      </c>
      <c r="U51" s="34">
        <v>-60</v>
      </c>
      <c r="V51" s="34">
        <v>70.122773913043474</v>
      </c>
      <c r="W51" s="34">
        <v>191.2</v>
      </c>
      <c r="X51" s="34">
        <v>62.4</v>
      </c>
      <c r="Y51" s="34">
        <v>18.518518518518519</v>
      </c>
      <c r="Z51" s="34"/>
      <c r="AA51" s="34"/>
      <c r="AB51" s="34"/>
      <c r="AC51" s="34"/>
      <c r="AD51" s="34"/>
      <c r="AE51" s="34"/>
      <c r="AF51" s="34"/>
      <c r="AG51" s="34"/>
      <c r="AH51" s="34"/>
      <c r="AI51" s="16">
        <v>13</v>
      </c>
      <c r="AJ51" s="8" t="s">
        <v>116</v>
      </c>
      <c r="AK51" s="34">
        <v>7</v>
      </c>
      <c r="AL51" s="8">
        <v>0.2</v>
      </c>
      <c r="AM51" s="8">
        <v>114.968958381237</v>
      </c>
      <c r="AN51" s="8">
        <v>26</v>
      </c>
      <c r="AO51" s="8">
        <v>1.2990516666666669</v>
      </c>
      <c r="AP51" s="8">
        <v>-16.77653333333333</v>
      </c>
      <c r="AQ51" s="8">
        <v>7</v>
      </c>
      <c r="AR51" s="7">
        <v>12.6</v>
      </c>
      <c r="AS51" s="7" t="s">
        <v>90</v>
      </c>
      <c r="AT51" s="8">
        <v>120.4666666666667</v>
      </c>
      <c r="AU51" s="8">
        <v>71.061736718958855</v>
      </c>
      <c r="AV51" s="8">
        <v>51.075131518463643</v>
      </c>
      <c r="AW51" s="8">
        <v>27.880335760043426</v>
      </c>
      <c r="AX51" s="8">
        <v>52.784731460426613</v>
      </c>
      <c r="AY51" s="8">
        <v>24.939096556705302</v>
      </c>
      <c r="AZ51" s="8">
        <v>2.0426300000000001E-2</v>
      </c>
      <c r="BA51" s="34">
        <f>135.04-130.05</f>
        <v>4.9899999999999807</v>
      </c>
      <c r="BB51" s="34">
        <f t="shared" si="10"/>
        <v>169.5597675705589</v>
      </c>
      <c r="BC51" s="34">
        <v>-67</v>
      </c>
      <c r="BD51" s="34">
        <f>19.2+37.7</f>
        <v>56.900000000000006</v>
      </c>
      <c r="BE51" s="34">
        <v>102.3</v>
      </c>
      <c r="BF51" s="34">
        <v>49.8</v>
      </c>
      <c r="BG51" s="34">
        <v>15.714285714285714</v>
      </c>
      <c r="BH51" s="34"/>
      <c r="BI51" s="34"/>
      <c r="BJ51" s="34"/>
      <c r="BK51" s="34"/>
      <c r="BL51" s="34" t="s">
        <v>70</v>
      </c>
      <c r="BM51" s="34"/>
      <c r="BN51" s="34"/>
    </row>
    <row r="52" spans="1:66" x14ac:dyDescent="0.3">
      <c r="A52" s="22">
        <v>14</v>
      </c>
      <c r="B52" s="24" t="s">
        <v>117</v>
      </c>
      <c r="C52" s="34">
        <v>7</v>
      </c>
      <c r="D52" s="24">
        <v>7.0000000000000007E-2</v>
      </c>
      <c r="E52" s="34">
        <v>66.56460094521735</v>
      </c>
      <c r="F52" s="34">
        <v>18</v>
      </c>
      <c r="G52" s="34">
        <v>1.4718652173913045</v>
      </c>
      <c r="H52" s="34">
        <v>-12.984552173913041</v>
      </c>
      <c r="I52" s="24">
        <v>7</v>
      </c>
      <c r="J52" s="7">
        <v>9.6499999999999897</v>
      </c>
      <c r="K52" s="7" t="s">
        <v>88</v>
      </c>
      <c r="L52" s="34">
        <f>(71.55-61.17)*10</f>
        <v>103.79999999999995</v>
      </c>
      <c r="M52" s="34">
        <v>96.618304322638835</v>
      </c>
      <c r="N52" s="34">
        <v>31.245117950320267</v>
      </c>
      <c r="O52" s="34">
        <v>50.760024571598215</v>
      </c>
      <c r="P52" s="34">
        <v>37.912358614317192</v>
      </c>
      <c r="Q52" s="34">
        <v>42.787299642371572</v>
      </c>
      <c r="R52" s="34">
        <v>2.0165499999999999E-2</v>
      </c>
      <c r="S52" s="34">
        <f>172.4-164.3</f>
        <v>8.0999999999999943</v>
      </c>
      <c r="T52" s="34">
        <f t="shared" si="9"/>
        <v>194.27263969171491</v>
      </c>
      <c r="U52" s="34">
        <v>-63</v>
      </c>
      <c r="V52" s="34">
        <v>69.585386956521731</v>
      </c>
      <c r="W52" s="34">
        <v>147.1</v>
      </c>
      <c r="X52" s="34">
        <v>57.1</v>
      </c>
      <c r="Y52" s="34">
        <v>25</v>
      </c>
      <c r="Z52" s="34">
        <f>68.17-62.96</f>
        <v>5.2100000000000009</v>
      </c>
      <c r="AA52" s="34">
        <f>248.07/2</f>
        <v>124.035</v>
      </c>
      <c r="AB52" s="34">
        <v>1.0000000000000001E-5</v>
      </c>
      <c r="AC52" s="34"/>
      <c r="AD52" s="34"/>
      <c r="AE52" s="34"/>
      <c r="AF52" s="34"/>
      <c r="AG52" s="34"/>
      <c r="AH52" s="34"/>
      <c r="AI52" s="16">
        <v>14</v>
      </c>
      <c r="AJ52" s="8" t="s">
        <v>118</v>
      </c>
      <c r="AK52" s="34">
        <v>7</v>
      </c>
      <c r="AL52" s="8">
        <v>0.35</v>
      </c>
      <c r="AM52" s="8">
        <v>164.7717910693685</v>
      </c>
      <c r="AN52" s="8">
        <v>27</v>
      </c>
      <c r="AO52" s="8">
        <v>1.0104812999999999</v>
      </c>
      <c r="AP52" s="8">
        <v>-10.576370000000001</v>
      </c>
      <c r="AQ52" s="8">
        <v>7</v>
      </c>
      <c r="AR52" s="7">
        <v>12.65</v>
      </c>
      <c r="AS52" s="7" t="s">
        <v>90</v>
      </c>
      <c r="AT52" s="8">
        <v>42.8</v>
      </c>
      <c r="AU52" s="8">
        <v>65.842252845880168</v>
      </c>
      <c r="AV52" s="8">
        <v>47.621315300728547</v>
      </c>
      <c r="AW52" s="8">
        <v>16.543137713990237</v>
      </c>
      <c r="AX52" s="8">
        <v>55.92547027312304</v>
      </c>
      <c r="AY52" s="8">
        <v>10.847762614333048</v>
      </c>
      <c r="AZ52" s="34">
        <v>1.3561699999999999E-2</v>
      </c>
      <c r="BA52" s="8">
        <f>108.063-103.129</f>
        <v>4.9339999999999975</v>
      </c>
      <c r="BB52" s="34">
        <f t="shared" si="10"/>
        <v>316.86214953271025</v>
      </c>
      <c r="BC52" s="34">
        <v>-62</v>
      </c>
      <c r="BD52" s="34">
        <f>44.3+31.8</f>
        <v>76.099999999999994</v>
      </c>
      <c r="BE52" s="34">
        <v>182.3</v>
      </c>
      <c r="BF52" s="34">
        <v>74.599999999999994</v>
      </c>
      <c r="BG52" s="34">
        <v>10.303030303030303</v>
      </c>
      <c r="BH52" s="34"/>
      <c r="BI52" s="34"/>
      <c r="BJ52" s="34"/>
      <c r="BK52" s="34"/>
      <c r="BL52" s="34" t="s">
        <v>72</v>
      </c>
      <c r="BM52" s="34"/>
      <c r="BN52" s="34"/>
    </row>
    <row r="53" spans="1:66" x14ac:dyDescent="0.3">
      <c r="A53" s="22">
        <v>15</v>
      </c>
      <c r="B53" s="24" t="s">
        <v>119</v>
      </c>
      <c r="C53" s="34">
        <v>7</v>
      </c>
      <c r="D53" s="34">
        <v>0.55800000000000005</v>
      </c>
      <c r="E53" s="34">
        <v>115.76753878212543</v>
      </c>
      <c r="F53" s="34">
        <v>19</v>
      </c>
      <c r="G53" s="34">
        <v>0.98832821739130439</v>
      </c>
      <c r="H53" s="34">
        <v>-10.224708695652176</v>
      </c>
      <c r="I53" s="24">
        <v>7</v>
      </c>
      <c r="J53" s="7">
        <v>9.6999999999999904</v>
      </c>
      <c r="K53" s="7" t="s">
        <v>88</v>
      </c>
      <c r="L53" s="34">
        <v>43.8</v>
      </c>
      <c r="M53" s="34">
        <v>90.965491888195302</v>
      </c>
      <c r="N53" s="34">
        <v>32.70218123548846</v>
      </c>
      <c r="O53" s="34">
        <v>24.908275197820124</v>
      </c>
      <c r="P53" s="34">
        <v>38.626042294107165</v>
      </c>
      <c r="Q53" s="34">
        <v>20.038684022447139</v>
      </c>
      <c r="R53" s="34">
        <v>1.25002E-2</v>
      </c>
      <c r="S53" s="34">
        <f>111.5-104.7</f>
        <v>6.7999999999999972</v>
      </c>
      <c r="T53" s="34">
        <f t="shared" si="9"/>
        <v>285.39269406392697</v>
      </c>
      <c r="U53" s="34">
        <v>-67</v>
      </c>
      <c r="V53" s="34">
        <v>61.39340434782607</v>
      </c>
      <c r="W53" s="34">
        <v>141.9</v>
      </c>
      <c r="X53" s="34">
        <v>80</v>
      </c>
      <c r="Y53" s="34">
        <v>15</v>
      </c>
      <c r="Z53" s="34">
        <v>5.0099999999999909</v>
      </c>
      <c r="AA53" s="34">
        <v>81.155000000000001</v>
      </c>
      <c r="AB53" s="34">
        <v>0.41000000000000369</v>
      </c>
      <c r="AC53" s="34"/>
      <c r="AD53" s="34"/>
      <c r="AE53" s="34"/>
      <c r="AF53" s="34"/>
      <c r="AG53" s="34"/>
      <c r="AH53" s="34"/>
      <c r="AI53" s="16">
        <v>15</v>
      </c>
      <c r="AJ53" s="8" t="s">
        <v>120</v>
      </c>
      <c r="AK53" s="34">
        <v>7</v>
      </c>
      <c r="AL53" s="28">
        <v>0.2</v>
      </c>
      <c r="AM53" s="28">
        <v>114.2074006395614</v>
      </c>
      <c r="AN53" s="28">
        <v>23</v>
      </c>
      <c r="AO53" s="28">
        <v>1.1067776666666671</v>
      </c>
      <c r="AP53" s="28">
        <v>-5.6448852272727272</v>
      </c>
      <c r="AQ53" s="28">
        <v>6</v>
      </c>
      <c r="AR53" s="7">
        <v>12.7</v>
      </c>
      <c r="AS53" s="7" t="s">
        <v>90</v>
      </c>
      <c r="AT53" s="28">
        <v>81.333333333333343</v>
      </c>
      <c r="AU53" s="28">
        <v>82.23745434577809</v>
      </c>
      <c r="AV53" s="28">
        <v>41.946308724832363</v>
      </c>
      <c r="AW53" s="28">
        <v>30.681951089650415</v>
      </c>
      <c r="AX53" s="28">
        <v>46.880569057845719</v>
      </c>
      <c r="AY53" s="28">
        <v>25.439276808248259</v>
      </c>
      <c r="AZ53" s="28">
        <v>1.7289599999999999E-2</v>
      </c>
      <c r="BA53" s="18">
        <f>118.08-108.66</f>
        <v>9.4200000000000017</v>
      </c>
      <c r="BB53" s="34">
        <f t="shared" si="10"/>
        <v>212.57704918032783</v>
      </c>
      <c r="BC53" s="32">
        <v>-60</v>
      </c>
      <c r="BD53" s="34">
        <f>36.8+44.7</f>
        <v>81.5</v>
      </c>
      <c r="BE53" s="32">
        <v>159.9</v>
      </c>
      <c r="BF53" s="34">
        <v>81.099999999999994</v>
      </c>
      <c r="BG53" s="34">
        <v>14.615384615384617</v>
      </c>
      <c r="BH53" s="34"/>
      <c r="BI53" s="34"/>
      <c r="BJ53" s="34"/>
      <c r="BK53" s="34"/>
      <c r="BL53" s="34" t="s">
        <v>73</v>
      </c>
      <c r="BM53" s="34"/>
      <c r="BN53" s="34"/>
    </row>
    <row r="54" spans="1:66" x14ac:dyDescent="0.3">
      <c r="A54" s="22">
        <v>16</v>
      </c>
      <c r="B54" s="24" t="s">
        <v>121</v>
      </c>
      <c r="C54" s="34">
        <v>7</v>
      </c>
      <c r="D54" s="34">
        <v>0.15</v>
      </c>
      <c r="E54" s="34">
        <v>88.144557073600708</v>
      </c>
      <c r="F54" s="34">
        <v>12</v>
      </c>
      <c r="G54" s="34">
        <v>1.2008766666666668</v>
      </c>
      <c r="H54" s="34">
        <v>-4.857379166666667</v>
      </c>
      <c r="I54" s="24">
        <v>7</v>
      </c>
      <c r="J54" s="7">
        <v>9.7499999999999893</v>
      </c>
      <c r="K54" s="7" t="s">
        <v>88</v>
      </c>
      <c r="L54" s="34">
        <v>170.18</v>
      </c>
      <c r="M54" s="34">
        <v>74.529728388363807</v>
      </c>
      <c r="N54" s="34">
        <v>24.5392751098132</v>
      </c>
      <c r="O54" s="34">
        <v>5.0698045333642199</v>
      </c>
      <c r="P54" s="34">
        <v>27.624983442418799</v>
      </c>
      <c r="Q54" s="34">
        <v>44.000905719883654</v>
      </c>
      <c r="R54" s="34">
        <v>2.7547599999999998E-2</v>
      </c>
      <c r="S54" s="34">
        <f>156.05-143.33</f>
        <v>12.719999999999999</v>
      </c>
      <c r="T54" s="34">
        <f t="shared" si="9"/>
        <v>161.87331061229284</v>
      </c>
      <c r="U54" s="34">
        <v>-67.7</v>
      </c>
      <c r="V54" s="34">
        <v>75.56153333333333</v>
      </c>
      <c r="W54" s="34">
        <v>174.4</v>
      </c>
      <c r="X54" s="34">
        <v>68.3</v>
      </c>
      <c r="Y54" s="34">
        <v>20</v>
      </c>
      <c r="Z54" s="34">
        <v>2.230000000000004</v>
      </c>
      <c r="AA54" s="34">
        <v>89.015000000000001</v>
      </c>
      <c r="AB54" s="34">
        <v>2.3500000000000014</v>
      </c>
      <c r="AC54" s="34"/>
      <c r="AD54" s="34"/>
      <c r="AE54" s="34"/>
      <c r="AF54" s="34"/>
      <c r="AG54" s="34"/>
      <c r="AH54" s="34"/>
      <c r="AI54" s="16">
        <v>16</v>
      </c>
      <c r="AJ54" s="8" t="s">
        <v>122</v>
      </c>
      <c r="AK54" s="34">
        <v>7</v>
      </c>
      <c r="AL54" s="28">
        <v>1.25</v>
      </c>
      <c r="AM54" s="28">
        <v>98.54158454867958</v>
      </c>
      <c r="AN54" s="28">
        <v>19</v>
      </c>
      <c r="AO54" s="28">
        <v>0.89301147999999986</v>
      </c>
      <c r="AP54" s="28">
        <v>-3.147071232876713</v>
      </c>
      <c r="AQ54" s="28">
        <v>6</v>
      </c>
      <c r="AR54" s="7">
        <v>12.75</v>
      </c>
      <c r="AS54" s="7" t="s">
        <v>90</v>
      </c>
      <c r="AT54" s="28">
        <v>20.8</v>
      </c>
      <c r="AU54" s="28">
        <v>115.9779020670932</v>
      </c>
      <c r="AV54" s="28">
        <v>35.560613064969118</v>
      </c>
      <c r="AW54" s="28">
        <v>36.253889483355238</v>
      </c>
      <c r="AX54" s="28">
        <v>39.691355721737629</v>
      </c>
      <c r="AY54" s="18">
        <v>25.660464041669705</v>
      </c>
      <c r="AZ54" s="28">
        <v>7.0925600000000004E-3</v>
      </c>
      <c r="BA54" s="28">
        <f>86.91-85.485</f>
        <v>1.4249999999999972</v>
      </c>
      <c r="BB54" s="34">
        <f t="shared" si="10"/>
        <v>340.98846153846154</v>
      </c>
      <c r="BC54" s="33">
        <v>-67</v>
      </c>
      <c r="BD54" s="34">
        <f>28.1+40.9</f>
        <v>69</v>
      </c>
      <c r="BE54" s="32">
        <v>148.4</v>
      </c>
      <c r="BF54" s="34">
        <v>73.3</v>
      </c>
      <c r="BG54" s="34">
        <v>18.571428571428573</v>
      </c>
      <c r="BH54" s="34"/>
      <c r="BI54" s="34"/>
      <c r="BJ54" s="34"/>
      <c r="BK54" s="34"/>
      <c r="BL54" s="34" t="s">
        <v>27</v>
      </c>
      <c r="BM54" s="34"/>
      <c r="BN54" s="34"/>
    </row>
    <row r="55" spans="1:66" x14ac:dyDescent="0.3">
      <c r="A55" s="22">
        <v>17</v>
      </c>
      <c r="B55" s="24" t="s">
        <v>123</v>
      </c>
      <c r="C55" s="34">
        <v>7</v>
      </c>
      <c r="D55" s="34">
        <v>0.75700000000000001</v>
      </c>
      <c r="E55" s="34">
        <v>128.86597938144345</v>
      </c>
      <c r="F55" s="34">
        <v>21</v>
      </c>
      <c r="G55" s="34">
        <v>0.98320047999999971</v>
      </c>
      <c r="H55" s="34">
        <v>-6.3867240000000001</v>
      </c>
      <c r="I55" s="24">
        <v>7</v>
      </c>
      <c r="J55" s="7">
        <v>9.7999999999999794</v>
      </c>
      <c r="K55" s="7" t="s">
        <v>88</v>
      </c>
      <c r="L55" s="34">
        <v>33.700000000000003</v>
      </c>
      <c r="M55" s="34">
        <v>91.975838765011517</v>
      </c>
      <c r="N55" s="34">
        <v>43.531255441406969</v>
      </c>
      <c r="O55" s="34">
        <v>25.761996888529723</v>
      </c>
      <c r="P55" s="34">
        <v>47.337757978428002</v>
      </c>
      <c r="Q55" s="34">
        <v>22.682240474434241</v>
      </c>
      <c r="R55" s="34">
        <v>6.9934999999999997E-3</v>
      </c>
      <c r="S55" s="34">
        <f>102.78-100.81</f>
        <v>1.9699999999999989</v>
      </c>
      <c r="T55" s="34">
        <f t="shared" si="9"/>
        <v>207.5222551928783</v>
      </c>
      <c r="U55" s="34">
        <v>-69</v>
      </c>
      <c r="V55" s="34">
        <v>61.83</v>
      </c>
      <c r="W55" s="34">
        <v>152.9</v>
      </c>
      <c r="X55" s="34">
        <v>76</v>
      </c>
      <c r="Y55" s="34">
        <v>12.5</v>
      </c>
      <c r="Z55" s="34">
        <v>2.2900000000000063</v>
      </c>
      <c r="AA55" s="34">
        <v>31.215</v>
      </c>
      <c r="AB55" s="34">
        <v>1.3799999999999955</v>
      </c>
      <c r="AC55" s="34"/>
      <c r="AD55" s="34"/>
      <c r="AE55" s="34"/>
      <c r="AF55" s="34"/>
      <c r="AG55" s="34"/>
      <c r="AH55" s="34"/>
      <c r="AI55" s="16">
        <v>17</v>
      </c>
      <c r="AJ55" s="8" t="s">
        <v>124</v>
      </c>
      <c r="AK55" s="34">
        <v>7</v>
      </c>
      <c r="AL55" s="28">
        <v>0.1</v>
      </c>
      <c r="AM55" s="28">
        <v>116.85</v>
      </c>
      <c r="AN55" s="28">
        <v>20</v>
      </c>
      <c r="AO55" s="28">
        <v>1.5</v>
      </c>
      <c r="AP55" s="28">
        <v>-24.305566666666664</v>
      </c>
      <c r="AQ55" s="28"/>
      <c r="AR55" s="7">
        <v>12.8</v>
      </c>
      <c r="AS55" s="7" t="s">
        <v>90</v>
      </c>
      <c r="AT55" s="28">
        <v>190</v>
      </c>
      <c r="AU55" s="28">
        <v>108.61</v>
      </c>
      <c r="AV55" s="28">
        <v>41.088000000000001</v>
      </c>
      <c r="AW55" s="28">
        <v>30.831106823316134</v>
      </c>
      <c r="AX55" s="28">
        <v>41.17591389968139</v>
      </c>
      <c r="AY55" s="28">
        <v>31.157964854723062</v>
      </c>
      <c r="AZ55" s="28">
        <v>3.8369E-2</v>
      </c>
      <c r="BA55" s="18">
        <f>104.7-102.9</f>
        <v>1.7999999999999972</v>
      </c>
      <c r="BB55" s="34">
        <f t="shared" si="10"/>
        <v>201.94210526315791</v>
      </c>
      <c r="BC55" s="15">
        <v>-67.5</v>
      </c>
      <c r="BD55" s="14">
        <f>52+28.5</f>
        <v>80.5</v>
      </c>
      <c r="BE55" s="15">
        <v>173.6</v>
      </c>
      <c r="BF55" s="15">
        <v>51.7</v>
      </c>
      <c r="BG55" s="34">
        <v>18.666666666666668</v>
      </c>
      <c r="BH55" s="34">
        <f>74.58-62.1</f>
        <v>12.479999999999997</v>
      </c>
      <c r="BI55" s="34">
        <f>274/2</f>
        <v>137</v>
      </c>
      <c r="BJ55" s="34">
        <v>1.0000000000000001E-5</v>
      </c>
      <c r="BK55" s="34"/>
      <c r="BL55" s="34" t="s">
        <v>25</v>
      </c>
      <c r="BM55" s="34"/>
      <c r="BN55" s="34"/>
    </row>
    <row r="56" spans="1:66" x14ac:dyDescent="0.3">
      <c r="A56" s="22">
        <v>18</v>
      </c>
      <c r="B56" s="24" t="s">
        <v>125</v>
      </c>
      <c r="C56" s="34">
        <v>7</v>
      </c>
      <c r="D56" s="34">
        <v>0.16</v>
      </c>
      <c r="E56" s="34">
        <v>121.06537530266357</v>
      </c>
      <c r="F56" s="34">
        <v>31</v>
      </c>
      <c r="G56" s="34">
        <v>0.89002185185185201</v>
      </c>
      <c r="H56" s="34">
        <v>-18.247251851851853</v>
      </c>
      <c r="I56" s="24">
        <v>6</v>
      </c>
      <c r="J56" s="7">
        <v>9.8499999999999801</v>
      </c>
      <c r="K56" s="7" t="s">
        <v>88</v>
      </c>
      <c r="L56" s="34">
        <v>87.9</v>
      </c>
      <c r="M56" s="34">
        <v>76.45858472469736</v>
      </c>
      <c r="N56" s="34">
        <v>62.034739454094279</v>
      </c>
      <c r="O56" s="34">
        <v>37.212086022578319</v>
      </c>
      <c r="P56" s="34">
        <v>61.171721323715857</v>
      </c>
      <c r="Q56" s="34">
        <v>35.444022294136012</v>
      </c>
      <c r="R56" s="34">
        <v>1.8240800000000001E-2</v>
      </c>
      <c r="S56" s="34">
        <f>121.4-112</f>
        <v>9.4000000000000057</v>
      </c>
      <c r="T56" s="34">
        <f t="shared" ref="T56:T66" si="11">(R56/L56)*1000000</f>
        <v>207.51763367463028</v>
      </c>
      <c r="U56" s="34">
        <v>-66.84</v>
      </c>
      <c r="V56" s="34">
        <v>78.172466666666665</v>
      </c>
      <c r="W56" s="34">
        <v>223.9</v>
      </c>
      <c r="X56" s="34">
        <v>101.9</v>
      </c>
      <c r="Y56" s="34">
        <v>18.461538461538463</v>
      </c>
      <c r="Z56" s="34">
        <f>78.19-68.22</f>
        <v>9.9699999999999989</v>
      </c>
      <c r="AA56" s="34">
        <v>70.784999999999997</v>
      </c>
      <c r="AB56" s="34">
        <v>1.0000000000000001E-5</v>
      </c>
      <c r="AC56" s="34"/>
      <c r="AD56" s="34"/>
      <c r="AE56" s="34"/>
      <c r="AF56" s="34"/>
      <c r="AG56" s="34"/>
      <c r="AH56" s="34"/>
      <c r="AI56" s="16">
        <v>19</v>
      </c>
      <c r="AJ56" s="8" t="s">
        <v>126</v>
      </c>
      <c r="AK56" s="34">
        <v>7</v>
      </c>
      <c r="AL56" s="8">
        <v>0.83</v>
      </c>
      <c r="AM56" s="8">
        <v>141.26289023873468</v>
      </c>
      <c r="AN56" s="8">
        <v>23</v>
      </c>
      <c r="AO56" s="8">
        <v>0.90130440909090903</v>
      </c>
      <c r="AP56" s="8">
        <v>-11.599450000000003</v>
      </c>
      <c r="AQ56" s="8">
        <v>7</v>
      </c>
      <c r="AR56" s="7">
        <v>12.9</v>
      </c>
      <c r="AS56" s="7" t="s">
        <v>90</v>
      </c>
      <c r="AT56" s="8">
        <v>44.4</v>
      </c>
      <c r="AU56" s="8">
        <v>72.483577477489817</v>
      </c>
      <c r="AV56" s="8">
        <v>52.350539210553933</v>
      </c>
      <c r="AW56" s="8">
        <v>17.16325957077429</v>
      </c>
      <c r="AX56" s="8">
        <v>48.678110694203731</v>
      </c>
      <c r="AY56" s="8">
        <v>16.641200481271596</v>
      </c>
      <c r="AZ56" s="8">
        <v>7.8779000000000002E-3</v>
      </c>
      <c r="BA56" s="8">
        <f>97.07-93.6</f>
        <v>3.4699999999999989</v>
      </c>
      <c r="BB56" s="34">
        <f t="shared" ref="BB56:BB73" si="12">(AZ56/AT56)*1000000</f>
        <v>177.4301801801802</v>
      </c>
      <c r="BC56" s="15">
        <v>-65</v>
      </c>
      <c r="BD56" s="14">
        <f>41.2+32.2</f>
        <v>73.400000000000006</v>
      </c>
      <c r="BE56" s="15">
        <v>184.3</v>
      </c>
      <c r="BF56" s="15">
        <v>79.8</v>
      </c>
      <c r="BG56" s="34">
        <v>9.7142857142857135</v>
      </c>
      <c r="BH56" s="34">
        <f>66.74-63.34</f>
        <v>3.3999999999999915</v>
      </c>
      <c r="BI56" s="34">
        <f>91.57/2</f>
        <v>45.784999999999997</v>
      </c>
      <c r="BJ56" s="34">
        <f>51.92-49.63</f>
        <v>2.2899999999999991</v>
      </c>
      <c r="BK56" s="34"/>
      <c r="BL56" s="34" t="s">
        <v>26</v>
      </c>
      <c r="BM56" s="34"/>
      <c r="BN56" s="34"/>
    </row>
    <row r="57" spans="1:66" x14ac:dyDescent="0.3">
      <c r="A57" s="22">
        <v>19</v>
      </c>
      <c r="B57" s="24" t="s">
        <v>127</v>
      </c>
      <c r="C57" s="34">
        <v>7</v>
      </c>
      <c r="D57" s="34">
        <v>0.371</v>
      </c>
      <c r="E57" s="34">
        <v>122.88031457360523</v>
      </c>
      <c r="F57" s="34">
        <v>20</v>
      </c>
      <c r="G57" s="34">
        <v>1.0208263157894737</v>
      </c>
      <c r="H57" s="34">
        <v>-3.4349222222222218</v>
      </c>
      <c r="I57" s="24">
        <v>6</v>
      </c>
      <c r="J57" s="7">
        <v>9.8999999999999808</v>
      </c>
      <c r="K57" s="7" t="s">
        <v>88</v>
      </c>
      <c r="L57" s="34">
        <v>64.599999999999994</v>
      </c>
      <c r="M57" s="34">
        <v>40.98276243905741</v>
      </c>
      <c r="N57" s="34">
        <v>40.817992571125316</v>
      </c>
      <c r="O57" s="34">
        <v>56.731493571905297</v>
      </c>
      <c r="P57" s="34">
        <v>45.196314457145355</v>
      </c>
      <c r="Q57" s="34">
        <v>40.98276243905741</v>
      </c>
      <c r="R57" s="34">
        <v>1.44756E-2</v>
      </c>
      <c r="S57" s="34">
        <f>119.123-118.31</f>
        <v>0.81300000000000239</v>
      </c>
      <c r="T57" s="34">
        <f t="shared" si="11"/>
        <v>224.08049535603718</v>
      </c>
      <c r="U57" s="34">
        <v>-67</v>
      </c>
      <c r="V57" s="34">
        <v>63.071799999999996</v>
      </c>
      <c r="W57" s="34">
        <v>130.69999999999999</v>
      </c>
      <c r="X57" s="34">
        <v>70.5</v>
      </c>
      <c r="Y57" s="34">
        <v>28</v>
      </c>
      <c r="Z57" s="34">
        <f>69.22-67.13</f>
        <v>2.0900000000000034</v>
      </c>
      <c r="AA57" s="34">
        <f>63/2</f>
        <v>31.5</v>
      </c>
      <c r="AB57" s="34">
        <v>1.7700000000000031</v>
      </c>
      <c r="AC57" s="34"/>
      <c r="AD57" s="34"/>
      <c r="AE57" s="34"/>
      <c r="AF57" s="34"/>
      <c r="AG57" s="34"/>
      <c r="AH57" s="34"/>
      <c r="AI57" s="16">
        <v>20</v>
      </c>
      <c r="AJ57" s="24" t="s">
        <v>128</v>
      </c>
      <c r="AK57" s="34">
        <v>7</v>
      </c>
      <c r="AL57" s="26">
        <v>1.2</v>
      </c>
      <c r="AM57" s="34">
        <v>109.22992900054614</v>
      </c>
      <c r="AN57" s="34">
        <v>23</v>
      </c>
      <c r="AO57" s="34">
        <v>1.1050270000000002</v>
      </c>
      <c r="AP57" s="34">
        <v>-12.4587915</v>
      </c>
      <c r="AQ57" s="26">
        <v>7</v>
      </c>
      <c r="AR57" s="7">
        <v>12.95</v>
      </c>
      <c r="AS57" s="7" t="s">
        <v>90</v>
      </c>
      <c r="AT57" s="34">
        <v>31.9</v>
      </c>
      <c r="AU57" s="34">
        <v>67.652128902234793</v>
      </c>
      <c r="AV57" s="34">
        <v>39.3391030684501</v>
      </c>
      <c r="AW57" s="34">
        <v>23.230123596285377</v>
      </c>
      <c r="AX57" s="34">
        <v>47.551293926584236</v>
      </c>
      <c r="AY57" s="34">
        <v>17.629799579594916</v>
      </c>
      <c r="AZ57" s="34">
        <v>1.46975E-2</v>
      </c>
      <c r="BA57" s="34">
        <f>112.82-111.58</f>
        <v>1.2399999999999949</v>
      </c>
      <c r="BB57" s="34">
        <f t="shared" si="12"/>
        <v>460.7366771159875</v>
      </c>
      <c r="BC57" s="15">
        <v>-68.900000000000006</v>
      </c>
      <c r="BD57" s="34">
        <v>68.829340000000002</v>
      </c>
      <c r="BE57" s="15">
        <v>142.44</v>
      </c>
      <c r="BF57" s="15">
        <v>72.28</v>
      </c>
      <c r="BG57" s="34">
        <v>11.428571428571429</v>
      </c>
      <c r="BH57" s="34">
        <v>0.50999999999999801</v>
      </c>
      <c r="BI57" s="34">
        <v>16.649999999999999</v>
      </c>
      <c r="BJ57" s="34">
        <v>2.4750000000000014</v>
      </c>
      <c r="BK57" s="34"/>
      <c r="BL57" s="34"/>
      <c r="BM57" s="34"/>
      <c r="BN57" s="34"/>
    </row>
    <row r="58" spans="1:66" x14ac:dyDescent="0.3">
      <c r="A58" s="22">
        <v>20</v>
      </c>
      <c r="B58" s="24" t="s">
        <v>129</v>
      </c>
      <c r="C58" s="34">
        <v>7</v>
      </c>
      <c r="D58" s="34">
        <v>0.37</v>
      </c>
      <c r="E58" s="34">
        <v>107.57314974182454</v>
      </c>
      <c r="F58" s="34">
        <v>18</v>
      </c>
      <c r="G58" s="34">
        <v>1.0574189999999999</v>
      </c>
      <c r="H58" s="34">
        <v>-5.5786099999999994</v>
      </c>
      <c r="I58" s="24">
        <v>6</v>
      </c>
      <c r="J58" s="7">
        <v>9.9499999999999797</v>
      </c>
      <c r="K58" s="7" t="s">
        <v>88</v>
      </c>
      <c r="L58" s="34">
        <v>48.6</v>
      </c>
      <c r="M58" s="34">
        <v>105.85339665833509</v>
      </c>
      <c r="N58" s="34">
        <v>37.707390648567142</v>
      </c>
      <c r="O58" s="34">
        <v>31.631661005225602</v>
      </c>
      <c r="P58" s="34">
        <v>39.555390725774402</v>
      </c>
      <c r="Q58" s="34">
        <v>24.459472465910551</v>
      </c>
      <c r="R58" s="34">
        <v>1.25332E-2</v>
      </c>
      <c r="S58" s="34">
        <f>105.316-99.54</f>
        <v>5.7759999999999962</v>
      </c>
      <c r="T58" s="34">
        <f t="shared" si="11"/>
        <v>257.88477366255142</v>
      </c>
      <c r="U58" s="34">
        <v>-60</v>
      </c>
      <c r="V58" s="34">
        <v>63.528450000000007</v>
      </c>
      <c r="W58" s="34">
        <v>131.5</v>
      </c>
      <c r="X58" s="34">
        <v>66</v>
      </c>
      <c r="Y58" s="34">
        <v>15.555555555555555</v>
      </c>
      <c r="Z58" s="34">
        <v>5.99</v>
      </c>
      <c r="AA58" s="34">
        <v>52.54</v>
      </c>
      <c r="AB58" s="34">
        <v>0.68600000000000005</v>
      </c>
      <c r="AC58" s="34"/>
      <c r="AD58" s="34"/>
      <c r="AE58" s="34"/>
      <c r="AF58" s="34"/>
      <c r="AG58" s="34"/>
      <c r="AH58" s="34"/>
      <c r="AI58" s="16">
        <v>21</v>
      </c>
      <c r="AJ58" s="24" t="s">
        <v>130</v>
      </c>
      <c r="AK58" s="34">
        <v>7</v>
      </c>
      <c r="AL58" s="26">
        <v>0.46400000000000002</v>
      </c>
      <c r="AM58" s="34">
        <v>143.51320321469538</v>
      </c>
      <c r="AN58" s="34">
        <v>31</v>
      </c>
      <c r="AO58" s="34">
        <v>0.846531148148148</v>
      </c>
      <c r="AP58" s="34">
        <v>-13.262718518518518</v>
      </c>
      <c r="AQ58" s="24">
        <v>6</v>
      </c>
      <c r="AR58" s="7">
        <v>13</v>
      </c>
      <c r="AS58" s="7" t="s">
        <v>90</v>
      </c>
      <c r="AT58" s="15">
        <v>33</v>
      </c>
      <c r="AU58" s="34">
        <v>50.179780371946407</v>
      </c>
      <c r="AV58" s="34">
        <v>61.57256326580881</v>
      </c>
      <c r="AW58" s="34">
        <v>20.818327162915494</v>
      </c>
      <c r="AX58" s="34">
        <v>64.662820911261292</v>
      </c>
      <c r="AY58" s="34">
        <v>19.413446343700667</v>
      </c>
      <c r="AZ58" s="34">
        <v>1.37374E-2</v>
      </c>
      <c r="BA58" s="34">
        <f>96.04-94.41</f>
        <v>1.6300000000000097</v>
      </c>
      <c r="BB58" s="34">
        <f t="shared" si="12"/>
        <v>416.28484848484851</v>
      </c>
      <c r="BC58" s="15">
        <v>-62.8</v>
      </c>
      <c r="BD58" s="34">
        <v>64.163762962962949</v>
      </c>
      <c r="BE58" s="15">
        <v>171.3</v>
      </c>
      <c r="BF58" s="15">
        <v>89.4</v>
      </c>
      <c r="BG58" s="34">
        <v>10</v>
      </c>
      <c r="BH58" s="34">
        <v>5.3400000000000034</v>
      </c>
      <c r="BI58" s="34">
        <v>67.23</v>
      </c>
      <c r="BJ58" s="34">
        <v>0.84899999999999665</v>
      </c>
      <c r="BK58" s="34"/>
      <c r="BL58" s="34"/>
      <c r="BM58" s="34"/>
      <c r="BN58" s="34"/>
    </row>
    <row r="59" spans="1:66" x14ac:dyDescent="0.3">
      <c r="A59" s="20">
        <v>21</v>
      </c>
      <c r="B59" s="24" t="s">
        <v>131</v>
      </c>
      <c r="C59" s="34">
        <v>7</v>
      </c>
      <c r="D59" s="34">
        <v>0.73</v>
      </c>
      <c r="E59" s="34">
        <v>115.6470452179948</v>
      </c>
      <c r="F59" s="34">
        <v>20</v>
      </c>
      <c r="G59" s="34">
        <v>0.81850287499999996</v>
      </c>
      <c r="H59" s="34">
        <v>-8.3326217391304347</v>
      </c>
      <c r="I59" s="24">
        <v>6</v>
      </c>
      <c r="J59" s="7">
        <v>9.9999999999999805</v>
      </c>
      <c r="K59" s="7" t="s">
        <v>88</v>
      </c>
      <c r="L59" s="34">
        <v>40.799999999999997</v>
      </c>
      <c r="M59" s="34">
        <v>116.99932353681801</v>
      </c>
      <c r="N59" s="34">
        <v>39.33910306844993</v>
      </c>
      <c r="O59" s="34">
        <v>34.500548785893045</v>
      </c>
      <c r="P59" s="34">
        <v>44.827588674072651</v>
      </c>
      <c r="Q59" s="34">
        <v>30.222739974201726</v>
      </c>
      <c r="R59" s="34">
        <v>1.62174E-2</v>
      </c>
      <c r="S59" s="34">
        <f>96.85-94.79</f>
        <v>2.0599999999999881</v>
      </c>
      <c r="T59" s="34">
        <f t="shared" si="11"/>
        <v>397.48529411764707</v>
      </c>
      <c r="U59" s="34">
        <v>-64.099999999999994</v>
      </c>
      <c r="V59" s="34">
        <v>64.631150000000005</v>
      </c>
      <c r="W59" s="34">
        <v>159.80000000000001</v>
      </c>
      <c r="X59" s="34">
        <v>88.1</v>
      </c>
      <c r="Y59" s="34">
        <v>16.25</v>
      </c>
      <c r="Z59" s="34">
        <v>3.7600000000000051</v>
      </c>
      <c r="AA59" s="34">
        <v>115.6470452179948</v>
      </c>
      <c r="AB59" s="34">
        <v>0.74000000000000199</v>
      </c>
      <c r="AC59" s="34"/>
      <c r="AD59" s="34"/>
      <c r="AE59" s="34"/>
      <c r="AF59" s="34"/>
      <c r="AG59" s="34"/>
      <c r="AH59" s="34"/>
      <c r="AI59" s="16">
        <v>22</v>
      </c>
      <c r="AJ59" s="24" t="s">
        <v>132</v>
      </c>
      <c r="AK59" s="34">
        <v>7</v>
      </c>
      <c r="AL59" s="26">
        <v>0.55000000000000004</v>
      </c>
      <c r="AM59" s="34">
        <v>87.519691930684502</v>
      </c>
      <c r="AN59" s="34">
        <v>17</v>
      </c>
      <c r="AO59" s="34">
        <v>1.1858865517241381</v>
      </c>
      <c r="AP59" s="34">
        <v>-6.0382689655172408</v>
      </c>
      <c r="AQ59" s="24">
        <v>6</v>
      </c>
      <c r="AR59" s="7">
        <v>13.05</v>
      </c>
      <c r="AS59" s="7" t="s">
        <v>90</v>
      </c>
      <c r="AT59" s="34">
        <v>44.3</v>
      </c>
      <c r="AU59" s="34">
        <v>152.2585688050498</v>
      </c>
      <c r="AV59" s="34">
        <v>31.213908917813743</v>
      </c>
      <c r="AW59" s="34">
        <v>45.917628188302146</v>
      </c>
      <c r="AX59" s="34">
        <v>35.312593030162773</v>
      </c>
      <c r="AY59" s="34">
        <v>38.423185378136623</v>
      </c>
      <c r="AZ59" s="34">
        <v>1.6027799999999998E-2</v>
      </c>
      <c r="BA59" s="34">
        <f>101.02-99.34</f>
        <v>1.6799999999999926</v>
      </c>
      <c r="BB59" s="34">
        <f t="shared" si="12"/>
        <v>361.80135440180584</v>
      </c>
      <c r="BC59" s="15">
        <v>-68.5</v>
      </c>
      <c r="BD59" s="34">
        <v>66.244193103448282</v>
      </c>
      <c r="BE59" s="15">
        <v>150.4</v>
      </c>
      <c r="BF59" s="15">
        <v>61.6</v>
      </c>
      <c r="BG59" s="34">
        <v>22</v>
      </c>
      <c r="BH59" s="34">
        <v>1.1700000000000017</v>
      </c>
      <c r="BI59" s="34">
        <v>52.54</v>
      </c>
      <c r="BJ59" s="34">
        <v>1.3299999999999983</v>
      </c>
      <c r="BK59" s="34"/>
      <c r="BL59" s="34"/>
      <c r="BM59" s="34"/>
      <c r="BN59" s="34"/>
    </row>
    <row r="60" spans="1:66" x14ac:dyDescent="0.3">
      <c r="A60" s="22">
        <v>22</v>
      </c>
      <c r="B60" s="24" t="s">
        <v>133</v>
      </c>
      <c r="C60" s="34">
        <v>7</v>
      </c>
      <c r="D60" s="34">
        <v>1</v>
      </c>
      <c r="E60" s="34">
        <v>115.16756881262208</v>
      </c>
      <c r="F60" s="34">
        <v>26</v>
      </c>
      <c r="G60" s="34">
        <v>0.78418421428571428</v>
      </c>
      <c r="H60" s="34">
        <v>-10.296855555555556</v>
      </c>
      <c r="I60" s="24">
        <v>7</v>
      </c>
      <c r="J60" s="7">
        <v>10.050000000000001</v>
      </c>
      <c r="K60" s="7" t="s">
        <v>88</v>
      </c>
      <c r="L60" s="34">
        <v>30.7</v>
      </c>
      <c r="M60" s="34">
        <v>149.2315384218121</v>
      </c>
      <c r="N60" s="34">
        <v>49.517207229512408</v>
      </c>
      <c r="O60" s="34">
        <v>60.532671126159606</v>
      </c>
      <c r="P60" s="34">
        <v>53.952991626052032</v>
      </c>
      <c r="Q60" s="34">
        <v>50.501712688465872</v>
      </c>
      <c r="R60" s="34">
        <v>1.2534500000000001E-2</v>
      </c>
      <c r="S60" s="34">
        <f>99.435-98.837</f>
        <v>0.59799999999999898</v>
      </c>
      <c r="T60" s="34">
        <f t="shared" si="11"/>
        <v>408.28990228013032</v>
      </c>
      <c r="U60" s="34">
        <v>-71</v>
      </c>
      <c r="V60" s="34">
        <v>63.975742857142862</v>
      </c>
      <c r="W60" s="34">
        <v>158</v>
      </c>
      <c r="X60" s="34">
        <v>100</v>
      </c>
      <c r="Y60" s="34">
        <v>31.428571428571431</v>
      </c>
      <c r="Z60" s="34">
        <v>1.5499999999999972</v>
      </c>
      <c r="AA60" s="34">
        <v>29.7684675</v>
      </c>
      <c r="AB60" s="34">
        <v>1.0000000000000001E-5</v>
      </c>
      <c r="AC60" s="34"/>
      <c r="AD60" s="34"/>
      <c r="AE60" s="34"/>
      <c r="AF60" s="34"/>
      <c r="AG60" s="34"/>
      <c r="AH60" s="34"/>
      <c r="AI60" s="6">
        <v>23</v>
      </c>
      <c r="AJ60" s="24" t="s">
        <v>134</v>
      </c>
      <c r="AK60" s="34">
        <v>7</v>
      </c>
      <c r="AL60" s="26">
        <v>0.4</v>
      </c>
      <c r="AM60" s="34">
        <v>100.90817356205856</v>
      </c>
      <c r="AN60" s="34">
        <v>21</v>
      </c>
      <c r="AO60" s="34">
        <v>0.91222379310344814</v>
      </c>
      <c r="AP60" s="34">
        <v>-14.086500000000001</v>
      </c>
      <c r="AQ60" s="24">
        <v>6</v>
      </c>
      <c r="AR60" s="7">
        <v>13.1</v>
      </c>
      <c r="AS60" s="7" t="s">
        <v>90</v>
      </c>
      <c r="AT60" s="34">
        <v>55</v>
      </c>
      <c r="AU60" s="34">
        <v>98.291111882695006</v>
      </c>
      <c r="AV60" s="34">
        <v>40.746475429875453</v>
      </c>
      <c r="AW60" s="34">
        <v>35.209879244806388</v>
      </c>
      <c r="AX60" s="34">
        <v>42.106713529987445</v>
      </c>
      <c r="AY60" s="34">
        <v>32.656087778006849</v>
      </c>
      <c r="AZ60" s="34">
        <v>1.41853E-2</v>
      </c>
      <c r="BA60" s="34">
        <f>115-113</f>
        <v>2</v>
      </c>
      <c r="BB60" s="34">
        <f t="shared" si="12"/>
        <v>257.91454545454548</v>
      </c>
      <c r="BC60" s="15">
        <v>-70.53</v>
      </c>
      <c r="BD60" s="34">
        <v>73.446337931034492</v>
      </c>
      <c r="BE60" s="15">
        <v>211</v>
      </c>
      <c r="BF60" s="15">
        <v>87.9</v>
      </c>
      <c r="BG60" s="34">
        <v>20</v>
      </c>
      <c r="BH60" s="34">
        <v>4.25</v>
      </c>
      <c r="BI60" s="34">
        <v>62.534999999999997</v>
      </c>
      <c r="BJ60" s="34">
        <v>0.62599999999999767</v>
      </c>
      <c r="BK60" s="34"/>
      <c r="BL60" s="34"/>
      <c r="BM60" s="34"/>
      <c r="BN60" s="34"/>
    </row>
    <row r="61" spans="1:66" x14ac:dyDescent="0.3">
      <c r="A61" s="22">
        <v>23</v>
      </c>
      <c r="B61" s="24" t="s">
        <v>135</v>
      </c>
      <c r="C61" s="34">
        <v>7</v>
      </c>
      <c r="D61" s="34">
        <v>0.43</v>
      </c>
      <c r="E61" s="34">
        <v>109.20607185759515</v>
      </c>
      <c r="F61" s="34">
        <v>18</v>
      </c>
      <c r="G61" s="34">
        <v>0.86151679999999997</v>
      </c>
      <c r="H61" s="34">
        <v>-10.367541379310342</v>
      </c>
      <c r="I61" s="24">
        <v>7</v>
      </c>
      <c r="J61" s="7">
        <v>10.1</v>
      </c>
      <c r="K61" s="7" t="s">
        <v>88</v>
      </c>
      <c r="L61" s="34">
        <v>54</v>
      </c>
      <c r="M61" s="34">
        <v>138.40189381070033</v>
      </c>
      <c r="N61" s="34">
        <v>32.336297493936989</v>
      </c>
      <c r="O61" s="34">
        <v>42.099256870711201</v>
      </c>
      <c r="P61" s="34">
        <v>36.873018022385651</v>
      </c>
      <c r="Q61" s="34">
        <v>34.525091625330298</v>
      </c>
      <c r="R61" s="34">
        <v>1.44151E-2</v>
      </c>
      <c r="S61" s="34">
        <f>119.3-100.3</f>
        <v>19</v>
      </c>
      <c r="T61" s="34">
        <f t="shared" si="11"/>
        <v>266.94629629629634</v>
      </c>
      <c r="U61" s="34">
        <v>-68.400000000000006</v>
      </c>
      <c r="V61" s="34">
        <v>77.032476666666696</v>
      </c>
      <c r="W61" s="34">
        <v>225.1</v>
      </c>
      <c r="X61" s="34">
        <v>96.8</v>
      </c>
      <c r="Y61" s="34">
        <v>21.428571428571427</v>
      </c>
      <c r="Z61" s="34">
        <v>4.9899999999999949</v>
      </c>
      <c r="AA61" s="34">
        <f>178.9/2</f>
        <v>89.45</v>
      </c>
      <c r="AB61" s="34">
        <v>0.30300000000000438</v>
      </c>
      <c r="AC61" s="34"/>
      <c r="AD61" s="34"/>
      <c r="AE61" s="34"/>
      <c r="AF61" s="34"/>
      <c r="AG61" s="34"/>
      <c r="AH61" s="34"/>
      <c r="AI61" s="16">
        <v>24</v>
      </c>
      <c r="AJ61" s="24" t="s">
        <v>136</v>
      </c>
      <c r="AK61" s="34">
        <v>7</v>
      </c>
      <c r="AL61" s="26">
        <v>0.76</v>
      </c>
      <c r="AM61" s="34">
        <v>179.6622349982033</v>
      </c>
      <c r="AN61" s="34">
        <v>45</v>
      </c>
      <c r="AO61" s="34">
        <v>0.7313647692307691</v>
      </c>
      <c r="AP61" s="34">
        <v>-18.95608846153846</v>
      </c>
      <c r="AQ61" s="24">
        <v>7</v>
      </c>
      <c r="AR61" s="7">
        <v>13.15</v>
      </c>
      <c r="AS61" s="7" t="s">
        <v>90</v>
      </c>
      <c r="AT61" s="34">
        <v>29.3</v>
      </c>
      <c r="AU61" s="34">
        <v>45.272110809534702</v>
      </c>
      <c r="AV61" s="34">
        <v>80.860354168350767</v>
      </c>
      <c r="AW61" s="34">
        <v>21.799142906487415</v>
      </c>
      <c r="AX61" s="34">
        <v>93.249035243560101</v>
      </c>
      <c r="AY61" s="34">
        <v>16.73432770241239</v>
      </c>
      <c r="AZ61" s="34">
        <v>1.3153099999999999E-2</v>
      </c>
      <c r="BA61" s="34">
        <f>93.002-89.035</f>
        <v>3.9669999999999987</v>
      </c>
      <c r="BB61" s="34">
        <f t="shared" si="12"/>
        <v>448.91126279863477</v>
      </c>
      <c r="BC61" s="15">
        <v>-66.099999999999994</v>
      </c>
      <c r="BD61" s="34">
        <v>62.619723076923066</v>
      </c>
      <c r="BE61" s="15">
        <v>163.1</v>
      </c>
      <c r="BF61" s="15">
        <v>102.3</v>
      </c>
      <c r="BG61" s="34">
        <v>10.526315789473683</v>
      </c>
      <c r="BH61" s="34">
        <v>5.820999999999998</v>
      </c>
      <c r="BI61" s="34">
        <v>55</v>
      </c>
      <c r="BJ61" s="34">
        <v>2.8800000000000026</v>
      </c>
      <c r="BK61" s="34"/>
      <c r="BL61" s="34"/>
      <c r="BM61" s="34"/>
      <c r="BN61" s="34"/>
    </row>
    <row r="62" spans="1:66" x14ac:dyDescent="0.3">
      <c r="A62" s="22">
        <v>24</v>
      </c>
      <c r="B62" s="24" t="s">
        <v>137</v>
      </c>
      <c r="C62" s="34">
        <v>7</v>
      </c>
      <c r="D62" s="34">
        <v>0.6</v>
      </c>
      <c r="E62" s="34">
        <v>128.98232942086909</v>
      </c>
      <c r="F62" s="34">
        <v>23</v>
      </c>
      <c r="G62" s="34">
        <v>0.90877873333333337</v>
      </c>
      <c r="H62" s="34">
        <v>-7.6125620689655173</v>
      </c>
      <c r="I62" s="24">
        <v>7</v>
      </c>
      <c r="J62" s="7">
        <v>10.15</v>
      </c>
      <c r="K62" s="7" t="s">
        <v>88</v>
      </c>
      <c r="L62" s="34">
        <v>42.4</v>
      </c>
      <c r="M62" s="34">
        <v>109.54184595490497</v>
      </c>
      <c r="N62" s="34">
        <v>43.94059231918439</v>
      </c>
      <c r="O62" s="34">
        <v>36.64124030820566</v>
      </c>
      <c r="P62" s="34">
        <v>49.127320138498938</v>
      </c>
      <c r="Q62" s="34">
        <v>27.448944603548163</v>
      </c>
      <c r="R62" s="34">
        <v>1.0982E-2</v>
      </c>
      <c r="S62" s="34">
        <f>110.5-106.2</f>
        <v>4.2999999999999972</v>
      </c>
      <c r="T62" s="34">
        <f t="shared" si="11"/>
        <v>259.00943396226415</v>
      </c>
      <c r="U62" s="34">
        <v>-71.400000000000006</v>
      </c>
      <c r="V62" s="34">
        <v>62.408443333333345</v>
      </c>
      <c r="W62" s="34">
        <v>151.80000000000001</v>
      </c>
      <c r="X62" s="34">
        <v>80.400000000000006</v>
      </c>
      <c r="Y62" s="34">
        <v>17.272727272727273</v>
      </c>
      <c r="Z62" s="34">
        <v>4.4199999999999875</v>
      </c>
      <c r="AA62" s="34">
        <v>52.45</v>
      </c>
      <c r="AB62" s="34">
        <v>1.0000000000000001E-5</v>
      </c>
      <c r="AC62" s="34"/>
      <c r="AD62" s="34"/>
      <c r="AE62" s="34"/>
      <c r="AF62" s="34"/>
      <c r="AG62" s="34"/>
      <c r="AH62" s="34"/>
      <c r="AI62" s="16">
        <v>25</v>
      </c>
      <c r="AJ62" s="24" t="s">
        <v>138</v>
      </c>
      <c r="AK62" s="34">
        <v>7</v>
      </c>
      <c r="AL62" s="33">
        <v>0.75</v>
      </c>
      <c r="AM62" s="34">
        <v>146.77821811243174</v>
      </c>
      <c r="AN62" s="34">
        <v>33</v>
      </c>
      <c r="AO62" s="34">
        <v>0.70781695000000011</v>
      </c>
      <c r="AP62" s="34">
        <v>-17.611694999999997</v>
      </c>
      <c r="AQ62" s="24">
        <v>7</v>
      </c>
      <c r="AR62" s="7">
        <v>13.2</v>
      </c>
      <c r="AS62" s="7" t="s">
        <v>90</v>
      </c>
      <c r="AT62" s="34">
        <v>24.1</v>
      </c>
      <c r="AU62" s="34">
        <v>54.171440556872362</v>
      </c>
      <c r="AV62" s="34">
        <v>59.241706161137458</v>
      </c>
      <c r="AW62" s="34">
        <v>23.764951869885202</v>
      </c>
      <c r="AX62" s="34">
        <v>65.428318405240162</v>
      </c>
      <c r="AY62" s="34">
        <v>21.064610075636583</v>
      </c>
      <c r="AZ62" s="34">
        <v>1.4778700000000001E-2</v>
      </c>
      <c r="BA62" s="34">
        <f>90.52-86.56</f>
        <v>3.9599999999999937</v>
      </c>
      <c r="BB62" s="34">
        <f t="shared" si="12"/>
        <v>613.22406639004146</v>
      </c>
      <c r="BC62" s="15">
        <v>-66.8</v>
      </c>
      <c r="BD62" s="34">
        <v>70.703130000000002</v>
      </c>
      <c r="BE62" s="15">
        <v>202.8</v>
      </c>
      <c r="BF62" s="15">
        <v>116.7</v>
      </c>
      <c r="BG62" s="34">
        <v>12.272727272727272</v>
      </c>
      <c r="BH62" s="34">
        <v>4.8799999999999955</v>
      </c>
      <c r="BI62" s="34">
        <v>80.405000000000001</v>
      </c>
      <c r="BJ62" s="34">
        <v>2.3170000000000002</v>
      </c>
      <c r="BK62" s="34"/>
      <c r="BL62" s="34"/>
      <c r="BM62" s="34"/>
      <c r="BN62" s="34"/>
    </row>
    <row r="63" spans="1:66" x14ac:dyDescent="0.3">
      <c r="A63" s="22">
        <v>25</v>
      </c>
      <c r="B63" s="24" t="s">
        <v>139</v>
      </c>
      <c r="C63" s="34">
        <v>7</v>
      </c>
      <c r="D63" s="34">
        <v>0.755</v>
      </c>
      <c r="E63" s="34">
        <v>113.25028312570765</v>
      </c>
      <c r="F63" s="34">
        <v>23</v>
      </c>
      <c r="G63" s="34">
        <v>0.86647752631578956</v>
      </c>
      <c r="H63" s="34">
        <v>-5.8979157894736822</v>
      </c>
      <c r="I63" s="24">
        <v>7</v>
      </c>
      <c r="J63" s="7">
        <v>10.199999999999999</v>
      </c>
      <c r="K63" s="7" t="s">
        <v>88</v>
      </c>
      <c r="L63" s="34">
        <v>27.9</v>
      </c>
      <c r="M63" s="34">
        <v>90.316010958869398</v>
      </c>
      <c r="N63" s="34">
        <v>43.99859204505443</v>
      </c>
      <c r="O63" s="34">
        <v>90.316010958869398</v>
      </c>
      <c r="P63" s="34">
        <v>47.735743118835835</v>
      </c>
      <c r="Q63" s="34">
        <v>24.719523281387051</v>
      </c>
      <c r="R63" s="34">
        <v>1.6459399999999999E-2</v>
      </c>
      <c r="S63" s="34">
        <v>1.0000000000000001E-5</v>
      </c>
      <c r="T63" s="34">
        <f t="shared" si="11"/>
        <v>589.94265232974908</v>
      </c>
      <c r="U63" s="34">
        <v>-66</v>
      </c>
      <c r="V63" s="34">
        <v>78.594010526315799</v>
      </c>
      <c r="W63" s="34">
        <v>203.2</v>
      </c>
      <c r="X63" s="34">
        <v>109.5</v>
      </c>
      <c r="Y63" s="34">
        <v>15.454545454545455</v>
      </c>
      <c r="Z63" s="34">
        <v>4.3499999999999943</v>
      </c>
      <c r="AA63" s="34">
        <v>44.924999999999997</v>
      </c>
      <c r="AB63" s="34">
        <v>1.0000000000000001E-5</v>
      </c>
      <c r="AC63" s="34"/>
      <c r="AD63" s="34"/>
      <c r="AE63" s="34"/>
      <c r="AF63" s="34"/>
      <c r="AG63" s="34"/>
      <c r="AH63" s="34"/>
      <c r="AI63" s="16">
        <v>26</v>
      </c>
      <c r="AJ63" s="24" t="s">
        <v>140</v>
      </c>
      <c r="AK63" s="34">
        <v>7</v>
      </c>
      <c r="AL63" s="33">
        <v>1.2</v>
      </c>
      <c r="AM63" s="34">
        <v>179.9532121648366</v>
      </c>
      <c r="AN63" s="34">
        <v>35</v>
      </c>
      <c r="AO63" s="34">
        <v>0.76865976923076929</v>
      </c>
      <c r="AP63" s="34">
        <v>-12.634261538461541</v>
      </c>
      <c r="AQ63" s="24">
        <v>7</v>
      </c>
      <c r="AR63" s="7">
        <v>13.25</v>
      </c>
      <c r="AS63" s="7" t="s">
        <v>90</v>
      </c>
      <c r="AT63" s="15">
        <v>27</v>
      </c>
      <c r="AU63" s="34">
        <v>55.735142364164311</v>
      </c>
      <c r="AV63" s="34">
        <v>62.640942119769711</v>
      </c>
      <c r="AW63" s="34">
        <v>19.140205596151642</v>
      </c>
      <c r="AX63" s="34">
        <v>72.293411299425642</v>
      </c>
      <c r="AY63" s="34">
        <v>15.049868747388709</v>
      </c>
      <c r="AZ63" s="34">
        <v>9.0756499999999993E-3</v>
      </c>
      <c r="BA63" s="34">
        <f>94.36-91.112</f>
        <v>3.2480000000000047</v>
      </c>
      <c r="BB63" s="34">
        <f t="shared" si="12"/>
        <v>336.13518518518515</v>
      </c>
      <c r="BC63" s="15">
        <v>-66.7</v>
      </c>
      <c r="BD63" s="15">
        <v>64.040000000000006</v>
      </c>
      <c r="BE63" s="15">
        <v>172.2</v>
      </c>
      <c r="BF63" s="15">
        <v>100.7</v>
      </c>
      <c r="BG63" s="34">
        <v>9</v>
      </c>
      <c r="BH63" s="34">
        <v>3.9499999999999886</v>
      </c>
      <c r="BI63" s="34">
        <v>52.922939999999997</v>
      </c>
      <c r="BJ63" s="34">
        <v>0.7120000000000033</v>
      </c>
      <c r="BK63" s="34"/>
      <c r="BL63" s="34"/>
      <c r="BM63" s="34"/>
      <c r="BN63" s="34"/>
    </row>
    <row r="64" spans="1:66" x14ac:dyDescent="0.3">
      <c r="A64" s="22">
        <v>26</v>
      </c>
      <c r="B64" s="24" t="s">
        <v>141</v>
      </c>
      <c r="C64" s="34">
        <v>7</v>
      </c>
      <c r="D64" s="34">
        <v>0.45700000000000002</v>
      </c>
      <c r="E64" s="34">
        <v>82.257135806531338</v>
      </c>
      <c r="F64" s="34">
        <v>15</v>
      </c>
      <c r="G64" s="34">
        <v>1.2905323529411765</v>
      </c>
      <c r="H64" s="34">
        <v>-8.1367437499999991</v>
      </c>
      <c r="I64" s="24">
        <v>6</v>
      </c>
      <c r="J64" s="7">
        <v>10.25</v>
      </c>
      <c r="K64" s="7" t="s">
        <v>88</v>
      </c>
      <c r="L64" s="34">
        <v>88.4</v>
      </c>
      <c r="M64" s="34">
        <v>115.60549829256625</v>
      </c>
      <c r="N64" s="34">
        <v>27.550486266082576</v>
      </c>
      <c r="O64" s="34">
        <v>35.47711048967404</v>
      </c>
      <c r="P64" s="34">
        <v>32.669932490609</v>
      </c>
      <c r="Q64" s="34">
        <v>30.540057087687131</v>
      </c>
      <c r="R64" s="34">
        <v>4.45466E-3</v>
      </c>
      <c r="S64" s="34">
        <f>109-104.5</f>
        <v>4.5</v>
      </c>
      <c r="T64" s="34">
        <f t="shared" si="11"/>
        <v>50.392081447963797</v>
      </c>
      <c r="U64" s="34">
        <v>-64.7</v>
      </c>
      <c r="V64" s="34">
        <v>65.501500000000007</v>
      </c>
      <c r="W64" s="34">
        <v>128</v>
      </c>
      <c r="X64" s="34">
        <v>62.9</v>
      </c>
      <c r="Y64" s="34">
        <v>16.666666666666668</v>
      </c>
      <c r="Z64" s="34">
        <v>2.2099999999999937</v>
      </c>
      <c r="AA64" s="34">
        <v>67.554765000000003</v>
      </c>
      <c r="AB64" s="34">
        <v>1.0000000000000001E-5</v>
      </c>
      <c r="AC64" s="34"/>
      <c r="AD64" s="34" t="s">
        <v>102</v>
      </c>
      <c r="AE64" s="34"/>
      <c r="AF64" s="34"/>
      <c r="AG64" s="34"/>
      <c r="AH64" s="34"/>
      <c r="AI64" s="16">
        <v>27</v>
      </c>
      <c r="AJ64" s="24" t="s">
        <v>142</v>
      </c>
      <c r="AK64" s="34">
        <v>7</v>
      </c>
      <c r="AL64" s="33">
        <v>1</v>
      </c>
      <c r="AM64" s="34">
        <v>171.26220243192333</v>
      </c>
      <c r="AN64" s="34">
        <v>41</v>
      </c>
      <c r="AO64" s="34">
        <v>0.62497059999999982</v>
      </c>
      <c r="AP64" s="34">
        <v>-16.642243333333326</v>
      </c>
      <c r="AQ64" s="24">
        <v>7</v>
      </c>
      <c r="AR64" s="7">
        <v>13.3</v>
      </c>
      <c r="AS64" s="7" t="s">
        <v>90</v>
      </c>
      <c r="AT64" s="15">
        <v>32</v>
      </c>
      <c r="AU64" s="34">
        <v>72.813287069925792</v>
      </c>
      <c r="AV64" s="34">
        <v>74.766355140186917</v>
      </c>
      <c r="AW64" s="34">
        <v>31.297069825088599</v>
      </c>
      <c r="AX64" s="34">
        <v>82.505880236834841</v>
      </c>
      <c r="AY64" s="34">
        <v>27.098237610032491</v>
      </c>
      <c r="AZ64" s="34">
        <v>8.9782100000000004E-3</v>
      </c>
      <c r="BA64" s="34">
        <f>89.38-85.6</f>
        <v>3.7800000000000011</v>
      </c>
      <c r="BB64" s="34">
        <f t="shared" si="12"/>
        <v>280.56906250000003</v>
      </c>
      <c r="BC64" s="15">
        <v>-62</v>
      </c>
      <c r="BD64" s="34">
        <v>73.073319999999981</v>
      </c>
      <c r="BE64" s="15">
        <v>230</v>
      </c>
      <c r="BF64" s="15">
        <v>138.85</v>
      </c>
      <c r="BG64" s="34">
        <v>16.81818181818182</v>
      </c>
      <c r="BH64" s="34">
        <v>4.1539999999999964</v>
      </c>
      <c r="BI64" s="34">
        <v>57.832054999999997</v>
      </c>
      <c r="BJ64" s="34">
        <v>1.9399999999999977</v>
      </c>
      <c r="BK64" s="34"/>
      <c r="BL64" s="34"/>
      <c r="BM64" s="34"/>
      <c r="BN64" s="34"/>
    </row>
    <row r="65" spans="1:66" x14ac:dyDescent="0.3">
      <c r="A65" s="22">
        <v>27</v>
      </c>
      <c r="B65" s="24" t="s">
        <v>143</v>
      </c>
      <c r="C65" s="34">
        <v>7</v>
      </c>
      <c r="D65" s="34">
        <v>0.23</v>
      </c>
      <c r="E65" s="34">
        <v>75.878291220881692</v>
      </c>
      <c r="F65" s="34">
        <v>14</v>
      </c>
      <c r="G65" s="34">
        <v>1.3524230769230767</v>
      </c>
      <c r="H65" s="34">
        <v>-5.3663846153846135</v>
      </c>
      <c r="I65" s="24">
        <v>6</v>
      </c>
      <c r="J65" s="7">
        <v>10.3</v>
      </c>
      <c r="K65" s="7" t="s">
        <v>88</v>
      </c>
      <c r="L65" s="34">
        <v>69.7</v>
      </c>
      <c r="M65" s="34">
        <v>112.89647583843451</v>
      </c>
      <c r="N65" s="34">
        <v>26.542800265428035</v>
      </c>
      <c r="O65" s="34">
        <v>34.076892143571833</v>
      </c>
      <c r="P65" s="34">
        <v>29.905478380147557</v>
      </c>
      <c r="Q65" s="34">
        <v>26.537068311294043</v>
      </c>
      <c r="R65" s="34">
        <v>1.7141099999999999E-2</v>
      </c>
      <c r="S65" s="34">
        <f>122.1-115.2</f>
        <v>6.8999999999999915</v>
      </c>
      <c r="T65" s="34">
        <f t="shared" si="11"/>
        <v>245.92682926829264</v>
      </c>
      <c r="U65" s="34">
        <v>-67.3</v>
      </c>
      <c r="V65" s="34">
        <v>69.993230769230763</v>
      </c>
      <c r="W65" s="34">
        <v>125.7</v>
      </c>
      <c r="X65" s="34">
        <v>64.099999999999994</v>
      </c>
      <c r="Y65" s="34">
        <v>18</v>
      </c>
      <c r="Z65" s="34">
        <v>3.5300000000000011</v>
      </c>
      <c r="AA65" s="34">
        <v>99.305000000000007</v>
      </c>
      <c r="AB65" s="34">
        <v>1.4499999999999957</v>
      </c>
      <c r="AC65" s="34"/>
      <c r="AD65" s="34" t="s">
        <v>53</v>
      </c>
      <c r="AE65" s="34"/>
      <c r="AF65" s="34"/>
      <c r="AG65" s="34"/>
      <c r="AH65" s="34"/>
      <c r="AI65" s="16">
        <v>28</v>
      </c>
      <c r="AJ65" s="24" t="s">
        <v>144</v>
      </c>
      <c r="AK65" s="34">
        <v>7</v>
      </c>
      <c r="AL65" s="33">
        <v>1.23</v>
      </c>
      <c r="AM65" s="34">
        <v>174.42874585731715</v>
      </c>
      <c r="AN65" s="34">
        <v>37</v>
      </c>
      <c r="AO65" s="34">
        <v>0.57466417241379308</v>
      </c>
      <c r="AP65" s="34">
        <v>-19.090928571428574</v>
      </c>
      <c r="AQ65" s="24">
        <v>7</v>
      </c>
      <c r="AR65" s="7">
        <v>13.35</v>
      </c>
      <c r="AS65" s="7" t="s">
        <v>90</v>
      </c>
      <c r="AT65" s="15">
        <v>25</v>
      </c>
      <c r="AU65" s="34">
        <v>60.724494378892736</v>
      </c>
      <c r="AV65" s="34">
        <v>68.027210884353536</v>
      </c>
      <c r="AW65" s="34">
        <v>23.278047378283748</v>
      </c>
      <c r="AX65" s="34">
        <v>77.02566730350236</v>
      </c>
      <c r="AY65" s="34">
        <v>21.866325824530215</v>
      </c>
      <c r="AZ65" s="34">
        <v>1.1724699999999999E-2</v>
      </c>
      <c r="BA65" s="8">
        <v>1.0000000000000001E-5</v>
      </c>
      <c r="BB65" s="34">
        <f t="shared" si="12"/>
        <v>468.988</v>
      </c>
      <c r="BC65" s="15">
        <v>-67.599999999999994</v>
      </c>
      <c r="BD65" s="34">
        <v>59.869175862068971</v>
      </c>
      <c r="BE65" s="15">
        <v>211.98</v>
      </c>
      <c r="BF65" s="15">
        <v>125.05</v>
      </c>
      <c r="BG65" s="34">
        <v>12.727272727272728</v>
      </c>
      <c r="BH65" s="34">
        <v>2.6820000000000022</v>
      </c>
      <c r="BI65" s="34">
        <v>48.101732499999997</v>
      </c>
      <c r="BJ65" s="34">
        <v>0.74000000000000199</v>
      </c>
      <c r="BK65" s="34"/>
      <c r="BL65" s="34"/>
      <c r="BM65" s="34"/>
      <c r="BN65" s="34"/>
    </row>
    <row r="66" spans="1:66" x14ac:dyDescent="0.3">
      <c r="A66" s="22">
        <v>28</v>
      </c>
      <c r="B66" s="24" t="s">
        <v>145</v>
      </c>
      <c r="C66" s="34">
        <v>7</v>
      </c>
      <c r="D66" s="34">
        <v>0.8</v>
      </c>
      <c r="E66" s="34">
        <v>32.124385621125008</v>
      </c>
      <c r="F66" s="34">
        <v>14</v>
      </c>
      <c r="G66" s="34">
        <v>1.1983709090909092</v>
      </c>
      <c r="H66" s="34">
        <v>-8.0510999999999981</v>
      </c>
      <c r="I66" s="24">
        <v>6</v>
      </c>
      <c r="J66" s="7">
        <v>10.35</v>
      </c>
      <c r="K66" s="7" t="s">
        <v>88</v>
      </c>
      <c r="L66" s="34">
        <v>35.17</v>
      </c>
      <c r="M66" s="34">
        <v>42.06106323248742</v>
      </c>
      <c r="N66" s="34">
        <v>28.752156411730809</v>
      </c>
      <c r="O66" s="34">
        <v>32.705207723591258</v>
      </c>
      <c r="P66" s="34">
        <v>27.585002214886686</v>
      </c>
      <c r="Q66" s="34">
        <v>33.145853739583259</v>
      </c>
      <c r="R66" s="34">
        <v>1.47242E-2</v>
      </c>
      <c r="S66" s="34">
        <v>1E-4</v>
      </c>
      <c r="T66" s="34">
        <f t="shared" si="11"/>
        <v>418.65794711401759</v>
      </c>
      <c r="U66" s="34"/>
      <c r="V66" s="34">
        <v>64.885918181818184</v>
      </c>
      <c r="W66" s="34">
        <v>137.6</v>
      </c>
      <c r="X66" s="34">
        <v>73.900000000000006</v>
      </c>
      <c r="Y66" s="34">
        <v>18</v>
      </c>
      <c r="Z66" s="34">
        <v>3.7109999999999914</v>
      </c>
      <c r="AA66" s="34">
        <v>77.069999999999993</v>
      </c>
      <c r="AB66" s="34">
        <v>0.96000000000000085</v>
      </c>
      <c r="AC66" s="34"/>
      <c r="AD66" s="34" t="s">
        <v>56</v>
      </c>
      <c r="AE66" s="34"/>
      <c r="AF66" s="34"/>
      <c r="AG66" s="34"/>
      <c r="AH66" s="34"/>
      <c r="AI66" s="16">
        <v>29</v>
      </c>
      <c r="AJ66" s="24" t="s">
        <v>146</v>
      </c>
      <c r="AK66" s="34">
        <v>7</v>
      </c>
      <c r="AL66" s="33">
        <v>0.96</v>
      </c>
      <c r="AM66" s="34">
        <v>139.23698134224475</v>
      </c>
      <c r="AN66" s="34">
        <v>24</v>
      </c>
      <c r="AO66" s="34">
        <v>0.74995249999999991</v>
      </c>
      <c r="AP66" s="34">
        <v>-16.506030434782609</v>
      </c>
      <c r="AQ66" s="24">
        <v>7</v>
      </c>
      <c r="AR66" s="7">
        <v>13.4</v>
      </c>
      <c r="AS66" s="7" t="s">
        <v>90</v>
      </c>
      <c r="AT66" s="15">
        <v>35</v>
      </c>
      <c r="AU66" s="34">
        <v>58.350436087672911</v>
      </c>
      <c r="AV66" s="34">
        <v>44.953922229714536</v>
      </c>
      <c r="AW66" s="34">
        <v>16.113315160868567</v>
      </c>
      <c r="AX66" s="34">
        <v>49.415556925242349</v>
      </c>
      <c r="AY66" s="34">
        <v>12.371105793786462</v>
      </c>
      <c r="AZ66" s="34">
        <v>8.3253300000000006E-3</v>
      </c>
      <c r="BA66" s="34">
        <f>92.05-90.9</f>
        <v>1.1499999999999915</v>
      </c>
      <c r="BB66" s="15">
        <f t="shared" si="12"/>
        <v>237.86657142857143</v>
      </c>
      <c r="BC66" s="15">
        <v>69.8</v>
      </c>
      <c r="BD66" s="34">
        <v>69.806420833333348</v>
      </c>
      <c r="BE66" s="15">
        <v>213.02</v>
      </c>
      <c r="BF66" s="15">
        <v>117.6</v>
      </c>
      <c r="BG66" s="34">
        <v>7.7272727272727275</v>
      </c>
      <c r="BH66" s="34">
        <v>5.509999999999998</v>
      </c>
      <c r="BI66" s="34">
        <v>67.772390000000001</v>
      </c>
      <c r="BJ66" s="34">
        <v>1.5500000000000043</v>
      </c>
      <c r="BK66" s="34"/>
      <c r="BL66" s="34"/>
      <c r="BM66" s="34"/>
      <c r="BN66" s="34"/>
    </row>
    <row r="67" spans="1:66" x14ac:dyDescent="0.3">
      <c r="A67" s="34"/>
      <c r="B67" s="34"/>
      <c r="C67" s="34">
        <v>7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6">
        <v>30</v>
      </c>
      <c r="AJ67" s="24" t="s">
        <v>147</v>
      </c>
      <c r="AK67" s="34">
        <v>7</v>
      </c>
      <c r="AL67" s="33">
        <v>0.56000000000000005</v>
      </c>
      <c r="AM67" s="34">
        <v>181.38944313440942</v>
      </c>
      <c r="AN67" s="34">
        <v>35</v>
      </c>
      <c r="AO67" s="34">
        <v>0.92443805263157885</v>
      </c>
      <c r="AP67" s="34">
        <v>-9.142431578947372</v>
      </c>
      <c r="AQ67" s="24">
        <v>7</v>
      </c>
      <c r="AR67" s="7">
        <v>13.45</v>
      </c>
      <c r="AS67" s="7" t="s">
        <v>90</v>
      </c>
      <c r="AT67" s="15">
        <v>29.9</v>
      </c>
      <c r="AU67" s="34">
        <v>56.268428862500656</v>
      </c>
      <c r="AV67" s="34">
        <v>61.293288384921645</v>
      </c>
      <c r="AW67" s="34">
        <v>19.050051427851958</v>
      </c>
      <c r="AX67" s="34">
        <v>72.895466206472776</v>
      </c>
      <c r="AY67" s="34">
        <v>15.074794975631205</v>
      </c>
      <c r="AZ67" s="34">
        <v>6.3354300000000004E-3</v>
      </c>
      <c r="BA67" s="34">
        <f>102.17-101.9</f>
        <v>0.26999999999999602</v>
      </c>
      <c r="BB67" s="34">
        <f t="shared" si="12"/>
        <v>211.88729096989968</v>
      </c>
      <c r="BC67" s="15">
        <v>-62</v>
      </c>
      <c r="BD67" s="34">
        <v>59.384</v>
      </c>
      <c r="BE67" s="15">
        <v>144.30000000000001</v>
      </c>
      <c r="BF67" s="15">
        <v>76.7</v>
      </c>
      <c r="BG67" s="34">
        <v>9</v>
      </c>
      <c r="BH67" s="34">
        <v>6.402000000000001</v>
      </c>
      <c r="BI67" s="34">
        <v>64.417180000000002</v>
      </c>
      <c r="BJ67" s="34">
        <v>1E-3</v>
      </c>
      <c r="BK67" s="34"/>
      <c r="BL67" s="34"/>
      <c r="BM67" s="34"/>
      <c r="BN67" s="34"/>
    </row>
    <row r="68" spans="1:66" x14ac:dyDescent="0.3">
      <c r="A68" s="22">
        <v>28</v>
      </c>
      <c r="B68" s="24" t="s">
        <v>148</v>
      </c>
      <c r="C68" s="34">
        <v>7</v>
      </c>
      <c r="D68" s="34">
        <v>0.56000000000000005</v>
      </c>
      <c r="E68" s="34">
        <v>110.53387863380129</v>
      </c>
      <c r="F68" s="34">
        <v>24</v>
      </c>
      <c r="G68" s="34">
        <v>1.2082150000000003</v>
      </c>
      <c r="H68" s="34">
        <v>-6.5078562500000006</v>
      </c>
      <c r="I68" s="24">
        <v>7</v>
      </c>
      <c r="J68" s="7">
        <v>10.45</v>
      </c>
      <c r="K68" s="7" t="s">
        <v>88</v>
      </c>
      <c r="L68" s="34">
        <v>67.3</v>
      </c>
      <c r="M68" s="34">
        <v>82.540941982902524</v>
      </c>
      <c r="N68" s="34">
        <v>45.741469215991287</v>
      </c>
      <c r="O68" s="34">
        <v>28.100440564158422</v>
      </c>
      <c r="P68" s="34">
        <v>49.333564854047602</v>
      </c>
      <c r="Q68" s="34">
        <v>24.496214021428251</v>
      </c>
      <c r="R68" s="9">
        <v>1.3509E-2</v>
      </c>
      <c r="S68" s="34">
        <v>1E-4</v>
      </c>
      <c r="T68" s="34">
        <f>(R68/L68)*1000000</f>
        <v>200.72808320950966</v>
      </c>
      <c r="U68" s="34">
        <v>-66.7</v>
      </c>
      <c r="V68" s="34">
        <v>55.046068749999996</v>
      </c>
      <c r="W68" s="34">
        <v>112.9</v>
      </c>
      <c r="X68" s="34">
        <v>55.8</v>
      </c>
      <c r="Y68" s="34">
        <v>13.333333333333334</v>
      </c>
      <c r="Z68" s="34">
        <v>3.1499999999999915</v>
      </c>
      <c r="AA68" s="34">
        <v>36.085000000000001</v>
      </c>
      <c r="AB68" s="34">
        <v>1E-4</v>
      </c>
      <c r="AC68" s="34"/>
      <c r="AD68" s="34" t="s">
        <v>62</v>
      </c>
      <c r="AE68" s="34"/>
      <c r="AF68" s="34"/>
      <c r="AG68" s="34"/>
      <c r="AH68" s="34"/>
      <c r="AI68" s="16">
        <v>31</v>
      </c>
      <c r="AJ68" s="24" t="s">
        <v>149</v>
      </c>
      <c r="AK68" s="34">
        <v>7</v>
      </c>
      <c r="AL68" s="33">
        <v>1.35</v>
      </c>
      <c r="AM68" s="34">
        <v>197.90223629527026</v>
      </c>
      <c r="AN68" s="34">
        <v>40</v>
      </c>
      <c r="AO68" s="34">
        <v>0.68345956521739126</v>
      </c>
      <c r="AP68" s="34">
        <v>-12.180482608695652</v>
      </c>
      <c r="AQ68" s="24">
        <v>7</v>
      </c>
      <c r="AR68" s="7">
        <v>13.5</v>
      </c>
      <c r="AS68" s="7" t="s">
        <v>90</v>
      </c>
      <c r="AT68" s="15">
        <v>26</v>
      </c>
      <c r="AU68" s="34">
        <v>81.478522771509162</v>
      </c>
      <c r="AV68" s="34">
        <v>74.682598954443691</v>
      </c>
      <c r="AW68" s="34">
        <v>25.655119270524022</v>
      </c>
      <c r="AX68" s="34">
        <v>82.969632894976627</v>
      </c>
      <c r="AY68" s="34">
        <v>20.16338496630495</v>
      </c>
      <c r="AZ68" s="34">
        <v>6.2374800000000001E-3</v>
      </c>
      <c r="BA68" s="34">
        <f>93.54-92.09</f>
        <v>1.4500000000000028</v>
      </c>
      <c r="BB68" s="34">
        <f t="shared" si="12"/>
        <v>239.90307692307692</v>
      </c>
      <c r="BC68" s="15">
        <v>-66.900000000000006</v>
      </c>
      <c r="BD68" s="34">
        <v>62.038252173913051</v>
      </c>
      <c r="BE68" s="15">
        <v>192.6</v>
      </c>
      <c r="BF68" s="15">
        <v>109.01</v>
      </c>
      <c r="BG68" s="34">
        <v>12.272727272727272</v>
      </c>
      <c r="BH68" s="34">
        <v>3.5999999999999943</v>
      </c>
      <c r="BI68" s="34">
        <v>40.18</v>
      </c>
      <c r="BJ68" s="34">
        <v>0.39999999999999858</v>
      </c>
      <c r="BK68" s="34"/>
      <c r="BL68" s="34"/>
      <c r="BM68" s="34"/>
      <c r="BN68" s="34"/>
    </row>
    <row r="69" spans="1:66" x14ac:dyDescent="0.3">
      <c r="A69" s="22">
        <v>29</v>
      </c>
      <c r="B69" s="24" t="s">
        <v>150</v>
      </c>
      <c r="C69" s="34">
        <v>7</v>
      </c>
      <c r="D69" s="34">
        <v>0.36</v>
      </c>
      <c r="E69" s="34">
        <v>109.89010989010961</v>
      </c>
      <c r="F69" s="34">
        <v>27</v>
      </c>
      <c r="G69" s="34">
        <v>0.86603200000000025</v>
      </c>
      <c r="H69" s="34">
        <v>-12.637494736842106</v>
      </c>
      <c r="I69" s="24">
        <v>7</v>
      </c>
      <c r="J69" s="7">
        <v>10.5</v>
      </c>
      <c r="K69" s="7" t="s">
        <v>88</v>
      </c>
      <c r="L69" s="34">
        <v>53.6</v>
      </c>
      <c r="M69" s="34">
        <v>97.11627071274485</v>
      </c>
      <c r="N69" s="34">
        <v>53.561863952865352</v>
      </c>
      <c r="O69" s="34">
        <v>33.933737712936193</v>
      </c>
      <c r="P69" s="34">
        <v>56.726731010102235</v>
      </c>
      <c r="Q69" s="34">
        <v>35.633327100757867</v>
      </c>
      <c r="R69" s="34">
        <v>1.6214099999999999E-2</v>
      </c>
      <c r="S69" s="34">
        <f>97.32-94.1</f>
        <v>3.2199999999999989</v>
      </c>
      <c r="T69" s="34">
        <f>(R69/L69)*1000000</f>
        <v>302.50186567164172</v>
      </c>
      <c r="U69" s="34">
        <v>-66.8</v>
      </c>
      <c r="V69" s="34">
        <v>70.897163157894724</v>
      </c>
      <c r="W69" s="34">
        <f>178.8</f>
        <v>178.8</v>
      </c>
      <c r="X69" s="34">
        <v>109.6</v>
      </c>
      <c r="Y69" s="34">
        <v>19</v>
      </c>
      <c r="Z69" s="34">
        <v>2.7800000000000011</v>
      </c>
      <c r="AA69" s="34">
        <v>189.375</v>
      </c>
      <c r="AB69" s="34">
        <v>0.76999999999999602</v>
      </c>
      <c r="AC69" s="34"/>
      <c r="AD69" s="17" t="s">
        <v>65</v>
      </c>
      <c r="AE69" s="34"/>
      <c r="AF69" s="34"/>
      <c r="AG69" s="34"/>
      <c r="AH69" s="34"/>
      <c r="AI69" s="16">
        <v>32</v>
      </c>
      <c r="AJ69" s="24" t="s">
        <v>151</v>
      </c>
      <c r="AK69" s="34">
        <v>7</v>
      </c>
      <c r="AL69" s="33">
        <v>2.2000000000000002</v>
      </c>
      <c r="AM69" s="34">
        <v>190.47619047619048</v>
      </c>
      <c r="AN69" s="34">
        <v>41</v>
      </c>
      <c r="AO69" s="34">
        <v>0.65189900000000001</v>
      </c>
      <c r="AP69" s="34">
        <v>-12.240079999999999</v>
      </c>
      <c r="AQ69" s="24">
        <v>7</v>
      </c>
      <c r="AR69" s="7">
        <v>13.6</v>
      </c>
      <c r="AS69" s="7" t="s">
        <v>90</v>
      </c>
      <c r="AT69" s="15">
        <v>22</v>
      </c>
      <c r="AU69" s="34">
        <v>53.698150525263614</v>
      </c>
      <c r="AV69" s="34">
        <v>72.098053352559461</v>
      </c>
      <c r="AW69" s="34">
        <v>17.30683446919544</v>
      </c>
      <c r="AX69" s="34">
        <v>84.764428086311355</v>
      </c>
      <c r="AY69" s="34">
        <v>16.243345578663767</v>
      </c>
      <c r="AZ69" s="34">
        <v>8.7574699999999998E-3</v>
      </c>
      <c r="BA69" s="34">
        <f>93.52-91.92</f>
        <v>1.5999999999999943</v>
      </c>
      <c r="BB69" s="15">
        <f t="shared" si="12"/>
        <v>398.06681818181818</v>
      </c>
      <c r="BC69" s="15">
        <v>-65</v>
      </c>
      <c r="BD69" s="34">
        <v>60.722345833333321</v>
      </c>
      <c r="BE69" s="15">
        <v>215.4</v>
      </c>
      <c r="BF69" s="15">
        <v>128.5</v>
      </c>
      <c r="BG69" s="34">
        <v>9.0625</v>
      </c>
      <c r="BH69" s="34">
        <v>1.769999999999996</v>
      </c>
      <c r="BI69" s="34">
        <v>31.605562500000001</v>
      </c>
      <c r="BJ69" s="34">
        <v>0.28999999999999915</v>
      </c>
      <c r="BK69" s="34"/>
      <c r="BL69" s="17"/>
      <c r="BM69" s="17"/>
      <c r="BN69" s="34"/>
    </row>
    <row r="70" spans="1:66" x14ac:dyDescent="0.3">
      <c r="A70" s="22">
        <v>30</v>
      </c>
      <c r="B70" s="24" t="s">
        <v>152</v>
      </c>
      <c r="C70" s="34">
        <v>7</v>
      </c>
      <c r="D70" s="34">
        <v>0.4</v>
      </c>
      <c r="E70" s="34">
        <v>134.95276653171396</v>
      </c>
      <c r="F70" s="34">
        <v>27</v>
      </c>
      <c r="G70" s="34">
        <v>0.94637957692307695</v>
      </c>
      <c r="H70" s="34">
        <v>-11.218730769230771</v>
      </c>
      <c r="I70" s="24">
        <v>7</v>
      </c>
      <c r="J70" s="7">
        <v>10.55</v>
      </c>
      <c r="K70" s="7" t="s">
        <v>88</v>
      </c>
      <c r="L70" s="34">
        <v>68.099999999999994</v>
      </c>
      <c r="M70" s="34">
        <v>77.812469089429143</v>
      </c>
      <c r="N70" s="34">
        <v>52.246603970741937</v>
      </c>
      <c r="O70" s="34">
        <v>25.414274818035651</v>
      </c>
      <c r="P70" s="34">
        <v>56.716245405978661</v>
      </c>
      <c r="Q70" s="34">
        <v>22.947651320819158</v>
      </c>
      <c r="R70" s="34">
        <v>1.3807E-2</v>
      </c>
      <c r="S70" s="34">
        <f>108.35-103.921</f>
        <v>4.4289999999999878</v>
      </c>
      <c r="T70" s="34">
        <f>(R70/L70)*1000000</f>
        <v>202.7459618208517</v>
      </c>
      <c r="U70" s="34">
        <v>-63</v>
      </c>
      <c r="V70" s="34">
        <v>72.798507692307695</v>
      </c>
      <c r="W70" s="34">
        <v>201.5</v>
      </c>
      <c r="X70" s="34">
        <v>97.6</v>
      </c>
      <c r="Y70" s="34">
        <v>12.5</v>
      </c>
      <c r="Z70" s="34">
        <v>6.0899999999999963</v>
      </c>
      <c r="AA70" s="34">
        <v>52.98</v>
      </c>
      <c r="AB70" s="34">
        <v>0.1699999999999946</v>
      </c>
      <c r="AC70" s="34"/>
      <c r="AD70" s="17" t="s">
        <v>68</v>
      </c>
      <c r="AE70" s="34"/>
      <c r="AF70" s="34"/>
      <c r="AG70" s="34"/>
      <c r="AH70" s="34"/>
      <c r="AI70" s="16">
        <v>33</v>
      </c>
      <c r="AJ70" s="24" t="s">
        <v>153</v>
      </c>
      <c r="AK70" s="34">
        <v>7</v>
      </c>
      <c r="AL70" s="33">
        <v>0.86</v>
      </c>
      <c r="AM70" s="34">
        <v>189.75332068311158</v>
      </c>
      <c r="AN70" s="34">
        <v>42</v>
      </c>
      <c r="AO70" s="34">
        <v>0.66099196551724138</v>
      </c>
      <c r="AP70" s="34">
        <v>-13.404593103448274</v>
      </c>
      <c r="AQ70" s="24">
        <v>7</v>
      </c>
      <c r="AR70" s="7">
        <v>13.65</v>
      </c>
      <c r="AS70" s="7" t="s">
        <v>90</v>
      </c>
      <c r="AT70" s="15">
        <v>35.6</v>
      </c>
      <c r="AU70" s="34">
        <v>55.34476854072313</v>
      </c>
      <c r="AV70" s="34">
        <v>74.305245950364267</v>
      </c>
      <c r="AW70" s="34">
        <v>23.059143031994068</v>
      </c>
      <c r="AX70" s="34">
        <v>87.167654575923464</v>
      </c>
      <c r="AY70" s="34">
        <v>18.979536031945678</v>
      </c>
      <c r="AZ70" s="34">
        <v>7.3898999999999996E-3</v>
      </c>
      <c r="BA70" s="34">
        <f>85.89-83.64</f>
        <v>2.25</v>
      </c>
      <c r="BB70" s="15">
        <f t="shared" si="12"/>
        <v>207.58146067415728</v>
      </c>
      <c r="BC70" s="15">
        <v>-62.92</v>
      </c>
      <c r="BD70" s="34">
        <v>68.224675862068949</v>
      </c>
      <c r="BE70" s="15">
        <v>207.8</v>
      </c>
      <c r="BF70" s="15">
        <v>122.7</v>
      </c>
      <c r="BG70" s="34">
        <v>11.875</v>
      </c>
      <c r="BH70" s="34">
        <v>4.0310000000000059</v>
      </c>
      <c r="BI70" s="34">
        <v>41.884999999999998</v>
      </c>
      <c r="BJ70" s="34">
        <v>1</v>
      </c>
      <c r="BK70" s="34"/>
      <c r="BL70" s="17"/>
      <c r="BM70" s="17"/>
      <c r="BN70" s="34"/>
    </row>
    <row r="71" spans="1:66" x14ac:dyDescent="0.3">
      <c r="A71" s="20">
        <v>31</v>
      </c>
      <c r="B71" s="24" t="s">
        <v>154</v>
      </c>
      <c r="C71" s="34">
        <v>7</v>
      </c>
      <c r="D71" s="34">
        <v>0.56000000000000005</v>
      </c>
      <c r="E71" s="34">
        <v>109.15838882218097</v>
      </c>
      <c r="F71" s="34">
        <v>25</v>
      </c>
      <c r="G71" s="34">
        <v>1.0822286363636364</v>
      </c>
      <c r="H71" s="34">
        <v>-10.889231818181818</v>
      </c>
      <c r="I71" s="24">
        <v>7</v>
      </c>
      <c r="J71" s="7">
        <v>10.6</v>
      </c>
      <c r="K71" s="7" t="s">
        <v>88</v>
      </c>
      <c r="L71" s="34">
        <v>35.4</v>
      </c>
      <c r="M71" s="34">
        <v>78.870851676123493</v>
      </c>
      <c r="N71" s="34">
        <v>43.325679130020546</v>
      </c>
      <c r="O71" s="34">
        <v>23.966900712183392</v>
      </c>
      <c r="P71" s="34">
        <v>51.34622020879101</v>
      </c>
      <c r="Q71" s="34">
        <v>18.90152391719128</v>
      </c>
      <c r="R71" s="34">
        <v>1.05722E-2</v>
      </c>
      <c r="S71" s="34">
        <f>114.6-110.7</f>
        <v>3.8999999999999915</v>
      </c>
      <c r="T71" s="34">
        <f>(R71/L71)*1000000</f>
        <v>298.64971751412429</v>
      </c>
      <c r="U71" s="34">
        <v>-66</v>
      </c>
      <c r="V71" s="34">
        <v>58.427281818181811</v>
      </c>
      <c r="W71" s="34">
        <v>119.7</v>
      </c>
      <c r="X71" s="34">
        <v>80</v>
      </c>
      <c r="Y71" s="34">
        <v>13.333333333333334</v>
      </c>
      <c r="Z71" s="34">
        <v>4.6470000000000056</v>
      </c>
      <c r="AA71" s="34">
        <v>48.674999999999997</v>
      </c>
      <c r="AB71" s="34">
        <v>0.79000000000000625</v>
      </c>
      <c r="AC71" s="34"/>
      <c r="AD71" s="17" t="s">
        <v>70</v>
      </c>
      <c r="AE71" s="34"/>
      <c r="AF71" s="34"/>
      <c r="AG71" s="34"/>
      <c r="AH71" s="34"/>
      <c r="AI71" s="16">
        <v>34</v>
      </c>
      <c r="AJ71" s="24" t="s">
        <v>155</v>
      </c>
      <c r="AK71" s="34">
        <v>7</v>
      </c>
      <c r="AL71" s="33">
        <v>1.32</v>
      </c>
      <c r="AM71" s="34">
        <v>158.12776723592631</v>
      </c>
      <c r="AN71" s="34">
        <v>30</v>
      </c>
      <c r="AO71" s="34">
        <v>0.55044696551724137</v>
      </c>
      <c r="AP71" s="34">
        <v>-22.618786551724131</v>
      </c>
      <c r="AQ71" s="24">
        <v>7</v>
      </c>
      <c r="AR71" s="7">
        <v>13.7</v>
      </c>
      <c r="AS71" s="7" t="s">
        <v>90</v>
      </c>
      <c r="AT71" s="15">
        <v>27.5</v>
      </c>
      <c r="AU71" s="34">
        <v>59.754790386447205</v>
      </c>
      <c r="AV71" s="34">
        <v>57.234432234432298</v>
      </c>
      <c r="AW71" s="34">
        <v>20.282777455866015</v>
      </c>
      <c r="AX71" s="34">
        <v>63.920945877186107</v>
      </c>
      <c r="AY71" s="34">
        <v>17.344173406872436</v>
      </c>
      <c r="AZ71" s="34">
        <v>9.7110700000000005E-3</v>
      </c>
      <c r="BA71" s="34">
        <f>87.23-85.73</f>
        <v>1.5</v>
      </c>
      <c r="BB71" s="15">
        <f t="shared" si="12"/>
        <v>353.12981818181817</v>
      </c>
      <c r="BC71" s="15">
        <v>-66.599999999999994</v>
      </c>
      <c r="BD71" s="34">
        <v>52.824872413793102</v>
      </c>
      <c r="BE71" s="15">
        <v>200.32</v>
      </c>
      <c r="BF71" s="15">
        <v>115.51</v>
      </c>
      <c r="BG71" s="34">
        <v>9.5833333333333321</v>
      </c>
      <c r="BH71" s="34">
        <v>1.7800000000000011</v>
      </c>
      <c r="BI71" s="34">
        <v>47.975000000000001</v>
      </c>
      <c r="BJ71" s="34">
        <v>2.3200000000000003</v>
      </c>
      <c r="BK71" s="34"/>
      <c r="BL71" s="17"/>
      <c r="BM71" s="17"/>
      <c r="BN71" s="34"/>
    </row>
    <row r="72" spans="1:66" x14ac:dyDescent="0.3">
      <c r="A72" s="22">
        <v>32</v>
      </c>
      <c r="B72" s="24" t="s">
        <v>156</v>
      </c>
      <c r="C72" s="34">
        <v>7</v>
      </c>
      <c r="D72" s="34">
        <v>0.36</v>
      </c>
      <c r="E72" s="34">
        <v>125.86532410320922</v>
      </c>
      <c r="F72" s="34">
        <v>20</v>
      </c>
      <c r="G72" s="34">
        <v>0.9336488235294117</v>
      </c>
      <c r="H72" s="34">
        <v>-12.199847058823531</v>
      </c>
      <c r="I72" s="24">
        <v>7</v>
      </c>
      <c r="J72" s="7">
        <v>10.65</v>
      </c>
      <c r="K72" s="7" t="s">
        <v>88</v>
      </c>
      <c r="L72" s="34">
        <v>56.9</v>
      </c>
      <c r="M72" s="34">
        <v>93.941374517899064</v>
      </c>
      <c r="N72" s="34">
        <v>39.38868756893033</v>
      </c>
      <c r="O72" s="34">
        <v>27.993461843239871</v>
      </c>
      <c r="P72" s="34">
        <v>42.92356302571725</v>
      </c>
      <c r="Q72" s="34">
        <v>22.60055114646552</v>
      </c>
      <c r="R72" s="34">
        <v>1.63032E-2</v>
      </c>
      <c r="S72" s="34">
        <f>104.9-100.6</f>
        <v>4.3000000000000114</v>
      </c>
      <c r="T72" s="34">
        <f>(R72/L72)*1000000</f>
        <v>286.52372583479792</v>
      </c>
      <c r="U72" s="34">
        <v>-60</v>
      </c>
      <c r="V72" s="34">
        <v>71.888647058823523</v>
      </c>
      <c r="W72" s="34">
        <v>163.1</v>
      </c>
      <c r="X72" s="34">
        <v>91</v>
      </c>
      <c r="Y72" s="34">
        <v>14.166666666666666</v>
      </c>
      <c r="Z72" s="34">
        <v>4.0679999999999978</v>
      </c>
      <c r="AA72" s="34">
        <v>97.013069999999999</v>
      </c>
      <c r="AB72" s="34">
        <v>1.7259999999999991</v>
      </c>
      <c r="AC72" s="34"/>
      <c r="AD72" s="34" t="s">
        <v>72</v>
      </c>
      <c r="AE72" s="34"/>
      <c r="AF72" s="34"/>
      <c r="AG72" s="34"/>
      <c r="AH72" s="34"/>
      <c r="AI72" s="16">
        <v>35</v>
      </c>
      <c r="AJ72" s="24" t="s">
        <v>157</v>
      </c>
      <c r="AK72" s="34">
        <v>7</v>
      </c>
      <c r="AL72" s="33">
        <v>0.86</v>
      </c>
      <c r="AM72" s="34">
        <v>181.68604651162821</v>
      </c>
      <c r="AN72" s="34">
        <v>36</v>
      </c>
      <c r="AO72" s="34">
        <v>0.6181389310344827</v>
      </c>
      <c r="AP72" s="34">
        <v>-15.681831034482759</v>
      </c>
      <c r="AQ72" s="24">
        <v>7</v>
      </c>
      <c r="AR72" s="7">
        <v>13.75</v>
      </c>
      <c r="AS72" s="7" t="s">
        <v>90</v>
      </c>
      <c r="AT72" s="15">
        <v>30.2</v>
      </c>
      <c r="AU72" s="34">
        <v>52.341560185067607</v>
      </c>
      <c r="AV72" s="34">
        <v>65.526505471463352</v>
      </c>
      <c r="AW72" s="34">
        <v>18.395313687905411</v>
      </c>
      <c r="AX72" s="34">
        <v>75.196980990571248</v>
      </c>
      <c r="AY72" s="34">
        <v>15.254162637434955</v>
      </c>
      <c r="AZ72" s="34">
        <v>1.24464E-2</v>
      </c>
      <c r="BA72" s="34">
        <f>82.46-81.31</f>
        <v>1.1499999999999915</v>
      </c>
      <c r="BB72" s="15">
        <f t="shared" si="12"/>
        <v>412.13245033112588</v>
      </c>
      <c r="BC72" s="15">
        <v>-64.849999999999994</v>
      </c>
      <c r="BD72" s="34">
        <v>72.694972413793096</v>
      </c>
      <c r="BE72" s="15">
        <v>246.29</v>
      </c>
      <c r="BF72" s="15">
        <v>140.27000000000001</v>
      </c>
      <c r="BG72" s="34">
        <v>9.0625</v>
      </c>
      <c r="BH72" s="34">
        <v>5.8900000000000006</v>
      </c>
      <c r="BI72" s="34">
        <v>59.204999999999998</v>
      </c>
      <c r="BJ72" s="34">
        <v>0.55999999999999517</v>
      </c>
      <c r="BK72" s="34"/>
      <c r="BL72" s="34"/>
      <c r="BM72" s="34"/>
      <c r="BN72" s="34"/>
    </row>
    <row r="73" spans="1:66" x14ac:dyDescent="0.3">
      <c r="A73" s="34"/>
      <c r="B73" s="34"/>
      <c r="C73" s="34">
        <v>7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 t="s">
        <v>73</v>
      </c>
      <c r="AE73" s="34"/>
      <c r="AF73" s="34"/>
      <c r="AG73" s="34"/>
      <c r="AH73" s="34"/>
      <c r="AI73" s="16">
        <v>36</v>
      </c>
      <c r="AJ73" s="24" t="s">
        <v>158</v>
      </c>
      <c r="AK73" s="34">
        <v>7</v>
      </c>
      <c r="AL73" s="33">
        <v>0.78500000000000003</v>
      </c>
      <c r="AM73" s="34">
        <v>218.15008726003475</v>
      </c>
      <c r="AN73" s="34">
        <v>46</v>
      </c>
      <c r="AO73" s="34">
        <v>0.61669329629629621</v>
      </c>
      <c r="AP73" s="34">
        <v>-18.373840740740743</v>
      </c>
      <c r="AQ73" s="24">
        <v>7</v>
      </c>
      <c r="AR73" s="7">
        <v>13.8</v>
      </c>
      <c r="AS73" s="7" t="s">
        <v>90</v>
      </c>
      <c r="AT73" s="15">
        <v>28.5</v>
      </c>
      <c r="AU73" s="34">
        <v>43.265862750178535</v>
      </c>
      <c r="AV73" s="34">
        <v>85.859019489997905</v>
      </c>
      <c r="AW73" s="34">
        <v>16.868665621909784</v>
      </c>
      <c r="AX73" s="34">
        <v>92.679732741662932</v>
      </c>
      <c r="AY73" s="34">
        <v>15.2076983955331</v>
      </c>
      <c r="AZ73" s="34">
        <v>1.42121E-2</v>
      </c>
      <c r="BA73" s="34">
        <f>84.28-82.19</f>
        <v>2.0900000000000034</v>
      </c>
      <c r="BB73" s="34">
        <f t="shared" si="12"/>
        <v>498.67017543859646</v>
      </c>
      <c r="BC73" s="15">
        <v>-63.2</v>
      </c>
      <c r="BD73" s="34">
        <v>67.925333333333327</v>
      </c>
      <c r="BE73" s="15">
        <v>244.75</v>
      </c>
      <c r="BF73" s="15">
        <v>131.16</v>
      </c>
      <c r="BG73" s="34">
        <v>8.75</v>
      </c>
      <c r="BH73" s="34">
        <v>6.0100000000000051</v>
      </c>
      <c r="BI73" s="34">
        <v>49.905000000000001</v>
      </c>
      <c r="BJ73" s="34">
        <v>0.55099999999999483</v>
      </c>
      <c r="BK73" s="34"/>
      <c r="BL73" s="34"/>
      <c r="BM73" s="34"/>
      <c r="BN73" s="34"/>
    </row>
    <row r="74" spans="1:66" x14ac:dyDescent="0.3">
      <c r="A74" s="34"/>
      <c r="B74" s="34"/>
      <c r="C74" s="34">
        <v>7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 t="s">
        <v>27</v>
      </c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</row>
    <row r="75" spans="1:66" x14ac:dyDescent="0.3">
      <c r="A75" s="34"/>
      <c r="B75" s="34"/>
      <c r="C75" s="34">
        <v>7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5" t="s">
        <v>25</v>
      </c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5"/>
      <c r="BN75" s="34"/>
    </row>
    <row r="76" spans="1:66" x14ac:dyDescent="0.3">
      <c r="A76" s="22">
        <v>27</v>
      </c>
      <c r="B76" s="24" t="s">
        <v>159</v>
      </c>
      <c r="C76" s="34">
        <v>7</v>
      </c>
      <c r="D76" s="34">
        <v>4.9000000000000002E-2</v>
      </c>
      <c r="E76" s="34">
        <v>89.36550491510279</v>
      </c>
      <c r="F76" s="34">
        <v>20</v>
      </c>
      <c r="G76" s="34">
        <v>2.2040281818181815</v>
      </c>
      <c r="H76" s="34">
        <v>-2.0835181818181825</v>
      </c>
      <c r="I76" s="24">
        <v>7</v>
      </c>
      <c r="J76" s="7">
        <v>10.4</v>
      </c>
      <c r="K76" s="7" t="s">
        <v>88</v>
      </c>
      <c r="L76" s="34">
        <f>(0.02058/0.00000000005)/1000000</f>
        <v>411.6</v>
      </c>
      <c r="M76" s="34">
        <v>237.38675268384418</v>
      </c>
      <c r="N76" s="34">
        <v>29.889111396718182</v>
      </c>
      <c r="O76" s="34">
        <v>93.986661428197678</v>
      </c>
      <c r="P76" s="34">
        <v>39.471774083664052</v>
      </c>
      <c r="Q76" s="34">
        <v>70.217222468330206</v>
      </c>
      <c r="R76" s="34">
        <v>3.23325E-2</v>
      </c>
      <c r="S76" s="34">
        <f>200.2-188.7</f>
        <v>11.5</v>
      </c>
      <c r="T76" s="34">
        <f>(R76/L76)*1000000</f>
        <v>78.553206997084544</v>
      </c>
      <c r="U76" s="34">
        <v>-67.400000000000006</v>
      </c>
      <c r="V76" s="34">
        <v>42.591436363636362</v>
      </c>
      <c r="W76" s="34">
        <v>78.8</v>
      </c>
      <c r="X76" s="34">
        <v>30.4</v>
      </c>
      <c r="Y76" s="34">
        <v>50</v>
      </c>
      <c r="Z76" s="34">
        <f>68.98-65.69</f>
        <v>3.2900000000000063</v>
      </c>
      <c r="AA76" s="34">
        <f>170/2</f>
        <v>85</v>
      </c>
      <c r="AB76" s="34">
        <v>1.0000000000000001E-5</v>
      </c>
      <c r="AC76" s="34"/>
      <c r="AD76" s="34" t="s">
        <v>59</v>
      </c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</row>
    <row r="77" spans="1:66" x14ac:dyDescent="0.3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17"/>
      <c r="AK77" s="34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34"/>
      <c r="BL77" s="34"/>
      <c r="BM77" s="34"/>
      <c r="BN77" s="34"/>
    </row>
    <row r="78" spans="1:66" x14ac:dyDescent="0.3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17"/>
      <c r="AJ78" s="17"/>
      <c r="AK78" s="34"/>
      <c r="AL78" s="17">
        <f t="shared" ref="AL78:BJ78" si="13">AVERAGE(AL39:AL73)</f>
        <v>0.79711428571428566</v>
      </c>
      <c r="AM78" s="17">
        <f t="shared" si="13"/>
        <v>155.55962216333896</v>
      </c>
      <c r="AN78" s="17">
        <f t="shared" si="13"/>
        <v>31.37142857142857</v>
      </c>
      <c r="AO78" s="17">
        <f t="shared" si="13"/>
        <v>0.8207430320453325</v>
      </c>
      <c r="AP78" s="17">
        <f t="shared" si="13"/>
        <v>-14.687124659242022</v>
      </c>
      <c r="AQ78" s="17">
        <f t="shared" si="13"/>
        <v>6.7352941176470589</v>
      </c>
      <c r="AR78" s="17">
        <f t="shared" si="13"/>
        <v>12.897142857142857</v>
      </c>
      <c r="AS78" s="17" t="e">
        <f t="shared" si="13"/>
        <v>#DIV/0!</v>
      </c>
      <c r="AT78" s="17">
        <f t="shared" si="13"/>
        <v>43.170999999999999</v>
      </c>
      <c r="AU78" s="17">
        <f t="shared" si="13"/>
        <v>72.849030614994177</v>
      </c>
      <c r="AV78" s="17">
        <f t="shared" si="13"/>
        <v>59.259157659930644</v>
      </c>
      <c r="AW78" s="17">
        <f t="shared" si="13"/>
        <v>24.795592504641117</v>
      </c>
      <c r="AX78" s="17">
        <f t="shared" si="13"/>
        <v>64.853951050896214</v>
      </c>
      <c r="AY78" s="17">
        <f t="shared" si="13"/>
        <v>20.935940665497888</v>
      </c>
      <c r="AZ78" s="17">
        <f t="shared" si="13"/>
        <v>1.2499371142857141E-2</v>
      </c>
      <c r="BA78" s="17">
        <f t="shared" si="13"/>
        <v>2.3708009999999988</v>
      </c>
      <c r="BB78" s="17">
        <f t="shared" si="13"/>
        <v>351.07019402698239</v>
      </c>
      <c r="BC78" s="17">
        <f t="shared" si="13"/>
        <v>-60.688571428571429</v>
      </c>
      <c r="BD78" s="17">
        <f t="shared" si="13"/>
        <v>68.996281594285875</v>
      </c>
      <c r="BE78" s="17">
        <f t="shared" si="13"/>
        <v>193.49800000000005</v>
      </c>
      <c r="BF78" s="17">
        <f t="shared" si="13"/>
        <v>100.65714285714284</v>
      </c>
      <c r="BG78" s="17">
        <f t="shared" si="13"/>
        <v>13.215136939260374</v>
      </c>
      <c r="BH78" s="17">
        <f t="shared" si="13"/>
        <v>4.4015789473684199</v>
      </c>
      <c r="BI78" s="17">
        <f t="shared" si="13"/>
        <v>56.786676842105265</v>
      </c>
      <c r="BJ78" s="17">
        <f t="shared" si="13"/>
        <v>1.2016321052631576</v>
      </c>
      <c r="BK78" s="34"/>
      <c r="BL78" s="34"/>
      <c r="BM78" s="34"/>
      <c r="BN78" s="34"/>
    </row>
    <row r="79" spans="1:66" x14ac:dyDescent="0.3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17"/>
      <c r="AJ79" s="17"/>
      <c r="AK79" s="34"/>
      <c r="AL79" s="17">
        <f t="shared" ref="AL79:BJ79" si="14">STDEVA(AL39:AL73)</f>
        <v>0.42663283369885652</v>
      </c>
      <c r="AM79" s="17">
        <f t="shared" si="14"/>
        <v>34.563869824947979</v>
      </c>
      <c r="AN79" s="17">
        <f t="shared" si="14"/>
        <v>8.3984792540978823</v>
      </c>
      <c r="AO79" s="17">
        <f t="shared" si="14"/>
        <v>0.23120497729011985</v>
      </c>
      <c r="AP79" s="17">
        <f t="shared" si="14"/>
        <v>5.3273412575039671</v>
      </c>
      <c r="AQ79" s="17">
        <f t="shared" si="14"/>
        <v>0.44781107551989907</v>
      </c>
      <c r="AR79" s="17">
        <f t="shared" si="14"/>
        <v>0.52775089616537973</v>
      </c>
      <c r="AS79" s="17">
        <f t="shared" si="14"/>
        <v>0</v>
      </c>
      <c r="AT79" s="17">
        <f t="shared" si="14"/>
        <v>33.439302370365752</v>
      </c>
      <c r="AU79" s="17">
        <f t="shared" si="14"/>
        <v>23.725147319936781</v>
      </c>
      <c r="AV79" s="17">
        <f t="shared" si="14"/>
        <v>15.663416718058146</v>
      </c>
      <c r="AW79" s="17">
        <f t="shared" si="14"/>
        <v>6.8391923316768235</v>
      </c>
      <c r="AX79" s="17">
        <f t="shared" si="14"/>
        <v>16.950335417310651</v>
      </c>
      <c r="AY79" s="17">
        <f t="shared" si="14"/>
        <v>6.2712693843794014</v>
      </c>
      <c r="AZ79" s="17">
        <f t="shared" si="14"/>
        <v>5.9119427476197724E-3</v>
      </c>
      <c r="BA79" s="17">
        <f t="shared" si="14"/>
        <v>1.9651946140438334</v>
      </c>
      <c r="BB79" s="17">
        <f t="shared" si="14"/>
        <v>161.4005008499293</v>
      </c>
      <c r="BC79" s="17">
        <f t="shared" si="14"/>
        <v>22.87365246983796</v>
      </c>
      <c r="BD79" s="17">
        <f t="shared" si="14"/>
        <v>7.3557315873504576</v>
      </c>
      <c r="BE79" s="17">
        <f t="shared" si="14"/>
        <v>43.167838981734228</v>
      </c>
      <c r="BF79" s="17">
        <f t="shared" si="14"/>
        <v>27.092079976978468</v>
      </c>
      <c r="BG79" s="17">
        <f t="shared" si="14"/>
        <v>4.100382511139439</v>
      </c>
      <c r="BH79" s="17">
        <f t="shared" si="14"/>
        <v>2.612272304076142</v>
      </c>
      <c r="BI79" s="17">
        <f t="shared" si="14"/>
        <v>24.060648423480362</v>
      </c>
      <c r="BJ79" s="17">
        <f t="shared" si="14"/>
        <v>0.91116721201483009</v>
      </c>
      <c r="BK79" s="34"/>
      <c r="BL79" s="34"/>
      <c r="BM79" s="34"/>
      <c r="BN79" s="34"/>
    </row>
    <row r="80" spans="1:66" ht="15" thickBot="1" x14ac:dyDescent="0.35">
      <c r="A80" s="17"/>
      <c r="B80" s="17"/>
      <c r="C80" s="34"/>
      <c r="D80" s="17">
        <f>AVERAGE(D39:D77)</f>
        <v>0.56844117647058812</v>
      </c>
      <c r="E80" s="17">
        <f>AVERAGE(E39:E77)</f>
        <v>127.26353815044786</v>
      </c>
      <c r="F80" s="17">
        <f t="shared" ref="F80:AB80" si="15">AVERAGE(F39:F77)</f>
        <v>24.441176470588236</v>
      </c>
      <c r="G80" s="17">
        <f t="shared" si="15"/>
        <v>1.0161321380522153</v>
      </c>
      <c r="H80" s="17">
        <f t="shared" si="15"/>
        <v>-9.7176551420072226</v>
      </c>
      <c r="I80" s="17">
        <f t="shared" si="15"/>
        <v>6.6470588235294121</v>
      </c>
      <c r="J80" s="17">
        <f t="shared" si="15"/>
        <v>9.8397058823529342</v>
      </c>
      <c r="K80" s="17" t="e">
        <f t="shared" si="15"/>
        <v>#DIV/0!</v>
      </c>
      <c r="L80" s="17">
        <f t="shared" si="15"/>
        <v>61.070323295985069</v>
      </c>
      <c r="M80" s="17">
        <f t="shared" si="15"/>
        <v>98.917915995760836</v>
      </c>
      <c r="N80" s="17">
        <f t="shared" si="15"/>
        <v>47.49863687876865</v>
      </c>
      <c r="O80" s="17">
        <f t="shared" si="15"/>
        <v>37.641771719913415</v>
      </c>
      <c r="P80" s="17">
        <f t="shared" si="15"/>
        <v>50.602921759510707</v>
      </c>
      <c r="Q80" s="17">
        <f t="shared" si="15"/>
        <v>29.61080415494693</v>
      </c>
      <c r="R80" s="17">
        <f t="shared" si="15"/>
        <v>1.3708364117647061E-2</v>
      </c>
      <c r="S80" s="17">
        <f t="shared" si="15"/>
        <v>4.2646387299923658</v>
      </c>
      <c r="T80" s="17">
        <f t="shared" si="15"/>
        <v>303.69578569438215</v>
      </c>
      <c r="U80" s="17">
        <f t="shared" si="15"/>
        <v>-65.222424242424253</v>
      </c>
      <c r="V80" s="17">
        <f t="shared" si="15"/>
        <v>66.884040952727716</v>
      </c>
      <c r="W80" s="17">
        <f t="shared" si="15"/>
        <v>165.69882352941178</v>
      </c>
      <c r="X80" s="17">
        <f t="shared" si="15"/>
        <v>80.359117647058824</v>
      </c>
      <c r="Y80" s="17">
        <f t="shared" si="15"/>
        <v>18.131151439755318</v>
      </c>
      <c r="Z80" s="17">
        <f t="shared" si="15"/>
        <v>4.0636190476190466</v>
      </c>
      <c r="AA80" s="17">
        <f>AVERAGE(AA39:AA77)</f>
        <v>74.54968322466641</v>
      </c>
      <c r="AB80" s="17">
        <f t="shared" si="15"/>
        <v>0.64310333333333336</v>
      </c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</row>
    <row r="81" spans="1:66" ht="15" thickBot="1" x14ac:dyDescent="0.35">
      <c r="A81" s="17"/>
      <c r="B81" s="17"/>
      <c r="C81" s="34"/>
      <c r="D81" s="17">
        <f t="shared" ref="D81:AB81" si="16">STDEVA(D39:D64)</f>
        <v>0.47156868167687055</v>
      </c>
      <c r="E81" s="17">
        <f t="shared" si="16"/>
        <v>34.253614912916461</v>
      </c>
      <c r="F81" s="17">
        <f t="shared" si="16"/>
        <v>8.8321092523900493</v>
      </c>
      <c r="G81" s="17">
        <f t="shared" si="16"/>
        <v>0.19795867468491138</v>
      </c>
      <c r="H81" s="17">
        <f t="shared" si="16"/>
        <v>3.6680137100210666</v>
      </c>
      <c r="I81" s="17">
        <f t="shared" si="16"/>
        <v>0.49613893835683365</v>
      </c>
      <c r="J81" s="17">
        <f t="shared" si="16"/>
        <v>0.36175320954399731</v>
      </c>
      <c r="K81" s="17">
        <f t="shared" si="16"/>
        <v>0</v>
      </c>
      <c r="L81" s="17">
        <f t="shared" si="16"/>
        <v>34.394052933702802</v>
      </c>
      <c r="M81" s="17">
        <f t="shared" si="16"/>
        <v>28.222692469196691</v>
      </c>
      <c r="N81" s="17">
        <f t="shared" si="16"/>
        <v>17.191835809402949</v>
      </c>
      <c r="O81" s="17">
        <f t="shared" si="16"/>
        <v>20.505649072889948</v>
      </c>
      <c r="P81" s="17">
        <f t="shared" si="16"/>
        <v>15.837106097467645</v>
      </c>
      <c r="Q81" s="17">
        <f t="shared" si="16"/>
        <v>8.7682248680687671</v>
      </c>
      <c r="R81" s="17">
        <f t="shared" si="16"/>
        <v>5.5230791549339929E-3</v>
      </c>
      <c r="S81" s="17">
        <f t="shared" si="16"/>
        <v>4.5941047251516371</v>
      </c>
      <c r="T81" s="17">
        <f t="shared" si="16"/>
        <v>150.78275557434085</v>
      </c>
      <c r="U81" s="17">
        <f t="shared" si="16"/>
        <v>3.2098564549740334</v>
      </c>
      <c r="V81" s="17">
        <f t="shared" si="16"/>
        <v>5.7161412739657083</v>
      </c>
      <c r="W81" s="17">
        <f t="shared" si="16"/>
        <v>34.789154852979962</v>
      </c>
      <c r="X81" s="17">
        <f t="shared" si="16"/>
        <v>18.203623413612345</v>
      </c>
      <c r="Y81" s="17">
        <f t="shared" si="16"/>
        <v>6.004684023607755</v>
      </c>
      <c r="Z81" s="17">
        <f t="shared" si="16"/>
        <v>2.2731016311729277</v>
      </c>
      <c r="AA81" s="17">
        <f t="shared" si="16"/>
        <v>31.160877276609142</v>
      </c>
      <c r="AB81" s="17">
        <f t="shared" si="16"/>
        <v>0.78257271032792886</v>
      </c>
      <c r="AC81" s="34"/>
      <c r="AD81" s="34"/>
      <c r="AE81" s="34"/>
      <c r="AF81" s="34"/>
      <c r="AG81" s="34"/>
      <c r="AH81" s="34"/>
      <c r="AI81" s="1" t="s">
        <v>160</v>
      </c>
      <c r="AJ81" s="2" t="s">
        <v>1</v>
      </c>
      <c r="AK81" s="34"/>
      <c r="AL81" s="2" t="s">
        <v>3</v>
      </c>
      <c r="AM81" s="2" t="s">
        <v>83</v>
      </c>
      <c r="AN81" s="2" t="s">
        <v>5</v>
      </c>
      <c r="AO81" s="2" t="s">
        <v>6</v>
      </c>
      <c r="AP81" s="2" t="s">
        <v>86</v>
      </c>
      <c r="AQ81" s="2" t="s">
        <v>8</v>
      </c>
      <c r="AR81" s="2" t="s">
        <v>9</v>
      </c>
      <c r="AS81" s="2" t="s">
        <v>10</v>
      </c>
      <c r="AT81" s="2" t="s">
        <v>11</v>
      </c>
      <c r="AU81" s="2" t="s">
        <v>12</v>
      </c>
      <c r="AV81" s="2" t="s">
        <v>13</v>
      </c>
      <c r="AW81" s="3" t="s">
        <v>14</v>
      </c>
      <c r="AX81" s="3" t="s">
        <v>15</v>
      </c>
      <c r="AY81" s="3" t="s">
        <v>16</v>
      </c>
      <c r="AZ81" s="3" t="s">
        <v>17</v>
      </c>
      <c r="BA81" s="3" t="s">
        <v>18</v>
      </c>
      <c r="BB81" s="4" t="s">
        <v>19</v>
      </c>
      <c r="BC81" s="5" t="s">
        <v>20</v>
      </c>
      <c r="BD81" s="5" t="s">
        <v>21</v>
      </c>
      <c r="BE81" s="5" t="s">
        <v>84</v>
      </c>
      <c r="BF81" s="5" t="s">
        <v>23</v>
      </c>
      <c r="BG81" s="5" t="s">
        <v>24</v>
      </c>
      <c r="BH81" s="5" t="s">
        <v>25</v>
      </c>
      <c r="BI81" s="5" t="s">
        <v>26</v>
      </c>
      <c r="BJ81" s="5" t="s">
        <v>27</v>
      </c>
      <c r="BK81" s="34"/>
      <c r="BL81" s="34"/>
      <c r="BM81" s="34"/>
      <c r="BN81" s="34"/>
    </row>
    <row r="82" spans="1:66" x14ac:dyDescent="0.3">
      <c r="A82" s="34"/>
      <c r="B82" s="17"/>
      <c r="C82" s="34"/>
      <c r="D82" s="17">
        <f>COUNT(D39:D72)</f>
        <v>33</v>
      </c>
      <c r="E82" s="17">
        <f>COUNT(E39:E72)</f>
        <v>33</v>
      </c>
      <c r="F82" s="17">
        <f>COUNT(F39:F72)</f>
        <v>33</v>
      </c>
      <c r="G82" s="17">
        <f>COUNT(G39:G72)</f>
        <v>33</v>
      </c>
      <c r="H82" s="17">
        <f>COUNT(H39:H72)</f>
        <v>33</v>
      </c>
      <c r="I82" s="17">
        <f t="shared" ref="I82:W82" si="17">COUNT(I39:I72)</f>
        <v>33</v>
      </c>
      <c r="J82" s="17">
        <f t="shared" si="17"/>
        <v>33</v>
      </c>
      <c r="K82" s="17">
        <f t="shared" si="17"/>
        <v>0</v>
      </c>
      <c r="L82" s="17">
        <f t="shared" si="17"/>
        <v>33</v>
      </c>
      <c r="M82" s="17">
        <f>COUNT(M39:M72)</f>
        <v>33</v>
      </c>
      <c r="N82" s="17">
        <f>COUNT(N39:N72)</f>
        <v>33</v>
      </c>
      <c r="O82" s="17">
        <f>COUNT(O39:O72)</f>
        <v>33</v>
      </c>
      <c r="P82" s="17">
        <f>COUNT(P39:P72)</f>
        <v>33</v>
      </c>
      <c r="Q82" s="17">
        <f>COUNT(Q39:Q72)</f>
        <v>33</v>
      </c>
      <c r="R82" s="17">
        <f t="shared" si="17"/>
        <v>33</v>
      </c>
      <c r="S82" s="17">
        <f>COUNT(S39:S72)</f>
        <v>30</v>
      </c>
      <c r="T82" s="17">
        <f t="shared" si="17"/>
        <v>33</v>
      </c>
      <c r="U82" s="17">
        <f t="shared" si="17"/>
        <v>32</v>
      </c>
      <c r="V82" s="17">
        <f>COUNT(V39:V72)</f>
        <v>33</v>
      </c>
      <c r="W82" s="17">
        <f t="shared" si="17"/>
        <v>33</v>
      </c>
      <c r="X82" s="17">
        <f>COUNT(X39:X72)</f>
        <v>33</v>
      </c>
      <c r="Y82" s="17">
        <f>COUNT(Y39:Y72)</f>
        <v>33</v>
      </c>
      <c r="Z82" s="17">
        <f>COUNT(Z39:Z72)</f>
        <v>20</v>
      </c>
      <c r="AA82" s="17">
        <f>COUNT(AA39:AA72)</f>
        <v>20</v>
      </c>
      <c r="AB82" s="17">
        <f>COUNT(AB39:AB72)</f>
        <v>20</v>
      </c>
      <c r="AC82" s="34"/>
      <c r="AD82" s="34"/>
      <c r="AE82" s="34"/>
      <c r="AF82" s="34"/>
      <c r="AG82" s="34"/>
      <c r="AH82" s="34"/>
      <c r="AI82" s="20">
        <v>1</v>
      </c>
      <c r="AJ82" s="7" t="s">
        <v>161</v>
      </c>
      <c r="AK82" s="34">
        <v>14</v>
      </c>
      <c r="AL82" s="34">
        <v>1.31</v>
      </c>
      <c r="AM82" s="34">
        <v>253.61399949277305</v>
      </c>
      <c r="AN82" s="34">
        <v>58</v>
      </c>
      <c r="AO82" s="34">
        <v>0.59651900000000002</v>
      </c>
      <c r="AP82" s="34">
        <v>-17.511536363636363</v>
      </c>
      <c r="AQ82" s="34">
        <v>16</v>
      </c>
      <c r="AR82" s="34">
        <v>19</v>
      </c>
      <c r="AS82" s="34"/>
      <c r="AT82" s="34">
        <v>26.5</v>
      </c>
      <c r="AU82" s="34">
        <v>53.214708958908489</v>
      </c>
      <c r="AV82" s="34">
        <v>112.08249271463765</v>
      </c>
      <c r="AW82" s="34">
        <v>23.687254628078581</v>
      </c>
      <c r="AX82" s="34">
        <v>119.97815459475405</v>
      </c>
      <c r="AY82" s="34">
        <v>21.600150464215464</v>
      </c>
      <c r="AZ82" s="34">
        <v>8.9700000000000005E-3</v>
      </c>
      <c r="BA82" s="34">
        <f>90.28-84.08</f>
        <v>6.2000000000000028</v>
      </c>
      <c r="BB82" s="34">
        <f t="shared" ref="BB82:BB101" si="18">(AZ82/AT82)*1000000</f>
        <v>338.4905660377359</v>
      </c>
      <c r="BC82" s="34">
        <v>-67.03</v>
      </c>
      <c r="BD82" s="34">
        <v>63.711990476190479</v>
      </c>
      <c r="BE82" s="34">
        <v>212.5</v>
      </c>
      <c r="BF82" s="34">
        <v>130.19</v>
      </c>
      <c r="BG82" s="34">
        <v>11.428571428571429</v>
      </c>
      <c r="BH82" s="34">
        <v>1.7199999999999989</v>
      </c>
      <c r="BI82" s="34">
        <v>76.481480000000005</v>
      </c>
      <c r="BJ82" s="34">
        <v>2.9600000000000009</v>
      </c>
      <c r="BK82" s="34"/>
      <c r="BL82" s="34"/>
      <c r="BM82" s="34"/>
      <c r="BN82" s="34"/>
    </row>
    <row r="83" spans="1:66" x14ac:dyDescent="0.3">
      <c r="A83" s="34"/>
      <c r="B83" s="34"/>
      <c r="C83" s="34"/>
      <c r="D83" s="17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>
        <f>7/14*100</f>
        <v>50</v>
      </c>
      <c r="AC83" s="34"/>
      <c r="AD83" s="34"/>
      <c r="AE83" s="34"/>
      <c r="AF83" s="34"/>
      <c r="AG83" s="34"/>
      <c r="AH83" s="34"/>
      <c r="AI83" s="22">
        <v>2</v>
      </c>
      <c r="AJ83" s="7" t="s">
        <v>162</v>
      </c>
      <c r="AK83" s="34">
        <v>14</v>
      </c>
      <c r="AL83" s="8">
        <v>0.7</v>
      </c>
      <c r="AM83" s="34">
        <v>169.72165648336738</v>
      </c>
      <c r="AN83" s="34">
        <v>24</v>
      </c>
      <c r="AO83" s="34">
        <v>0.43777560714285718</v>
      </c>
      <c r="AP83" s="34">
        <v>-25.299067857142862</v>
      </c>
      <c r="AQ83" s="7">
        <v>16</v>
      </c>
      <c r="AR83" s="8">
        <v>19.05</v>
      </c>
      <c r="AS83" s="8"/>
      <c r="AT83" s="34">
        <v>25.7</v>
      </c>
      <c r="AU83" s="34">
        <v>91.99585025232372</v>
      </c>
      <c r="AV83" s="34">
        <v>49.385154822460308</v>
      </c>
      <c r="AW83" s="34">
        <v>24.018593603208032</v>
      </c>
      <c r="AX83" s="34">
        <v>51.909233718957637</v>
      </c>
      <c r="AY83" s="34">
        <v>21.055415018364858</v>
      </c>
      <c r="AZ83" s="34">
        <v>9.7796900000000006E-3</v>
      </c>
      <c r="BA83" s="34">
        <f>88.26-78.13</f>
        <v>10.13000000000001</v>
      </c>
      <c r="BB83" s="34">
        <f t="shared" si="18"/>
        <v>380.53268482490279</v>
      </c>
      <c r="BC83" s="34">
        <v>-65.39</v>
      </c>
      <c r="BD83" s="34">
        <v>67.949571428571431</v>
      </c>
      <c r="BE83" s="34">
        <v>284.10000000000002</v>
      </c>
      <c r="BF83" s="34">
        <v>186.1</v>
      </c>
      <c r="BG83" s="34">
        <v>11.111111111111111</v>
      </c>
      <c r="BH83" s="34">
        <v>4.3499999999999943</v>
      </c>
      <c r="BI83" s="34">
        <v>56.937939999999998</v>
      </c>
      <c r="BJ83" s="34">
        <v>3.3800000000000026</v>
      </c>
      <c r="BK83" s="34"/>
      <c r="BL83" s="34"/>
      <c r="BM83" s="34"/>
      <c r="BN83" s="34"/>
    </row>
    <row r="84" spans="1:66" x14ac:dyDescent="0.3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22">
        <v>3</v>
      </c>
      <c r="AJ84" s="8" t="s">
        <v>163</v>
      </c>
      <c r="AK84" s="34">
        <v>14</v>
      </c>
      <c r="AL84" s="7">
        <v>1.35</v>
      </c>
      <c r="AM84" s="34">
        <v>251.88916876574314</v>
      </c>
      <c r="AN84" s="34">
        <v>46</v>
      </c>
      <c r="AO84" s="34">
        <v>0.57406783333333322</v>
      </c>
      <c r="AP84" s="34">
        <v>-18.7988</v>
      </c>
      <c r="AQ84" s="7">
        <v>17</v>
      </c>
      <c r="AR84" s="7">
        <v>19.100000000000001</v>
      </c>
      <c r="AS84" s="7"/>
      <c r="AT84" s="15">
        <v>16.5</v>
      </c>
      <c r="AU84" s="34">
        <v>42.359360389130806</v>
      </c>
      <c r="AV84" s="34">
        <v>79.113924050633003</v>
      </c>
      <c r="AW84" s="34">
        <v>14.738011048545561</v>
      </c>
      <c r="AX84" s="34">
        <v>96.082524103320608</v>
      </c>
      <c r="AY84" s="34">
        <v>11.509598948366358</v>
      </c>
      <c r="AZ84" s="34">
        <v>5.5132999999999996E-3</v>
      </c>
      <c r="BA84" s="34">
        <f>86.82-81.29</f>
        <v>5.5299999999999869</v>
      </c>
      <c r="BB84" s="34">
        <f t="shared" si="18"/>
        <v>334.13939393939393</v>
      </c>
      <c r="BC84" s="34">
        <v>-67</v>
      </c>
      <c r="BD84" s="34">
        <v>68.433972222222224</v>
      </c>
      <c r="BE84" s="34">
        <v>262.49</v>
      </c>
      <c r="BF84" s="34">
        <v>138.6</v>
      </c>
      <c r="BG84" s="34">
        <v>7.2222222222222223</v>
      </c>
      <c r="BH84" s="34">
        <v>3.5899999999999892</v>
      </c>
      <c r="BI84" s="34">
        <v>43.382353000000002</v>
      </c>
      <c r="BJ84" s="34">
        <v>2.1199999999999974</v>
      </c>
      <c r="BK84" s="34"/>
      <c r="BL84" s="34"/>
      <c r="BM84" s="34"/>
      <c r="BN84" s="34"/>
    </row>
    <row r="85" spans="1:66" ht="15" thickBo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20">
        <v>4</v>
      </c>
      <c r="AJ85" s="8" t="s">
        <v>164</v>
      </c>
      <c r="AK85" s="34">
        <v>14</v>
      </c>
      <c r="AL85" s="8">
        <v>1.1000000000000001</v>
      </c>
      <c r="AM85" s="15">
        <v>229.46305644791167</v>
      </c>
      <c r="AN85" s="34">
        <v>36</v>
      </c>
      <c r="AO85" s="34">
        <v>0.44420399999999999</v>
      </c>
      <c r="AP85" s="34">
        <v>-28.691608333333335</v>
      </c>
      <c r="AQ85" s="8">
        <v>17</v>
      </c>
      <c r="AR85" s="8">
        <v>19.149999999999999</v>
      </c>
      <c r="AS85" s="8"/>
      <c r="AT85" s="15">
        <v>20.05</v>
      </c>
      <c r="AU85" s="15">
        <v>43.005378060065702</v>
      </c>
      <c r="AV85" s="34">
        <v>66.666666666666671</v>
      </c>
      <c r="AW85" s="34">
        <v>10.470319648969241</v>
      </c>
      <c r="AX85" s="15">
        <v>74.976529857201697</v>
      </c>
      <c r="AY85" s="34">
        <v>11.301313830657529</v>
      </c>
      <c r="AZ85" s="34">
        <v>8.2363499999999999E-3</v>
      </c>
      <c r="BA85" s="34">
        <f>85.84-83.4</f>
        <v>2.4399999999999977</v>
      </c>
      <c r="BB85" s="34">
        <f t="shared" si="18"/>
        <v>410.79052369077306</v>
      </c>
      <c r="BC85" s="34">
        <v>-65.95</v>
      </c>
      <c r="BD85" s="34">
        <v>58.466788000000008</v>
      </c>
      <c r="BE85" s="34">
        <v>274</v>
      </c>
      <c r="BF85" s="34">
        <v>172</v>
      </c>
      <c r="BG85" s="17">
        <v>7.0454545454545459</v>
      </c>
      <c r="BH85" s="34">
        <v>3.4300000000000068</v>
      </c>
      <c r="BI85" s="34">
        <v>35.347043499999998</v>
      </c>
      <c r="BJ85" s="34">
        <v>2.9399999999999977</v>
      </c>
      <c r="BK85" s="34"/>
      <c r="BL85" s="34"/>
      <c r="BM85" s="34"/>
      <c r="BN85" s="34"/>
    </row>
    <row r="86" spans="1:66" ht="15" thickBot="1" x14ac:dyDescent="0.35">
      <c r="A86" s="1" t="s">
        <v>165</v>
      </c>
      <c r="B86" s="2" t="s">
        <v>1</v>
      </c>
      <c r="C86" s="34"/>
      <c r="D86" s="2" t="s">
        <v>3</v>
      </c>
      <c r="E86" s="2" t="s">
        <v>83</v>
      </c>
      <c r="F86" s="2" t="s">
        <v>5</v>
      </c>
      <c r="G86" s="2" t="s">
        <v>6</v>
      </c>
      <c r="H86" s="2" t="s">
        <v>86</v>
      </c>
      <c r="I86" s="2" t="s">
        <v>8</v>
      </c>
      <c r="J86" s="2" t="s">
        <v>9</v>
      </c>
      <c r="K86" s="2" t="s">
        <v>10</v>
      </c>
      <c r="L86" s="2" t="s">
        <v>11</v>
      </c>
      <c r="M86" s="2" t="s">
        <v>12</v>
      </c>
      <c r="N86" s="2" t="s">
        <v>13</v>
      </c>
      <c r="O86" s="3" t="s">
        <v>14</v>
      </c>
      <c r="P86" s="3" t="s">
        <v>15</v>
      </c>
      <c r="Q86" s="3" t="s">
        <v>16</v>
      </c>
      <c r="R86" s="3" t="s">
        <v>17</v>
      </c>
      <c r="S86" s="3" t="s">
        <v>18</v>
      </c>
      <c r="T86" s="4" t="s">
        <v>19</v>
      </c>
      <c r="U86" s="5" t="s">
        <v>20</v>
      </c>
      <c r="V86" s="5" t="s">
        <v>21</v>
      </c>
      <c r="W86" s="5" t="s">
        <v>84</v>
      </c>
      <c r="X86" s="5" t="s">
        <v>23</v>
      </c>
      <c r="Y86" s="5" t="s">
        <v>24</v>
      </c>
      <c r="Z86" s="5" t="s">
        <v>25</v>
      </c>
      <c r="AA86" s="5" t="s">
        <v>26</v>
      </c>
      <c r="AB86" s="5" t="s">
        <v>27</v>
      </c>
      <c r="AC86" s="34"/>
      <c r="AD86" s="34"/>
      <c r="AE86" s="34"/>
      <c r="AF86" s="34"/>
      <c r="AG86" s="34"/>
      <c r="AH86" s="34"/>
      <c r="AI86" s="20">
        <v>5</v>
      </c>
      <c r="AJ86" s="8" t="s">
        <v>166</v>
      </c>
      <c r="AK86" s="34">
        <v>14</v>
      </c>
      <c r="AL86" s="8">
        <v>0.9</v>
      </c>
      <c r="AM86" s="34">
        <v>239.23444976076516</v>
      </c>
      <c r="AN86" s="34">
        <v>45</v>
      </c>
      <c r="AO86" s="34">
        <v>0.68177335714285714</v>
      </c>
      <c r="AP86" s="34">
        <v>-16.775269230769233</v>
      </c>
      <c r="AQ86" s="8">
        <v>17</v>
      </c>
      <c r="AR86" s="34">
        <v>19.2</v>
      </c>
      <c r="AS86" s="8"/>
      <c r="AT86" s="15">
        <v>26.1</v>
      </c>
      <c r="AU86" s="34">
        <v>51.328463360674519</v>
      </c>
      <c r="AV86" s="34">
        <v>81.947062197820372</v>
      </c>
      <c r="AW86" s="34">
        <v>18.169736143577932</v>
      </c>
      <c r="AX86" s="34">
        <v>90.770034366988256</v>
      </c>
      <c r="AY86" s="34">
        <v>16.696508715810143</v>
      </c>
      <c r="AZ86" s="34">
        <v>5.6049799999999999E-3</v>
      </c>
      <c r="BA86" s="34">
        <f>95.54-88.44</f>
        <v>7.1000000000000085</v>
      </c>
      <c r="BB86" s="34">
        <f t="shared" si="18"/>
        <v>214.75019157088121</v>
      </c>
      <c r="BC86" s="34">
        <v>-65.8</v>
      </c>
      <c r="BD86" s="34">
        <v>67.073264285714274</v>
      </c>
      <c r="BE86" s="34">
        <v>226.56</v>
      </c>
      <c r="BF86" s="34">
        <v>123.29</v>
      </c>
      <c r="BG86" s="34">
        <v>9.0909090909090899</v>
      </c>
      <c r="BH86" s="34">
        <v>4.7959999999999923</v>
      </c>
      <c r="BI86" s="34">
        <v>59.603614999999998</v>
      </c>
      <c r="BJ86" s="34">
        <v>2.3400000000000034</v>
      </c>
      <c r="BK86" s="34"/>
      <c r="BL86" s="34"/>
      <c r="BM86" s="34"/>
      <c r="BN86" s="34"/>
    </row>
    <row r="87" spans="1:66" x14ac:dyDescent="0.3">
      <c r="A87" s="20">
        <v>1</v>
      </c>
      <c r="B87" s="7" t="s">
        <v>167</v>
      </c>
      <c r="C87" s="34">
        <v>14</v>
      </c>
      <c r="D87" s="7">
        <v>0.55000000000000004</v>
      </c>
      <c r="E87" s="7">
        <v>127.9099513942183</v>
      </c>
      <c r="F87" s="7">
        <v>21</v>
      </c>
      <c r="G87" s="7">
        <v>0.89594989999999985</v>
      </c>
      <c r="H87" s="7">
        <v>-26.024136551724141</v>
      </c>
      <c r="I87" s="7">
        <v>14</v>
      </c>
      <c r="J87" s="7">
        <v>16.5</v>
      </c>
      <c r="K87" s="7" t="s">
        <v>168</v>
      </c>
      <c r="L87" s="34">
        <f>(0.00324/0.0000000001)/1000000</f>
        <v>32.4</v>
      </c>
      <c r="M87" s="7">
        <v>36.309654893118413</v>
      </c>
      <c r="N87" s="7">
        <v>37.122280792931932</v>
      </c>
      <c r="O87" s="34">
        <v>20.84445863644109</v>
      </c>
      <c r="P87" s="34">
        <v>48.636979087365894</v>
      </c>
      <c r="Q87" s="34">
        <v>21.56099606120485</v>
      </c>
      <c r="R87" s="34">
        <v>7.8593299999999994E-3</v>
      </c>
      <c r="S87" s="34"/>
      <c r="T87" s="34">
        <f t="shared" ref="T87:T106" si="19">(R87/L87)*1000000</f>
        <v>242.5719135802469</v>
      </c>
      <c r="U87" s="34">
        <v>-67</v>
      </c>
      <c r="V87" s="34">
        <f>38.7+18</f>
        <v>56.7</v>
      </c>
      <c r="W87" s="34">
        <v>134.9</v>
      </c>
      <c r="X87" s="34">
        <v>60.7</v>
      </c>
      <c r="Y87" s="34">
        <v>17.89473684210526</v>
      </c>
      <c r="Z87" s="34"/>
      <c r="AA87" s="34"/>
      <c r="AB87" s="34"/>
      <c r="AC87" s="34"/>
      <c r="AD87" s="34"/>
      <c r="AE87" s="34"/>
      <c r="AF87" s="34"/>
      <c r="AG87" s="34"/>
      <c r="AH87" s="34"/>
      <c r="AI87" s="22">
        <v>6</v>
      </c>
      <c r="AJ87" s="8" t="s">
        <v>169</v>
      </c>
      <c r="AK87" s="34">
        <v>14</v>
      </c>
      <c r="AL87" s="8">
        <v>0.77</v>
      </c>
      <c r="AM87" s="34">
        <v>231.64234422052465</v>
      </c>
      <c r="AN87" s="34">
        <v>59</v>
      </c>
      <c r="AO87" s="34">
        <v>0.43186160869565227</v>
      </c>
      <c r="AP87" s="34">
        <v>-22.224743478260869</v>
      </c>
      <c r="AQ87" s="8">
        <v>19</v>
      </c>
      <c r="AR87" s="8">
        <v>19.25</v>
      </c>
      <c r="AS87" s="8"/>
      <c r="AT87" s="8">
        <v>17.7</v>
      </c>
      <c r="AU87" s="34">
        <v>46.362468778572044</v>
      </c>
      <c r="AV87" s="34">
        <v>109.03936321011827</v>
      </c>
      <c r="AW87" s="34">
        <v>23.208798364452527</v>
      </c>
      <c r="AX87" s="34">
        <v>121.4068249033804</v>
      </c>
      <c r="AY87" s="34">
        <v>20.665024458328702</v>
      </c>
      <c r="AZ87" s="34">
        <v>1.0199400000000001E-2</v>
      </c>
      <c r="BA87" s="34">
        <f>77.7-66.8</f>
        <v>10.900000000000006</v>
      </c>
      <c r="BB87" s="34">
        <f t="shared" si="18"/>
        <v>576.23728813559319</v>
      </c>
      <c r="BC87" s="34">
        <v>-66.650000000000006</v>
      </c>
      <c r="BD87" s="34">
        <v>80.813199999999995</v>
      </c>
      <c r="BE87" s="34">
        <v>334.1</v>
      </c>
      <c r="BF87" s="34">
        <v>230.5</v>
      </c>
      <c r="BG87" s="34">
        <v>11.25</v>
      </c>
      <c r="BH87" s="34">
        <v>5.5300000000000011</v>
      </c>
      <c r="BI87" s="34">
        <v>50.24</v>
      </c>
      <c r="BJ87" s="34">
        <v>4.7510000000000048</v>
      </c>
      <c r="BK87" s="34"/>
      <c r="BL87" s="34"/>
      <c r="BM87" s="34"/>
      <c r="BN87" s="34"/>
    </row>
    <row r="88" spans="1:66" x14ac:dyDescent="0.3">
      <c r="A88" s="22">
        <v>2</v>
      </c>
      <c r="B88" s="8" t="s">
        <v>170</v>
      </c>
      <c r="C88" s="34">
        <v>14</v>
      </c>
      <c r="D88" s="8">
        <v>1</v>
      </c>
      <c r="E88" s="8">
        <v>144.15453366008401</v>
      </c>
      <c r="F88" s="8">
        <v>21</v>
      </c>
      <c r="G88" s="8">
        <v>0.81708296666666702</v>
      </c>
      <c r="H88" s="8">
        <v>-19.16555666666666</v>
      </c>
      <c r="I88" s="8">
        <v>15</v>
      </c>
      <c r="J88" s="7">
        <v>16.05</v>
      </c>
      <c r="K88" s="7" t="s">
        <v>168</v>
      </c>
      <c r="L88" s="34">
        <f>(0.00253/0.00000000016)/1000000</f>
        <v>15.812500000000002</v>
      </c>
      <c r="M88" s="8">
        <v>32.057205556168462</v>
      </c>
      <c r="N88" s="8">
        <v>40.844667728628117</v>
      </c>
      <c r="O88" s="34">
        <v>7.5803639556376936</v>
      </c>
      <c r="P88" s="34">
        <v>47.778185627552759</v>
      </c>
      <c r="Q88" s="34">
        <v>4.2809058890337326</v>
      </c>
      <c r="R88" s="34">
        <v>6.8200200000000004E-3</v>
      </c>
      <c r="S88" s="34"/>
      <c r="T88" s="34">
        <f>(R88/L88)*1000000</f>
        <v>431.30561264822131</v>
      </c>
      <c r="U88" s="34">
        <v>-55</v>
      </c>
      <c r="V88" s="34">
        <f>30+42.2</f>
        <v>72.2</v>
      </c>
      <c r="W88" s="34">
        <v>185.3</v>
      </c>
      <c r="X88" s="34">
        <v>93.7</v>
      </c>
      <c r="Y88" s="34">
        <v>3.75</v>
      </c>
      <c r="Z88" s="34"/>
      <c r="AA88" s="34"/>
      <c r="AB88" s="34"/>
      <c r="AC88" s="34"/>
      <c r="AD88" s="34"/>
      <c r="AE88" s="34"/>
      <c r="AF88" s="34"/>
      <c r="AG88" s="34"/>
      <c r="AH88" s="34"/>
      <c r="AI88" s="22">
        <v>7</v>
      </c>
      <c r="AJ88" s="8" t="s">
        <v>171</v>
      </c>
      <c r="AK88" s="34">
        <v>14</v>
      </c>
      <c r="AL88" s="24">
        <v>0.73</v>
      </c>
      <c r="AM88" s="34">
        <v>227.94620469569179</v>
      </c>
      <c r="AN88" s="34">
        <v>48</v>
      </c>
      <c r="AO88" s="34">
        <v>0.59243139130434763</v>
      </c>
      <c r="AP88" s="34">
        <v>-15.402104347826089</v>
      </c>
      <c r="AQ88" s="8">
        <v>17</v>
      </c>
      <c r="AR88" s="7">
        <v>19.3</v>
      </c>
      <c r="AS88" s="8"/>
      <c r="AT88" s="24">
        <v>23.8</v>
      </c>
      <c r="AU88" s="34">
        <v>50.956261899104781</v>
      </c>
      <c r="AV88" s="34">
        <v>87.950747581354406</v>
      </c>
      <c r="AW88" s="34">
        <v>20.324462940744667</v>
      </c>
      <c r="AX88" s="34">
        <v>97.366213363995129</v>
      </c>
      <c r="AY88" s="34">
        <v>18.076218695802158</v>
      </c>
      <c r="AZ88" s="34">
        <v>8.0454299999999992E-3</v>
      </c>
      <c r="BA88" s="34">
        <f>91.63-81.69</f>
        <v>9.9399999999999977</v>
      </c>
      <c r="BB88" s="34">
        <f t="shared" si="18"/>
        <v>338.04327731092434</v>
      </c>
      <c r="BC88" s="34">
        <f>-65.9</f>
        <v>-65.900000000000006</v>
      </c>
      <c r="BD88" s="34">
        <v>83.244</v>
      </c>
      <c r="BE88" s="34">
        <v>299.41000000000003</v>
      </c>
      <c r="BF88" s="34">
        <v>164.6</v>
      </c>
      <c r="BG88" s="34">
        <v>10</v>
      </c>
      <c r="BH88" s="34">
        <v>5.4200000000000017</v>
      </c>
      <c r="BI88" s="34">
        <v>76.037615000000002</v>
      </c>
      <c r="BJ88" s="34">
        <v>3.269999999999996</v>
      </c>
      <c r="BK88" s="34"/>
      <c r="BL88" s="34"/>
      <c r="BM88" s="34"/>
      <c r="BN88" s="34"/>
    </row>
    <row r="89" spans="1:66" x14ac:dyDescent="0.3">
      <c r="A89" s="22">
        <v>3</v>
      </c>
      <c r="B89" s="8" t="s">
        <v>172</v>
      </c>
      <c r="C89" s="34">
        <v>14</v>
      </c>
      <c r="D89" s="8">
        <v>0.2</v>
      </c>
      <c r="E89" s="8">
        <v>157.15857300015716</v>
      </c>
      <c r="F89" s="8">
        <v>30</v>
      </c>
      <c r="G89" s="34">
        <v>0.98917826666666664</v>
      </c>
      <c r="H89" s="34">
        <v>-14.803046666666669</v>
      </c>
      <c r="I89" s="8">
        <v>21</v>
      </c>
      <c r="J89" s="7">
        <v>16.100000000000001</v>
      </c>
      <c r="K89" s="7" t="s">
        <v>168</v>
      </c>
      <c r="L89" s="34">
        <f>(0.00671/0.0000000001)/1000000</f>
        <v>67.099999999999994</v>
      </c>
      <c r="M89" s="8">
        <v>75.873122620835375</v>
      </c>
      <c r="N89" s="8">
        <v>55.00550055005516</v>
      </c>
      <c r="O89" s="34">
        <f>0.043330474462752*1000</f>
        <v>43.330474462751994</v>
      </c>
      <c r="P89" s="34">
        <v>62.810414493462943</v>
      </c>
      <c r="Q89" s="34">
        <f>0.0373623095098193*1000</f>
        <v>37.362309509819298</v>
      </c>
      <c r="R89" s="34">
        <v>1.55783E-2</v>
      </c>
      <c r="S89" s="34">
        <f>137.6-105.8</f>
        <v>31.799999999999997</v>
      </c>
      <c r="T89" s="34">
        <f t="shared" si="19"/>
        <v>232.16542473919526</v>
      </c>
      <c r="U89" s="34">
        <v>-63</v>
      </c>
      <c r="V89" s="34">
        <v>71.89</v>
      </c>
      <c r="W89" s="34">
        <v>177.8</v>
      </c>
      <c r="X89" s="34">
        <v>85.4</v>
      </c>
      <c r="Y89" s="34">
        <f>0.02*1000</f>
        <v>20</v>
      </c>
      <c r="Z89" s="34">
        <f>66.7-63.92</f>
        <v>2.7800000000000011</v>
      </c>
      <c r="AA89" s="34">
        <f>159.3934/2</f>
        <v>79.696700000000007</v>
      </c>
      <c r="AB89" s="34">
        <f>54.59-50</f>
        <v>4.5900000000000034</v>
      </c>
      <c r="AC89" s="34"/>
      <c r="AD89" s="34"/>
      <c r="AE89" s="34"/>
      <c r="AF89" s="34"/>
      <c r="AG89" s="34"/>
      <c r="AH89" s="34"/>
      <c r="AI89" s="20">
        <v>8</v>
      </c>
      <c r="AJ89" s="8" t="s">
        <v>173</v>
      </c>
      <c r="AK89" s="34">
        <v>14</v>
      </c>
      <c r="AL89" s="8">
        <v>1.1499999999999999</v>
      </c>
      <c r="AM89" s="34">
        <v>196.07843137254923</v>
      </c>
      <c r="AN89" s="34">
        <v>35</v>
      </c>
      <c r="AO89" s="34">
        <v>0.73856293103448289</v>
      </c>
      <c r="AP89" s="34">
        <v>-25.794727586206893</v>
      </c>
      <c r="AQ89" s="8">
        <v>16</v>
      </c>
      <c r="AR89" s="8">
        <v>19.350000000000001</v>
      </c>
      <c r="AS89" s="8"/>
      <c r="AT89" s="35">
        <v>33.5</v>
      </c>
      <c r="AU89" s="34">
        <v>44.00898532339545</v>
      </c>
      <c r="AV89" s="34">
        <v>63.19115323854642</v>
      </c>
      <c r="AW89" s="34">
        <v>13.651919400134286</v>
      </c>
      <c r="AX89" s="34">
        <v>74.048684506656841</v>
      </c>
      <c r="AY89" s="34">
        <v>11.291706914511861</v>
      </c>
      <c r="AZ89" s="34">
        <v>6.2831099999999997E-3</v>
      </c>
      <c r="BA89" s="34">
        <f>94.32-88.06</f>
        <v>6.2599999999999909</v>
      </c>
      <c r="BB89" s="34">
        <f>(AZ89/AT89)*1000000</f>
        <v>187.5555223880597</v>
      </c>
      <c r="BC89" s="34">
        <v>-66.41</v>
      </c>
      <c r="BD89" s="34">
        <v>66.199996551724098</v>
      </c>
      <c r="BE89" s="34">
        <v>220.4</v>
      </c>
      <c r="BF89" s="34">
        <v>106.4</v>
      </c>
      <c r="BG89" s="34">
        <v>6.5</v>
      </c>
      <c r="BH89" s="34">
        <v>1.7199999999999989</v>
      </c>
      <c r="BI89" s="34">
        <v>50.01</v>
      </c>
      <c r="BJ89" s="34">
        <v>3.9420000000000002</v>
      </c>
      <c r="BK89" s="34"/>
      <c r="BL89" s="34"/>
      <c r="BM89" s="34"/>
      <c r="BN89" s="34"/>
    </row>
    <row r="90" spans="1:66" x14ac:dyDescent="0.3">
      <c r="A90" s="20">
        <v>4</v>
      </c>
      <c r="B90" s="8" t="s">
        <v>174</v>
      </c>
      <c r="C90" s="34">
        <v>14</v>
      </c>
      <c r="D90" s="8">
        <v>1.7</v>
      </c>
      <c r="E90" s="8">
        <v>194.81784531463046</v>
      </c>
      <c r="F90" s="8">
        <v>34</v>
      </c>
      <c r="G90" s="34">
        <v>0.66781932142857137</v>
      </c>
      <c r="H90" s="34">
        <v>-17.255503571428569</v>
      </c>
      <c r="I90" s="8">
        <v>18</v>
      </c>
      <c r="J90" s="7">
        <v>16.149999999999999</v>
      </c>
      <c r="K90" s="7" t="s">
        <v>168</v>
      </c>
      <c r="L90" s="15">
        <v>21.8</v>
      </c>
      <c r="M90" s="8">
        <v>56.275414427433617</v>
      </c>
      <c r="N90" s="8">
        <v>63.698324734059447</v>
      </c>
      <c r="O90" s="34">
        <f>0.019196806036618*1000</f>
        <v>19.196806036618</v>
      </c>
      <c r="P90" s="34">
        <v>85.704192484863356</v>
      </c>
      <c r="Q90" s="34">
        <f>0.0166366004315254*1000</f>
        <v>16.636600431525402</v>
      </c>
      <c r="R90" s="34">
        <v>8.4251699999999992E-3</v>
      </c>
      <c r="S90" s="34">
        <f>91.52-86.52</f>
        <v>5</v>
      </c>
      <c r="T90" s="34">
        <f t="shared" si="19"/>
        <v>386.47568807339445</v>
      </c>
      <c r="U90" s="34">
        <v>-71.2</v>
      </c>
      <c r="V90" s="34">
        <v>66.839600000000004</v>
      </c>
      <c r="W90" s="34">
        <v>219.3</v>
      </c>
      <c r="X90" s="34">
        <v>118.7</v>
      </c>
      <c r="Y90" s="34">
        <f>0.009375*1000</f>
        <v>9.375</v>
      </c>
      <c r="Z90" s="34">
        <f>74.29-72.04</f>
        <v>2.25</v>
      </c>
      <c r="AA90" s="34">
        <f>166.33/2</f>
        <v>83.165000000000006</v>
      </c>
      <c r="AB90" s="34">
        <f>63.23-62</f>
        <v>1.2299999999999969</v>
      </c>
      <c r="AC90" s="34" t="s">
        <v>102</v>
      </c>
      <c r="AD90" s="34"/>
      <c r="AE90" s="34"/>
      <c r="AF90" s="34"/>
      <c r="AG90" s="34"/>
      <c r="AH90" s="34"/>
      <c r="AI90" s="20">
        <v>9</v>
      </c>
      <c r="AJ90" s="8" t="s">
        <v>175</v>
      </c>
      <c r="AK90" s="34">
        <v>14</v>
      </c>
      <c r="AL90" s="8">
        <v>1.85</v>
      </c>
      <c r="AM90" s="24">
        <v>171.90991920233861</v>
      </c>
      <c r="AN90" s="34">
        <v>23</v>
      </c>
      <c r="AO90" s="34">
        <v>0.85713493333333324</v>
      </c>
      <c r="AP90" s="8">
        <v>-17.887510344827586</v>
      </c>
      <c r="AQ90" s="8">
        <v>16</v>
      </c>
      <c r="AR90" s="34">
        <v>19.399999999999999</v>
      </c>
      <c r="AS90" s="8"/>
      <c r="AT90" s="8">
        <v>21.7</v>
      </c>
      <c r="AU90" s="24">
        <v>49.266284214708463</v>
      </c>
      <c r="AV90" s="24">
        <v>50.423557886244467</v>
      </c>
      <c r="AW90" s="24">
        <v>13.697555825614067</v>
      </c>
      <c r="AX90" s="24">
        <v>60.89460419231974</v>
      </c>
      <c r="AY90" s="24">
        <v>7.3457422064955225</v>
      </c>
      <c r="AZ90" s="34">
        <v>4.8682300000000003E-3</v>
      </c>
      <c r="BA90" s="34">
        <f>88.11-81.9</f>
        <v>6.2099999999999937</v>
      </c>
      <c r="BB90" s="34">
        <f>(AZ90/AT90)*1000000</f>
        <v>224.34239631336408</v>
      </c>
      <c r="BC90" s="15">
        <v>-71</v>
      </c>
      <c r="BD90" s="34">
        <v>74.070233333333363</v>
      </c>
      <c r="BE90" s="34">
        <v>194.6</v>
      </c>
      <c r="BF90" s="34">
        <v>93.4</v>
      </c>
      <c r="BG90" s="34">
        <v>5</v>
      </c>
      <c r="BH90" s="34">
        <f>67.59-64.75</f>
        <v>2.8400000000000034</v>
      </c>
      <c r="BI90" s="34">
        <f>120.44374/2</f>
        <v>60.221870000000003</v>
      </c>
      <c r="BJ90" s="34">
        <f>59.058-54.61</f>
        <v>4.4480000000000004</v>
      </c>
      <c r="BK90" s="34"/>
      <c r="BL90" s="34"/>
      <c r="BM90" s="34"/>
      <c r="BN90" s="34"/>
    </row>
    <row r="91" spans="1:66" ht="15" thickBot="1" x14ac:dyDescent="0.35">
      <c r="A91" s="22">
        <v>5</v>
      </c>
      <c r="B91" s="8" t="s">
        <v>176</v>
      </c>
      <c r="C91" s="34">
        <v>14</v>
      </c>
      <c r="D91" s="8">
        <v>0.65</v>
      </c>
      <c r="E91" s="8">
        <v>181.35654697134626</v>
      </c>
      <c r="F91" s="8">
        <v>39</v>
      </c>
      <c r="G91" s="34">
        <v>0.71107163157894737</v>
      </c>
      <c r="H91" s="34">
        <v>-16.627273684210529</v>
      </c>
      <c r="I91" s="8">
        <v>18</v>
      </c>
      <c r="J91" s="7">
        <v>16.2</v>
      </c>
      <c r="K91" s="7" t="s">
        <v>168</v>
      </c>
      <c r="L91" s="34">
        <v>35.5</v>
      </c>
      <c r="M91" s="8">
        <v>74.256242082909296</v>
      </c>
      <c r="N91" s="8">
        <v>67.168189145621</v>
      </c>
      <c r="O91" s="34">
        <f>0.0317400935661911*1000</f>
        <v>31.740093566191099</v>
      </c>
      <c r="P91" s="34">
        <v>82.766143111749784</v>
      </c>
      <c r="Q91" s="34">
        <v>25.396587737529625</v>
      </c>
      <c r="R91" s="34">
        <v>9.2708500000000006E-3</v>
      </c>
      <c r="S91" s="34">
        <f>103.2-93.9</f>
        <v>9.2999999999999972</v>
      </c>
      <c r="T91" s="34">
        <f t="shared" si="19"/>
        <v>261.15070422535211</v>
      </c>
      <c r="U91" s="34">
        <v>-72</v>
      </c>
      <c r="V91" s="34">
        <v>78.002921052631578</v>
      </c>
      <c r="W91" s="34">
        <v>224.94</v>
      </c>
      <c r="X91" s="34">
        <v>134.63</v>
      </c>
      <c r="Y91" s="34">
        <v>14.666666666666666</v>
      </c>
      <c r="Z91" s="34">
        <f>68.94-67.66</f>
        <v>1.2800000000000011</v>
      </c>
      <c r="AA91" s="34">
        <f>82.752843/2</f>
        <v>41.376421499999999</v>
      </c>
      <c r="AB91" s="34">
        <f>60.65-56.57</f>
        <v>4.0799999999999983</v>
      </c>
      <c r="AC91" s="34" t="s">
        <v>53</v>
      </c>
      <c r="AD91" s="34"/>
      <c r="AE91" s="34"/>
      <c r="AF91" s="34"/>
      <c r="AG91" s="34"/>
      <c r="AH91" s="34"/>
      <c r="AI91" s="22">
        <v>10</v>
      </c>
      <c r="AJ91" s="8" t="s">
        <v>177</v>
      </c>
      <c r="AK91" s="34">
        <v>14</v>
      </c>
      <c r="AL91" s="25">
        <v>1.3</v>
      </c>
      <c r="AM91" s="34">
        <v>168.77637130801736</v>
      </c>
      <c r="AN91" s="34">
        <v>28</v>
      </c>
      <c r="AO91" s="27">
        <v>0.75680099999999972</v>
      </c>
      <c r="AP91" s="34">
        <v>-20.943196666666665</v>
      </c>
      <c r="AQ91" s="25">
        <v>16</v>
      </c>
      <c r="AR91" s="8">
        <v>19.45</v>
      </c>
      <c r="AS91" s="25"/>
      <c r="AT91" s="35">
        <v>20</v>
      </c>
      <c r="AU91" s="34">
        <v>34.348372997843512</v>
      </c>
      <c r="AV91" s="34">
        <v>44.873233116446102</v>
      </c>
      <c r="AW91" s="34">
        <v>9.8430241977622988</v>
      </c>
      <c r="AX91" s="34">
        <v>60.149269283997398</v>
      </c>
      <c r="AY91" s="34">
        <v>6.4200921815980871</v>
      </c>
      <c r="AZ91" s="34">
        <v>4.57487E-3</v>
      </c>
      <c r="BA91" s="34">
        <f>80.5-76.5</f>
        <v>4</v>
      </c>
      <c r="BB91" s="34">
        <f t="shared" si="18"/>
        <v>228.74350000000001</v>
      </c>
      <c r="BC91" s="15">
        <v>-68</v>
      </c>
      <c r="BD91" s="34">
        <v>74.328620000000015</v>
      </c>
      <c r="BE91" s="34">
        <v>210</v>
      </c>
      <c r="BF91" s="34">
        <v>118.55</v>
      </c>
      <c r="BG91" s="34">
        <v>4.3181818181818183</v>
      </c>
      <c r="BH91" s="34">
        <f>68.419-65.58</f>
        <v>2.8389999999999986</v>
      </c>
      <c r="BI91" s="34">
        <f>95.216908/2</f>
        <v>47.608454000000002</v>
      </c>
      <c r="BJ91" s="34">
        <f>62.97-59.26</f>
        <v>3.7100000000000009</v>
      </c>
      <c r="BK91" s="34"/>
      <c r="BL91" s="34"/>
      <c r="BM91" s="34"/>
      <c r="BN91" s="34"/>
    </row>
    <row r="92" spans="1:66" x14ac:dyDescent="0.3">
      <c r="A92" s="20">
        <v>6</v>
      </c>
      <c r="B92" s="8" t="s">
        <v>178</v>
      </c>
      <c r="C92" s="34">
        <v>14</v>
      </c>
      <c r="D92" s="8">
        <v>3.67</v>
      </c>
      <c r="E92" s="8">
        <v>225.07314877335216</v>
      </c>
      <c r="F92" s="8">
        <v>26</v>
      </c>
      <c r="G92" s="34">
        <v>0.71281663157894759</v>
      </c>
      <c r="H92" s="8">
        <v>-13.905841111111112</v>
      </c>
      <c r="I92" s="8">
        <v>18</v>
      </c>
      <c r="J92" s="7">
        <v>16.25</v>
      </c>
      <c r="K92" s="7" t="s">
        <v>168</v>
      </c>
      <c r="L92" s="8">
        <v>11.4</v>
      </c>
      <c r="M92" s="8">
        <v>42.627259880732474</v>
      </c>
      <c r="N92" s="8">
        <v>44.273254526940299</v>
      </c>
      <c r="O92" s="34">
        <v>9.4460006879060643</v>
      </c>
      <c r="P92" s="34">
        <v>67.47016243301421</v>
      </c>
      <c r="Q92" s="34">
        <v>3.6662247217262256</v>
      </c>
      <c r="R92" s="34">
        <v>4.5520700000000001E-3</v>
      </c>
      <c r="S92" s="34">
        <f>93.76-89.37</f>
        <v>4.3900000000000006</v>
      </c>
      <c r="T92" s="34">
        <f t="shared" si="19"/>
        <v>399.30438596491229</v>
      </c>
      <c r="U92" s="34">
        <v>-69.5</v>
      </c>
      <c r="V92" s="34">
        <v>58.67</v>
      </c>
      <c r="W92" s="34">
        <v>122.7</v>
      </c>
      <c r="X92" s="34">
        <v>92</v>
      </c>
      <c r="Y92" s="34">
        <v>5.5882352941176476</v>
      </c>
      <c r="Z92" s="34">
        <f>71.62-69.335</f>
        <v>2.2850000000000108</v>
      </c>
      <c r="AA92" s="34">
        <f>132/2</f>
        <v>66</v>
      </c>
      <c r="AB92" s="34">
        <f>58.72-57.59</f>
        <v>1.1299999999999955</v>
      </c>
      <c r="AC92" s="34" t="s">
        <v>56</v>
      </c>
      <c r="AD92" s="34"/>
      <c r="AE92" s="34"/>
      <c r="AF92" s="34"/>
      <c r="AG92" s="34"/>
      <c r="AH92" s="34"/>
      <c r="AI92" s="22">
        <v>11</v>
      </c>
      <c r="AJ92" s="8" t="s">
        <v>179</v>
      </c>
      <c r="AK92" s="34">
        <v>14</v>
      </c>
      <c r="AL92" s="26">
        <v>0.47599999999999998</v>
      </c>
      <c r="AM92" s="34">
        <v>177.49378771742943</v>
      </c>
      <c r="AN92" s="34">
        <v>34</v>
      </c>
      <c r="AO92" s="34">
        <v>0.70381073333333333</v>
      </c>
      <c r="AP92" s="34">
        <v>-11.985283333333333</v>
      </c>
      <c r="AQ92" s="18">
        <v>15</v>
      </c>
      <c r="AR92" s="7">
        <v>19.5</v>
      </c>
      <c r="AS92" s="26"/>
      <c r="AT92" s="35">
        <v>36.9</v>
      </c>
      <c r="AU92" s="34">
        <v>65.048437307648541</v>
      </c>
      <c r="AV92" s="34">
        <v>64.226075786769229</v>
      </c>
      <c r="AW92" s="34">
        <v>23.323171846891</v>
      </c>
      <c r="AX92" s="34">
        <v>71.517836829727472</v>
      </c>
      <c r="AY92" s="34">
        <v>20.466764471228466</v>
      </c>
      <c r="AZ92" s="9">
        <v>1.4364999999999999E-2</v>
      </c>
      <c r="BA92" s="34">
        <f>96.39-90.2</f>
        <v>6.1899999999999977</v>
      </c>
      <c r="BB92" s="34">
        <f>(AZ92/AT92)*1000000</f>
        <v>389.29539295392954</v>
      </c>
      <c r="BC92" s="34">
        <v>-65</v>
      </c>
      <c r="BD92" s="34">
        <v>64.039961538461526</v>
      </c>
      <c r="BE92" s="34">
        <v>220.27</v>
      </c>
      <c r="BF92" s="34">
        <v>132.97</v>
      </c>
      <c r="BG92" s="34">
        <v>11.153846153846153</v>
      </c>
      <c r="BH92" s="34">
        <v>2.480000000000004</v>
      </c>
      <c r="BI92" s="34">
        <v>75.368650000000002</v>
      </c>
      <c r="BJ92" s="34">
        <v>4.1199999999999974</v>
      </c>
      <c r="BK92" s="34"/>
      <c r="BL92" s="34"/>
      <c r="BM92" s="34"/>
      <c r="BN92" s="34"/>
    </row>
    <row r="93" spans="1:66" x14ac:dyDescent="0.3">
      <c r="A93" s="20">
        <v>7</v>
      </c>
      <c r="B93" s="8" t="s">
        <v>180</v>
      </c>
      <c r="C93" s="34">
        <v>14</v>
      </c>
      <c r="D93" s="8">
        <v>0.8</v>
      </c>
      <c r="E93" s="8">
        <v>168.54879487611683</v>
      </c>
      <c r="F93" s="8">
        <v>21</v>
      </c>
      <c r="G93" s="8">
        <v>0.6947153181818182</v>
      </c>
      <c r="H93" s="8">
        <v>-22.030776190476185</v>
      </c>
      <c r="I93" s="8">
        <v>20</v>
      </c>
      <c r="J93" s="7">
        <v>16.3</v>
      </c>
      <c r="K93" s="7" t="s">
        <v>168</v>
      </c>
      <c r="L93" s="24">
        <v>35.4</v>
      </c>
      <c r="M93" s="8">
        <v>97.699910443943608</v>
      </c>
      <c r="N93" s="8">
        <v>49.522111622839638</v>
      </c>
      <c r="O93" s="34">
        <v>25.977798957572428</v>
      </c>
      <c r="P93" s="34">
        <v>68.767484711743634</v>
      </c>
      <c r="Q93" s="34">
        <v>23.819089860472193</v>
      </c>
      <c r="R93" s="34">
        <v>1.11E-2</v>
      </c>
      <c r="S93" s="34">
        <f>94.4-68.9</f>
        <v>25.5</v>
      </c>
      <c r="T93" s="34">
        <f t="shared" si="19"/>
        <v>313.55932203389835</v>
      </c>
      <c r="U93" s="34">
        <v>-70.099999999999994</v>
      </c>
      <c r="V93" s="34">
        <v>57.988940909090907</v>
      </c>
      <c r="W93" s="34">
        <v>179.8</v>
      </c>
      <c r="X93" s="34">
        <v>104.4</v>
      </c>
      <c r="Y93" s="34">
        <v>10</v>
      </c>
      <c r="Z93" s="34">
        <f>73.3-69.8</f>
        <v>3.5</v>
      </c>
      <c r="AA93" s="34">
        <f>151.67454/2</f>
        <v>75.837270000000004</v>
      </c>
      <c r="AB93" s="34">
        <f>64.66-61.38</f>
        <v>3.279999999999994</v>
      </c>
      <c r="AC93" s="34" t="s">
        <v>59</v>
      </c>
      <c r="AD93" s="34"/>
      <c r="AE93" s="34"/>
      <c r="AF93" s="34"/>
      <c r="AG93" s="34"/>
      <c r="AH93" s="34"/>
      <c r="AI93" s="20">
        <v>12</v>
      </c>
      <c r="AJ93" s="8" t="s">
        <v>181</v>
      </c>
      <c r="AK93" s="34">
        <v>14</v>
      </c>
      <c r="AL93" s="24">
        <v>1.94</v>
      </c>
      <c r="AM93" s="34">
        <v>234.7417840375592</v>
      </c>
      <c r="AN93" s="34">
        <v>41</v>
      </c>
      <c r="AO93" s="34">
        <v>0.61288623529411768</v>
      </c>
      <c r="AP93" s="34">
        <v>-13.384623529411764</v>
      </c>
      <c r="AQ93" s="27">
        <v>14</v>
      </c>
      <c r="AR93" s="8">
        <v>19.55</v>
      </c>
      <c r="AS93" s="24"/>
      <c r="AT93" s="34">
        <v>23.2</v>
      </c>
      <c r="AU93" s="34">
        <v>40.53154703685896</v>
      </c>
      <c r="AV93" s="34">
        <v>74.872716382150372</v>
      </c>
      <c r="AW93" s="34">
        <v>12.884465976967769</v>
      </c>
      <c r="AX93" s="34">
        <v>86.547394114663916</v>
      </c>
      <c r="AY93" s="34">
        <v>10.485104198948871</v>
      </c>
      <c r="AZ93" s="9">
        <v>9.2205900000000007E-3</v>
      </c>
      <c r="BA93" s="34">
        <f>83.4-80.4</f>
        <v>3</v>
      </c>
      <c r="BB93" s="34">
        <f t="shared" si="18"/>
        <v>397.43922413793103</v>
      </c>
      <c r="BC93" s="34">
        <v>-66.599999999999994</v>
      </c>
      <c r="BD93" s="34">
        <v>76.477047058823516</v>
      </c>
      <c r="BE93" s="34">
        <v>243.04</v>
      </c>
      <c r="BF93" s="34">
        <v>150.34</v>
      </c>
      <c r="BG93" s="34">
        <v>6.0714285714285712</v>
      </c>
      <c r="BH93" s="34">
        <v>2.9200000000000017</v>
      </c>
      <c r="BI93" s="34">
        <v>54.15</v>
      </c>
      <c r="BJ93" s="34">
        <v>2.0700000000000003</v>
      </c>
      <c r="BK93" s="34"/>
      <c r="BL93" s="34"/>
      <c r="BM93" s="34"/>
      <c r="BN93" s="34"/>
    </row>
    <row r="94" spans="1:66" x14ac:dyDescent="0.3">
      <c r="A94" s="20">
        <v>8</v>
      </c>
      <c r="B94" s="8" t="s">
        <v>182</v>
      </c>
      <c r="C94" s="34">
        <v>14</v>
      </c>
      <c r="D94" s="8">
        <v>0.28000000000000003</v>
      </c>
      <c r="E94" s="8">
        <v>116.10356437942646</v>
      </c>
      <c r="F94" s="8">
        <v>14</v>
      </c>
      <c r="G94" s="34">
        <v>1.1282678571428573</v>
      </c>
      <c r="H94" s="34">
        <v>-8.9764999999999997</v>
      </c>
      <c r="I94" s="8">
        <v>20</v>
      </c>
      <c r="J94" s="7">
        <v>16.350000000000001</v>
      </c>
      <c r="K94" s="7" t="s">
        <v>168</v>
      </c>
      <c r="L94" s="34">
        <f>(0.00899/0.0000000001)/1000000</f>
        <v>89.9</v>
      </c>
      <c r="M94" s="8">
        <v>44.418976565806332</v>
      </c>
      <c r="N94" s="8">
        <v>28.636884306987433</v>
      </c>
      <c r="O94" s="34">
        <v>3.7813252151700283</v>
      </c>
      <c r="P94" s="34">
        <v>33.047183856419224</v>
      </c>
      <c r="Q94" s="34">
        <v>28.636884306987433</v>
      </c>
      <c r="R94" s="34">
        <v>1.6865700000000001E-2</v>
      </c>
      <c r="S94" s="34">
        <f>147.5-143.31</f>
        <v>4.1899999999999977</v>
      </c>
      <c r="T94" s="34">
        <f t="shared" si="19"/>
        <v>187.60511679644048</v>
      </c>
      <c r="U94" s="34">
        <v>-72</v>
      </c>
      <c r="V94" s="34">
        <v>79.870599999999982</v>
      </c>
      <c r="W94" s="34">
        <v>212.8</v>
      </c>
      <c r="X94" s="34">
        <v>71.8</v>
      </c>
      <c r="Y94" s="34">
        <v>7.8260869565217401</v>
      </c>
      <c r="Z94" s="34">
        <v>4.039999999999992</v>
      </c>
      <c r="AA94" s="34">
        <f>272/2</f>
        <v>136</v>
      </c>
      <c r="AB94" s="34">
        <f>53.59-47.8</f>
        <v>5.7900000000000063</v>
      </c>
      <c r="AC94" s="34" t="s">
        <v>62</v>
      </c>
      <c r="AD94" s="34"/>
      <c r="AE94" s="34"/>
      <c r="AF94" s="34"/>
      <c r="AG94" s="34"/>
      <c r="AH94" s="34"/>
      <c r="AI94" s="20">
        <v>13</v>
      </c>
      <c r="AJ94" s="8" t="s">
        <v>183</v>
      </c>
      <c r="AK94" s="34">
        <v>14</v>
      </c>
      <c r="AL94" s="24">
        <v>1.04</v>
      </c>
      <c r="AM94" s="34">
        <v>219.78021978021923</v>
      </c>
      <c r="AN94" s="34">
        <v>37</v>
      </c>
      <c r="AO94" s="34">
        <v>0.71910734482758598</v>
      </c>
      <c r="AP94" s="34">
        <v>-13.833927586206901</v>
      </c>
      <c r="AQ94" s="27">
        <v>14</v>
      </c>
      <c r="AR94" s="34">
        <v>19.600000000000001</v>
      </c>
      <c r="AS94" s="34"/>
      <c r="AT94" s="34">
        <v>29.3</v>
      </c>
      <c r="AU94" s="34">
        <v>55.973063302217092</v>
      </c>
      <c r="AV94" s="34">
        <v>65.312520410162477</v>
      </c>
      <c r="AW94" s="34">
        <v>16.884957422845364</v>
      </c>
      <c r="AX94" s="34">
        <v>81.784904598260766</v>
      </c>
      <c r="AY94" s="34">
        <v>14.343956035656374</v>
      </c>
      <c r="AZ94" s="34">
        <v>7.3106100000000004E-3</v>
      </c>
      <c r="BA94" s="34">
        <f>92.7-85.78</f>
        <v>6.9200000000000017</v>
      </c>
      <c r="BB94" s="34">
        <f>(AZ94/AT94)*1000000</f>
        <v>249.50887372013651</v>
      </c>
      <c r="BC94" s="34">
        <v>-67.5</v>
      </c>
      <c r="BD94" s="34">
        <v>76.285531034482744</v>
      </c>
      <c r="BE94" s="34">
        <v>208.05</v>
      </c>
      <c r="BF94" s="34">
        <v>120.22</v>
      </c>
      <c r="BG94" s="34">
        <v>6.5909090909090908</v>
      </c>
      <c r="BH94" s="34">
        <v>3.4099999999999966</v>
      </c>
      <c r="BI94" s="34">
        <v>61.991349999999997</v>
      </c>
      <c r="BJ94" s="34">
        <v>3.8900000000000006</v>
      </c>
      <c r="BK94" s="34"/>
      <c r="BL94" s="34"/>
      <c r="BM94" s="34"/>
      <c r="BN94" s="34"/>
    </row>
    <row r="95" spans="1:66" x14ac:dyDescent="0.3">
      <c r="A95" s="20">
        <v>9</v>
      </c>
      <c r="B95" s="8" t="s">
        <v>184</v>
      </c>
      <c r="C95" s="34">
        <v>14</v>
      </c>
      <c r="D95" s="8">
        <v>0.5</v>
      </c>
      <c r="E95" s="8">
        <v>148.21402104639068</v>
      </c>
      <c r="F95" s="8">
        <v>28</v>
      </c>
      <c r="G95" s="34">
        <v>1.0393810000000001</v>
      </c>
      <c r="H95" s="8">
        <v>-13.729710526315793</v>
      </c>
      <c r="I95" s="8">
        <v>15</v>
      </c>
      <c r="J95" s="7">
        <v>16.399999999999999</v>
      </c>
      <c r="K95" s="7" t="s">
        <v>168</v>
      </c>
      <c r="L95" s="8">
        <v>42.6</v>
      </c>
      <c r="M95" s="8">
        <v>53.75069593948394</v>
      </c>
      <c r="N95" s="8">
        <v>48.642864091837744</v>
      </c>
      <c r="O95" s="34">
        <v>31.064006681309554</v>
      </c>
      <c r="P95" s="34">
        <v>60.422099027245018</v>
      </c>
      <c r="Q95" s="34">
        <v>32.666471539607507</v>
      </c>
      <c r="R95" s="34">
        <v>8.6993499999999998E-3</v>
      </c>
      <c r="S95" s="34">
        <f>121.6-108.3</f>
        <v>13.299999999999997</v>
      </c>
      <c r="T95" s="34">
        <f t="shared" si="19"/>
        <v>204.2100938967136</v>
      </c>
      <c r="U95" s="34">
        <v>-65.599999999999994</v>
      </c>
      <c r="V95" s="34">
        <v>68.701170000000019</v>
      </c>
      <c r="W95" s="34">
        <v>145.5</v>
      </c>
      <c r="X95" s="34">
        <v>79.5</v>
      </c>
      <c r="Y95" s="34">
        <v>18.095238095238095</v>
      </c>
      <c r="Z95" s="34">
        <f>72.21-71.8</f>
        <v>0.40999999999999659</v>
      </c>
      <c r="AA95" s="34">
        <v>22.17</v>
      </c>
      <c r="AB95" s="34">
        <f>60.91-56.77</f>
        <v>4.1399999999999935</v>
      </c>
      <c r="AC95" s="34" t="s">
        <v>65</v>
      </c>
      <c r="AD95" s="34"/>
      <c r="AE95" s="34"/>
      <c r="AF95" s="34"/>
      <c r="AG95" s="34"/>
      <c r="AH95" s="34"/>
      <c r="AI95" s="22">
        <v>14</v>
      </c>
      <c r="AJ95" s="8" t="s">
        <v>185</v>
      </c>
      <c r="AK95" s="34">
        <v>14</v>
      </c>
      <c r="AL95" s="24">
        <v>1.1399999999999999</v>
      </c>
      <c r="AM95" s="34">
        <v>233.31777881474562</v>
      </c>
      <c r="AN95" s="34">
        <v>42</v>
      </c>
      <c r="AO95" s="34">
        <v>0.61940659999999992</v>
      </c>
      <c r="AP95" s="34">
        <v>-12.288423333333332</v>
      </c>
      <c r="AQ95" s="27">
        <v>14</v>
      </c>
      <c r="AR95" s="8">
        <v>19.649999999999999</v>
      </c>
      <c r="AS95" s="34"/>
      <c r="AT95" s="34">
        <v>32.9</v>
      </c>
      <c r="AU95" s="34">
        <v>47.529964724667032</v>
      </c>
      <c r="AV95" s="34">
        <v>76.405867970659685</v>
      </c>
      <c r="AW95" s="34">
        <v>16.616740130627342</v>
      </c>
      <c r="AX95" s="34">
        <v>88.236669808071653</v>
      </c>
      <c r="AY95" s="34">
        <v>14.479808319702482</v>
      </c>
      <c r="AZ95" s="34">
        <v>7.62073E-3</v>
      </c>
      <c r="BA95" s="34">
        <f>87.48-83.43</f>
        <v>4.0499999999999972</v>
      </c>
      <c r="BB95" s="34">
        <f t="shared" si="18"/>
        <v>231.63313069908816</v>
      </c>
      <c r="BC95" s="34">
        <v>-63</v>
      </c>
      <c r="BD95" s="34">
        <v>76.293943333333331</v>
      </c>
      <c r="BE95" s="34">
        <v>265.45</v>
      </c>
      <c r="BF95" s="34">
        <v>148.01</v>
      </c>
      <c r="BG95" s="34">
        <v>7.916666666666667</v>
      </c>
      <c r="BH95" s="34">
        <v>2.4000000000000057</v>
      </c>
      <c r="BI95" s="34">
        <v>64.694999999999993</v>
      </c>
      <c r="BJ95" s="34">
        <v>0.68999999999999773</v>
      </c>
      <c r="BK95" s="34"/>
      <c r="BL95" s="34"/>
      <c r="BM95" s="34"/>
      <c r="BN95" s="34"/>
    </row>
    <row r="96" spans="1:66" ht="15" thickBot="1" x14ac:dyDescent="0.35">
      <c r="A96" s="22">
        <v>10</v>
      </c>
      <c r="B96" s="8" t="s">
        <v>186</v>
      </c>
      <c r="C96" s="34">
        <v>14</v>
      </c>
      <c r="D96" s="25">
        <v>0.25</v>
      </c>
      <c r="E96" s="25">
        <v>67.953248165262266</v>
      </c>
      <c r="F96" s="25">
        <v>10</v>
      </c>
      <c r="G96" s="34">
        <v>1.2564378571428569</v>
      </c>
      <c r="H96" s="34">
        <v>-22.352938461538461</v>
      </c>
      <c r="I96" s="25">
        <v>15</v>
      </c>
      <c r="J96" s="7">
        <v>16.45</v>
      </c>
      <c r="K96" s="7" t="s">
        <v>168</v>
      </c>
      <c r="L96" s="34">
        <f>(0.00821/0.0000000001)/1000000</f>
        <v>82.1</v>
      </c>
      <c r="M96" s="25">
        <v>114.7324597339405</v>
      </c>
      <c r="N96" s="25">
        <v>18.026137899954929</v>
      </c>
      <c r="O96" s="34">
        <v>31.538137121645335</v>
      </c>
      <c r="P96" s="34">
        <v>41.090648733156804</v>
      </c>
      <c r="Q96" s="34">
        <v>15.729934354594834</v>
      </c>
      <c r="R96" s="34">
        <v>1.8761900000000001E-2</v>
      </c>
      <c r="S96" s="34">
        <f>138.59-131.61</f>
        <v>6.9799999999999898</v>
      </c>
      <c r="T96" s="34">
        <f t="shared" si="19"/>
        <v>228.52496954933011</v>
      </c>
      <c r="U96" s="34">
        <v>-65.599999999999994</v>
      </c>
      <c r="V96" s="34">
        <f>AVERAGE(V4:V94)</f>
        <v>64.707468570134452</v>
      </c>
      <c r="W96" s="34">
        <v>124</v>
      </c>
      <c r="X96" s="34">
        <v>51.8</v>
      </c>
      <c r="Y96" s="34">
        <v>12.727272727272728</v>
      </c>
      <c r="Z96" s="34">
        <v>4.0999999999999996</v>
      </c>
      <c r="AA96" s="34">
        <f>134.68/2</f>
        <v>67.34</v>
      </c>
      <c r="AB96" s="34">
        <v>2.2799999999999998</v>
      </c>
      <c r="AC96" s="34" t="s">
        <v>68</v>
      </c>
      <c r="AD96" s="34"/>
      <c r="AE96" s="34"/>
      <c r="AF96" s="34"/>
      <c r="AG96" s="34"/>
      <c r="AH96" s="34"/>
      <c r="AI96" s="22">
        <v>15</v>
      </c>
      <c r="AJ96" s="24" t="s">
        <v>187</v>
      </c>
      <c r="AK96" s="34">
        <v>14</v>
      </c>
      <c r="AL96" s="24">
        <v>1.25</v>
      </c>
      <c r="AM96" s="34">
        <v>205.0440844781624</v>
      </c>
      <c r="AN96" s="34">
        <v>35</v>
      </c>
      <c r="AO96" s="34">
        <v>0.70102951851851847</v>
      </c>
      <c r="AP96" s="34">
        <v>-17.064981481481478</v>
      </c>
      <c r="AQ96" s="27">
        <v>14</v>
      </c>
      <c r="AR96" s="7">
        <v>19.7</v>
      </c>
      <c r="AS96" s="34"/>
      <c r="AT96" s="34">
        <v>23.2</v>
      </c>
      <c r="AU96" s="34">
        <v>45.310683623975834</v>
      </c>
      <c r="AV96" s="34">
        <v>48.030739673390855</v>
      </c>
      <c r="AW96" s="34">
        <v>11.828160498820138</v>
      </c>
      <c r="AX96" s="34">
        <v>64.426726782203147</v>
      </c>
      <c r="AY96" s="34">
        <v>7.5614981981624636</v>
      </c>
      <c r="AZ96" s="34">
        <v>1.90361E-2</v>
      </c>
      <c r="BA96" s="34">
        <f>88.2-83.96</f>
        <v>4.2400000000000091</v>
      </c>
      <c r="BB96" s="34">
        <f t="shared" si="18"/>
        <v>820.52155172413802</v>
      </c>
      <c r="BC96" s="34">
        <v>-60</v>
      </c>
      <c r="BD96" s="34">
        <v>71.354614814814823</v>
      </c>
      <c r="BE96" s="34">
        <v>204.66</v>
      </c>
      <c r="BF96" s="34">
        <v>116.61</v>
      </c>
      <c r="BG96" s="34">
        <v>5</v>
      </c>
      <c r="BH96" s="34">
        <v>2.1760000000000019</v>
      </c>
      <c r="BI96" s="34">
        <v>67.809240000000003</v>
      </c>
      <c r="BJ96" s="34">
        <v>3.0779999999999959</v>
      </c>
      <c r="BK96" s="34"/>
      <c r="BL96" s="34"/>
      <c r="BM96" s="34"/>
      <c r="BN96" s="34"/>
    </row>
    <row r="97" spans="1:66" x14ac:dyDescent="0.3">
      <c r="A97" s="22">
        <v>11</v>
      </c>
      <c r="B97" s="8" t="s">
        <v>188</v>
      </c>
      <c r="C97" s="34">
        <v>14</v>
      </c>
      <c r="D97" s="26">
        <v>0.93</v>
      </c>
      <c r="E97" s="18">
        <v>178.31669044222525</v>
      </c>
      <c r="F97" s="26">
        <v>40</v>
      </c>
      <c r="G97" s="34">
        <v>0.84036874999999978</v>
      </c>
      <c r="H97" s="34">
        <v>-16.530366666666666</v>
      </c>
      <c r="I97" s="18">
        <v>15</v>
      </c>
      <c r="J97" s="7">
        <v>16.5</v>
      </c>
      <c r="K97" s="7" t="s">
        <v>168</v>
      </c>
      <c r="L97" s="34">
        <f>(0.00387/0.0000000001)/1000000</f>
        <v>38.700000000000003</v>
      </c>
      <c r="M97" s="18">
        <v>33.74781204811444</v>
      </c>
      <c r="N97" s="18">
        <v>65.802461012041832</v>
      </c>
      <c r="O97" s="34">
        <v>29.512673443562189</v>
      </c>
      <c r="P97" s="34">
        <v>84.808515506909785</v>
      </c>
      <c r="Q97" s="34">
        <v>26.662981284405774</v>
      </c>
      <c r="R97" s="9">
        <v>8.0309500000000002E-3</v>
      </c>
      <c r="S97" s="34"/>
      <c r="T97" s="34">
        <f t="shared" si="19"/>
        <v>207.51808785529715</v>
      </c>
      <c r="U97" s="34">
        <v>-65.599999999999994</v>
      </c>
      <c r="V97" s="34">
        <v>63.181566666666676</v>
      </c>
      <c r="W97" s="34">
        <v>158.69999999999999</v>
      </c>
      <c r="X97" s="34">
        <v>86.3</v>
      </c>
      <c r="Y97" s="34">
        <v>16.315789473684209</v>
      </c>
      <c r="Z97" s="34">
        <v>0.45000000000000284</v>
      </c>
      <c r="AA97" s="34">
        <f>273.98/2</f>
        <v>136.99</v>
      </c>
      <c r="AB97" s="34">
        <f>58.24-53.12</f>
        <v>5.1200000000000045</v>
      </c>
      <c r="AC97" s="34" t="s">
        <v>70</v>
      </c>
      <c r="AD97" s="34"/>
      <c r="AE97" s="34"/>
      <c r="AF97" s="34"/>
      <c r="AG97" s="34"/>
      <c r="AH97" s="34"/>
      <c r="AI97" s="20">
        <v>16</v>
      </c>
      <c r="AJ97" s="24" t="s">
        <v>189</v>
      </c>
      <c r="AK97" s="34">
        <v>14</v>
      </c>
      <c r="AL97" s="24">
        <v>0.64800000000000002</v>
      </c>
      <c r="AM97" s="34">
        <v>201.04543626859711</v>
      </c>
      <c r="AN97" s="34">
        <v>39</v>
      </c>
      <c r="AO97" s="34">
        <v>0.50786206896551722</v>
      </c>
      <c r="AP97" s="34">
        <v>-20.002686206896552</v>
      </c>
      <c r="AQ97" s="27">
        <v>18</v>
      </c>
      <c r="AR97" s="8">
        <v>19.75</v>
      </c>
      <c r="AS97" s="34"/>
      <c r="AT97" s="34">
        <v>26.9</v>
      </c>
      <c r="AU97" s="34">
        <v>31.753094405557103</v>
      </c>
      <c r="AV97" s="34">
        <v>70.126227208976204</v>
      </c>
      <c r="AW97" s="34">
        <v>11.798285996296812</v>
      </c>
      <c r="AX97" s="34">
        <v>82.724623049821005</v>
      </c>
      <c r="AY97" s="34">
        <v>9.3154438382385525</v>
      </c>
      <c r="AZ97" s="34">
        <v>1.11501E-2</v>
      </c>
      <c r="BA97" s="34">
        <f>93.78-85.05</f>
        <v>8.730000000000004</v>
      </c>
      <c r="BB97" s="34">
        <f t="shared" si="18"/>
        <v>414.50185873605949</v>
      </c>
      <c r="BC97" s="34">
        <v>-70</v>
      </c>
      <c r="BD97" s="34">
        <v>87.86957241379308</v>
      </c>
      <c r="BE97" s="34">
        <v>350.8</v>
      </c>
      <c r="BF97" s="34">
        <v>215.95</v>
      </c>
      <c r="BG97" s="34">
        <v>5.5</v>
      </c>
      <c r="BH97" s="34">
        <v>5.9900000000000091</v>
      </c>
      <c r="BI97" s="34">
        <v>48.025455999999998</v>
      </c>
      <c r="BJ97" s="34">
        <v>3.1700000000000017</v>
      </c>
      <c r="BK97" s="34"/>
      <c r="BL97" s="34"/>
      <c r="BM97" s="34"/>
      <c r="BN97" s="34"/>
    </row>
    <row r="98" spans="1:66" x14ac:dyDescent="0.3">
      <c r="A98" s="20">
        <v>12</v>
      </c>
      <c r="B98" s="24" t="s">
        <v>190</v>
      </c>
      <c r="C98" s="34">
        <v>14</v>
      </c>
      <c r="D98" s="24">
        <v>0.6</v>
      </c>
      <c r="E98" s="34">
        <v>161.36840406648372</v>
      </c>
      <c r="F98" s="24">
        <v>32</v>
      </c>
      <c r="G98" s="34">
        <v>0.93849554166666682</v>
      </c>
      <c r="H98" s="34">
        <v>-12.613047826086957</v>
      </c>
      <c r="I98" s="27">
        <v>19</v>
      </c>
      <c r="J98" s="7">
        <v>16.55</v>
      </c>
      <c r="K98" s="7" t="s">
        <v>168</v>
      </c>
      <c r="L98" s="15">
        <v>28.9</v>
      </c>
      <c r="M98" s="34">
        <v>41.256923322245754</v>
      </c>
      <c r="N98" s="34">
        <v>60.67961165048537</v>
      </c>
      <c r="O98" s="34">
        <v>15.434358764965921</v>
      </c>
      <c r="P98" s="34">
        <v>65.832932957626667</v>
      </c>
      <c r="Q98" s="34">
        <v>14.0778857596006</v>
      </c>
      <c r="R98" s="9">
        <v>1.31678E-2</v>
      </c>
      <c r="S98" s="34">
        <f>102.95-90.62</f>
        <v>12.329999999999998</v>
      </c>
      <c r="T98" s="34">
        <f t="shared" si="19"/>
        <v>455.63321799307965</v>
      </c>
      <c r="U98" s="34">
        <v>-68.5</v>
      </c>
      <c r="V98" s="34">
        <v>73.23965833333331</v>
      </c>
      <c r="W98" s="34">
        <v>200.2</v>
      </c>
      <c r="X98" s="34">
        <v>85.3</v>
      </c>
      <c r="Y98" s="34">
        <v>7.3684210526315788</v>
      </c>
      <c r="Z98" s="34">
        <f>75.66-68.83</f>
        <v>6.8299999999999983</v>
      </c>
      <c r="AA98" s="34">
        <f>225/2</f>
        <v>112.5</v>
      </c>
      <c r="AB98" s="34">
        <f>58.94-57.62</f>
        <v>1.3200000000000003</v>
      </c>
      <c r="AC98" s="34" t="s">
        <v>72</v>
      </c>
      <c r="AD98" s="34"/>
      <c r="AE98" s="34"/>
      <c r="AF98" s="34"/>
      <c r="AG98" s="34"/>
      <c r="AH98" s="34"/>
      <c r="AI98" s="20">
        <v>17</v>
      </c>
      <c r="AJ98" s="24" t="s">
        <v>191</v>
      </c>
      <c r="AK98" s="34">
        <v>14</v>
      </c>
      <c r="AL98" s="24">
        <v>1</v>
      </c>
      <c r="AM98" s="34">
        <v>221.97558268590478</v>
      </c>
      <c r="AN98" s="34">
        <v>34</v>
      </c>
      <c r="AO98" s="34">
        <v>0.58646034482758624</v>
      </c>
      <c r="AP98" s="34">
        <v>-14.991486206896552</v>
      </c>
      <c r="AQ98" s="27">
        <v>18</v>
      </c>
      <c r="AR98" s="34">
        <v>19.8</v>
      </c>
      <c r="AS98" s="34"/>
      <c r="AT98" s="34">
        <v>36.6</v>
      </c>
      <c r="AU98" s="34">
        <v>41.603111594982295</v>
      </c>
      <c r="AV98" s="34">
        <v>57.803468208092255</v>
      </c>
      <c r="AW98" s="34">
        <v>10.850562490276165</v>
      </c>
      <c r="AX98" s="34">
        <v>70.392269291537318</v>
      </c>
      <c r="AY98" s="34">
        <v>8.3444050551417259</v>
      </c>
      <c r="AZ98" s="34">
        <v>6.6858000000000004E-3</v>
      </c>
      <c r="BA98" s="34">
        <f>97.69-85.86</f>
        <v>11.829999999999998</v>
      </c>
      <c r="BB98" s="34">
        <f t="shared" si="18"/>
        <v>182.67213114754097</v>
      </c>
      <c r="BC98" s="34">
        <v>-69.75</v>
      </c>
      <c r="BD98" s="34">
        <v>86.051151724137938</v>
      </c>
      <c r="BE98" s="34">
        <v>301.89</v>
      </c>
      <c r="BF98" s="34">
        <v>170.11</v>
      </c>
      <c r="BG98" s="34">
        <v>5</v>
      </c>
      <c r="BH98" s="34">
        <v>3.8739999999999952</v>
      </c>
      <c r="BI98" s="34">
        <v>53.791314999999997</v>
      </c>
      <c r="BJ98" s="34">
        <v>2.4270000000000067</v>
      </c>
      <c r="BK98" s="17"/>
      <c r="BL98" s="34"/>
      <c r="BM98" s="34"/>
      <c r="BN98" s="34"/>
    </row>
    <row r="99" spans="1:66" x14ac:dyDescent="0.3">
      <c r="A99" s="22">
        <v>13</v>
      </c>
      <c r="B99" s="24" t="s">
        <v>192</v>
      </c>
      <c r="C99" s="34">
        <v>14</v>
      </c>
      <c r="D99" s="24">
        <v>0.36699999999999999</v>
      </c>
      <c r="E99" s="34">
        <v>194.09937888198809</v>
      </c>
      <c r="F99" s="34">
        <v>40</v>
      </c>
      <c r="G99" s="34">
        <v>1.0599146153846153</v>
      </c>
      <c r="H99" s="34">
        <v>-10.46245</v>
      </c>
      <c r="I99" s="27">
        <v>22</v>
      </c>
      <c r="J99" s="7">
        <v>16.600000000000001</v>
      </c>
      <c r="K99" s="7" t="s">
        <v>168</v>
      </c>
      <c r="L99" s="34">
        <v>50</v>
      </c>
      <c r="M99" s="34">
        <v>64.75791591750675</v>
      </c>
      <c r="N99" s="34">
        <v>73.653973631877449</v>
      </c>
      <c r="O99" s="34">
        <v>38.506228434081294</v>
      </c>
      <c r="P99" s="34">
        <v>83.684767490227898</v>
      </c>
      <c r="Q99" s="34">
        <v>40.484120277483143</v>
      </c>
      <c r="R99" s="34">
        <v>8.1545999999999997E-3</v>
      </c>
      <c r="S99" s="34">
        <f>97-60.4</f>
        <v>36.6</v>
      </c>
      <c r="T99" s="34">
        <f t="shared" si="19"/>
        <v>163.09199999999998</v>
      </c>
      <c r="U99" s="34">
        <v>-65.099999999999994</v>
      </c>
      <c r="V99" s="34">
        <v>52.091169230769232</v>
      </c>
      <c r="W99" s="34">
        <v>113.2</v>
      </c>
      <c r="X99" s="34">
        <v>63.8</v>
      </c>
      <c r="Y99" s="34">
        <v>23.448275862068964</v>
      </c>
      <c r="Z99" s="34"/>
      <c r="AA99" s="34"/>
      <c r="AB99" s="34"/>
      <c r="AC99" s="34" t="s">
        <v>73</v>
      </c>
      <c r="AD99" s="34"/>
      <c r="AE99" s="34"/>
      <c r="AF99" s="34"/>
      <c r="AG99" s="34"/>
      <c r="AH99" s="34"/>
      <c r="AI99" s="22">
        <v>18</v>
      </c>
      <c r="AJ99" s="24" t="s">
        <v>193</v>
      </c>
      <c r="AK99" s="34">
        <v>14</v>
      </c>
      <c r="AL99" s="24">
        <v>2.95</v>
      </c>
      <c r="AM99" s="34">
        <v>224.61814914645112</v>
      </c>
      <c r="AN99" s="34">
        <v>23</v>
      </c>
      <c r="AO99" s="34">
        <v>0.58253524137931023</v>
      </c>
      <c r="AP99" s="34">
        <v>-18.678875862068963</v>
      </c>
      <c r="AQ99" s="27">
        <v>15</v>
      </c>
      <c r="AR99" s="8">
        <v>19.850000000000001</v>
      </c>
      <c r="AS99" s="34"/>
      <c r="AT99" s="34">
        <v>20</v>
      </c>
      <c r="AU99" s="34">
        <v>55.261393061683336</v>
      </c>
      <c r="AV99" s="34">
        <v>44.931703810208312</v>
      </c>
      <c r="AW99" s="34">
        <v>12.409369677919248</v>
      </c>
      <c r="AX99" s="34">
        <v>58.880835586176794</v>
      </c>
      <c r="AY99" s="34">
        <v>8.4448019979527977</v>
      </c>
      <c r="AZ99" s="34">
        <v>5.4415599999999998E-3</v>
      </c>
      <c r="BA99" s="34">
        <f>85.46-81.51</f>
        <v>3.9499999999999886</v>
      </c>
      <c r="BB99" s="34">
        <f t="shared" si="18"/>
        <v>272.07799999999997</v>
      </c>
      <c r="BC99" s="34">
        <v>66.87</v>
      </c>
      <c r="BD99" s="34">
        <v>73.793613793103461</v>
      </c>
      <c r="BE99" s="34">
        <v>250.82</v>
      </c>
      <c r="BF99" s="34">
        <v>136.63999999999999</v>
      </c>
      <c r="BG99" s="34">
        <v>5.2777777777777777</v>
      </c>
      <c r="BH99" s="34">
        <v>2.2099999999999937</v>
      </c>
      <c r="BI99" s="34">
        <v>70.033805000000001</v>
      </c>
      <c r="BJ99" s="34">
        <v>3.009999999999998</v>
      </c>
      <c r="BK99" s="17"/>
      <c r="BL99" s="17"/>
      <c r="BM99" s="17"/>
      <c r="BN99" s="34"/>
    </row>
    <row r="100" spans="1:66" x14ac:dyDescent="0.3">
      <c r="A100" s="20">
        <v>14</v>
      </c>
      <c r="B100" s="24" t="s">
        <v>194</v>
      </c>
      <c r="C100" s="34">
        <v>14</v>
      </c>
      <c r="D100" s="24">
        <v>0.48599999999999999</v>
      </c>
      <c r="E100" s="34">
        <v>169.57775139901588</v>
      </c>
      <c r="F100" s="34">
        <v>29</v>
      </c>
      <c r="G100" s="34">
        <v>0.79607337499999986</v>
      </c>
      <c r="H100" s="34">
        <v>-17.252587500000001</v>
      </c>
      <c r="I100" s="27">
        <v>22</v>
      </c>
      <c r="J100" s="7">
        <v>16.649999999999999</v>
      </c>
      <c r="K100" s="7" t="s">
        <v>168</v>
      </c>
      <c r="L100" s="34">
        <v>30</v>
      </c>
      <c r="M100" s="34">
        <v>46.84229605344288</v>
      </c>
      <c r="N100" s="34">
        <v>51.639555899819236</v>
      </c>
      <c r="O100" s="34">
        <v>19.134816788906637</v>
      </c>
      <c r="P100" s="34">
        <v>69.445215343780674</v>
      </c>
      <c r="Q100" s="34">
        <v>32.925254887191592</v>
      </c>
      <c r="R100" s="34">
        <v>9.2408300000000002E-3</v>
      </c>
      <c r="S100" s="34">
        <f>97-60.4</f>
        <v>36.6</v>
      </c>
      <c r="T100" s="34">
        <f t="shared" si="19"/>
        <v>308.02766666666668</v>
      </c>
      <c r="U100" s="34">
        <v>-62.6</v>
      </c>
      <c r="V100" s="34">
        <v>65.42968333333333</v>
      </c>
      <c r="W100" s="34">
        <v>175.8</v>
      </c>
      <c r="X100" s="34">
        <v>103.8</v>
      </c>
      <c r="Y100" s="34">
        <v>19.230769230769234</v>
      </c>
      <c r="Z100" s="34">
        <f>62.5-62.02</f>
        <v>0.47999999999999687</v>
      </c>
      <c r="AA100" s="34">
        <f>277/2</f>
        <v>138.5</v>
      </c>
      <c r="AB100" s="34">
        <f>56.56-50.25</f>
        <v>6.3100000000000023</v>
      </c>
      <c r="AC100" s="34" t="s">
        <v>27</v>
      </c>
      <c r="AD100" s="34"/>
      <c r="AE100" s="34"/>
      <c r="AF100" s="34"/>
      <c r="AG100" s="34"/>
      <c r="AH100" s="34"/>
      <c r="AI100" s="22">
        <v>19</v>
      </c>
      <c r="AJ100" s="24" t="s">
        <v>195</v>
      </c>
      <c r="AK100" s="34">
        <v>14</v>
      </c>
      <c r="AL100" s="24">
        <v>1.9</v>
      </c>
      <c r="AM100" s="34">
        <v>240.15369836695393</v>
      </c>
      <c r="AN100" s="34">
        <v>42</v>
      </c>
      <c r="AO100" s="34">
        <v>0.58458258620689652</v>
      </c>
      <c r="AP100" s="34">
        <v>-14.299072413793105</v>
      </c>
      <c r="AQ100" s="27">
        <v>15</v>
      </c>
      <c r="AR100" s="7">
        <v>19.899999999999999</v>
      </c>
      <c r="AS100" s="34"/>
      <c r="AT100" s="34">
        <v>17.8</v>
      </c>
      <c r="AU100" s="34">
        <v>29.3951373550318</v>
      </c>
      <c r="AV100" s="34">
        <v>70.906899241296415</v>
      </c>
      <c r="AW100" s="34">
        <v>8.5703774456426913</v>
      </c>
      <c r="AX100" s="34">
        <v>87.386756664070688</v>
      </c>
      <c r="AY100" s="34">
        <v>6.8421226424859904</v>
      </c>
      <c r="AZ100" s="34">
        <v>6.7315200000000004E-3</v>
      </c>
      <c r="BA100" s="34">
        <f>79.54-76.01</f>
        <v>3.5300000000000011</v>
      </c>
      <c r="BB100" s="34">
        <f t="shared" si="18"/>
        <v>378.17528089887639</v>
      </c>
      <c r="BC100" s="34">
        <v>-65.09</v>
      </c>
      <c r="BD100" s="34">
        <v>80.050765517241388</v>
      </c>
      <c r="BE100" s="34">
        <v>274.32</v>
      </c>
      <c r="BF100" s="34">
        <v>154.19</v>
      </c>
      <c r="BG100" s="34">
        <v>3.8888888888888888</v>
      </c>
      <c r="BH100" s="34">
        <v>2.960000000000008</v>
      </c>
      <c r="BI100" s="34">
        <v>39.393939500000002</v>
      </c>
      <c r="BJ100" s="34">
        <v>3.7099999999999937</v>
      </c>
      <c r="BK100" s="34"/>
      <c r="BL100" s="34"/>
      <c r="BM100" s="34"/>
      <c r="BN100" s="34"/>
    </row>
    <row r="101" spans="1:66" x14ac:dyDescent="0.3">
      <c r="A101" s="20">
        <v>15</v>
      </c>
      <c r="B101" s="24" t="s">
        <v>196</v>
      </c>
      <c r="C101" s="34">
        <v>14</v>
      </c>
      <c r="D101" s="24">
        <v>2.6</v>
      </c>
      <c r="E101" s="34">
        <v>220.94564737074629</v>
      </c>
      <c r="F101" s="34">
        <v>30</v>
      </c>
      <c r="G101" s="34">
        <v>0.65295580000000009</v>
      </c>
      <c r="H101" s="34">
        <v>-15.360526666666669</v>
      </c>
      <c r="I101" s="27">
        <v>22</v>
      </c>
      <c r="J101" s="7">
        <v>16.7</v>
      </c>
      <c r="K101" s="7" t="s">
        <v>168</v>
      </c>
      <c r="L101" s="34">
        <f>(0.00161/0.0000000001)/1000000</f>
        <v>16.100000000000001</v>
      </c>
      <c r="M101" s="34">
        <v>58.103042392154791</v>
      </c>
      <c r="N101" s="34">
        <v>53.092646668436316</v>
      </c>
      <c r="O101" s="34">
        <v>14.914113830434998</v>
      </c>
      <c r="P101" s="34">
        <v>67.891072296897164</v>
      </c>
      <c r="Q101" s="34">
        <v>9.1002969003493828</v>
      </c>
      <c r="R101" s="34">
        <v>6.7328800000000001E-3</v>
      </c>
      <c r="S101" s="34">
        <f>82.62-65.59</f>
        <v>17.03</v>
      </c>
      <c r="T101" s="34">
        <f t="shared" si="19"/>
        <v>418.19130434782608</v>
      </c>
      <c r="U101" s="34">
        <v>-65</v>
      </c>
      <c r="V101" s="34">
        <v>65.661626666666663</v>
      </c>
      <c r="W101" s="34">
        <v>207.8</v>
      </c>
      <c r="X101" s="34">
        <v>133.30000000000001</v>
      </c>
      <c r="Y101" s="34">
        <v>7.2727272727272725</v>
      </c>
      <c r="Z101" s="34">
        <f>67.52-66.2</f>
        <v>1.3199999999999932</v>
      </c>
      <c r="AA101" s="34">
        <f>175.34/2</f>
        <v>87.67</v>
      </c>
      <c r="AB101" s="34">
        <f>59.72-55.43</f>
        <v>4.2899999999999991</v>
      </c>
      <c r="AC101" s="34" t="s">
        <v>25</v>
      </c>
      <c r="AD101" s="34"/>
      <c r="AE101" s="34"/>
      <c r="AF101" s="34"/>
      <c r="AG101" s="34"/>
      <c r="AH101" s="34"/>
      <c r="AI101" s="20">
        <v>20</v>
      </c>
      <c r="AJ101" s="24" t="s">
        <v>197</v>
      </c>
      <c r="AK101" s="34">
        <v>14</v>
      </c>
      <c r="AL101" s="24">
        <v>0.64</v>
      </c>
      <c r="AM101" s="34">
        <v>196.03999215840034</v>
      </c>
      <c r="AN101" s="34">
        <v>38</v>
      </c>
      <c r="AO101" s="34">
        <v>0.7134968965517241</v>
      </c>
      <c r="AP101" s="34">
        <v>-13.389855172413789</v>
      </c>
      <c r="AQ101" s="27">
        <v>15</v>
      </c>
      <c r="AR101" s="8">
        <v>19.95</v>
      </c>
      <c r="AS101" s="34"/>
      <c r="AT101" s="34">
        <v>44.7</v>
      </c>
      <c r="AU101" s="34">
        <v>15.893766178984807</v>
      </c>
      <c r="AV101" s="34">
        <v>64.345923685734761</v>
      </c>
      <c r="AW101" s="34">
        <v>19.253620475296948</v>
      </c>
      <c r="AX101" s="34">
        <v>81.360104296228357</v>
      </c>
      <c r="AY101" s="34">
        <v>25.476048288819086</v>
      </c>
      <c r="AZ101" s="34">
        <v>7.0010300000000001E-3</v>
      </c>
      <c r="BA101" s="34">
        <f>94.24-79.37</f>
        <v>14.86999999999999</v>
      </c>
      <c r="BB101" s="34">
        <f t="shared" si="18"/>
        <v>156.62259507829975</v>
      </c>
      <c r="BC101" s="34">
        <v>-65</v>
      </c>
      <c r="BD101" s="34">
        <v>70.8618275862069</v>
      </c>
      <c r="BE101" s="34">
        <v>185</v>
      </c>
      <c r="BF101" s="34">
        <v>115</v>
      </c>
      <c r="BG101" s="34">
        <v>14.545454545454545</v>
      </c>
      <c r="BH101" s="34">
        <v>1.6799999999999926</v>
      </c>
      <c r="BI101" s="34">
        <v>154.73441</v>
      </c>
      <c r="BJ101" s="34">
        <v>7.0399999999999991</v>
      </c>
      <c r="BK101" s="34"/>
      <c r="BL101" s="34"/>
      <c r="BM101" s="34"/>
      <c r="BN101" s="34"/>
    </row>
    <row r="102" spans="1:66" x14ac:dyDescent="0.3">
      <c r="A102" s="20">
        <v>16</v>
      </c>
      <c r="B102" s="24" t="s">
        <v>198</v>
      </c>
      <c r="C102" s="34">
        <v>14</v>
      </c>
      <c r="D102" s="24">
        <v>4.16</v>
      </c>
      <c r="E102" s="34">
        <v>221.63120567375884</v>
      </c>
      <c r="F102" s="34">
        <v>18</v>
      </c>
      <c r="G102" s="34">
        <v>0.69293559999999998</v>
      </c>
      <c r="H102" s="34">
        <v>-15.886578571428572</v>
      </c>
      <c r="I102" s="27">
        <v>19</v>
      </c>
      <c r="J102" s="7">
        <v>16.75</v>
      </c>
      <c r="K102" s="7" t="s">
        <v>168</v>
      </c>
      <c r="L102" s="15">
        <v>24.4</v>
      </c>
      <c r="M102" s="34">
        <v>65.234549090644506</v>
      </c>
      <c r="N102" s="34">
        <v>31.226580064951285</v>
      </c>
      <c r="O102" s="34">
        <v>11.485346090192815</v>
      </c>
      <c r="P102" s="34">
        <v>48.660918775143905</v>
      </c>
      <c r="Q102" s="34">
        <v>8.7984425954317018</v>
      </c>
      <c r="R102" s="34">
        <v>1.5065200000000001E-2</v>
      </c>
      <c r="S102" s="34">
        <f>94.49-89.61</f>
        <v>4.8799999999999955</v>
      </c>
      <c r="T102" s="34">
        <f t="shared" si="19"/>
        <v>617.4262295081968</v>
      </c>
      <c r="U102" s="34">
        <v>-67.8</v>
      </c>
      <c r="V102" s="34">
        <v>57.202146666666671</v>
      </c>
      <c r="W102" s="34">
        <v>172.4</v>
      </c>
      <c r="X102" s="34">
        <v>106.4</v>
      </c>
      <c r="Y102" s="34">
        <v>5.3571428571428568</v>
      </c>
      <c r="Z102" s="34">
        <f>70.38-66.86</f>
        <v>3.519999999999996</v>
      </c>
      <c r="AA102" s="34">
        <f>109.98/2</f>
        <v>54.99</v>
      </c>
      <c r="AB102" s="34">
        <f>60.948-58.571</f>
        <v>2.3770000000000024</v>
      </c>
      <c r="AC102" s="34" t="s">
        <v>26</v>
      </c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</row>
    <row r="103" spans="1:66" x14ac:dyDescent="0.3">
      <c r="A103" s="20">
        <v>17</v>
      </c>
      <c r="B103" s="24" t="s">
        <v>199</v>
      </c>
      <c r="C103" s="34">
        <v>14</v>
      </c>
      <c r="D103" s="24">
        <v>1.591</v>
      </c>
      <c r="E103" s="34">
        <v>198.01980198019868</v>
      </c>
      <c r="F103" s="34">
        <v>24</v>
      </c>
      <c r="G103" s="34">
        <v>0.54685449999999991</v>
      </c>
      <c r="H103" s="34">
        <v>-19.061284999999998</v>
      </c>
      <c r="I103" s="27">
        <v>19</v>
      </c>
      <c r="J103" s="7">
        <v>16.8</v>
      </c>
      <c r="K103" s="7" t="s">
        <v>168</v>
      </c>
      <c r="L103" s="15">
        <v>18.100000000000001</v>
      </c>
      <c r="M103" s="34">
        <v>60.790166905412349</v>
      </c>
      <c r="N103" s="34">
        <v>49.830576041459082</v>
      </c>
      <c r="O103" s="34">
        <v>5.4006744538614546</v>
      </c>
      <c r="P103" s="34">
        <v>59.784394033000602</v>
      </c>
      <c r="Q103" s="34">
        <v>11.044982882772725</v>
      </c>
      <c r="R103" s="34">
        <v>9.68019E-3</v>
      </c>
      <c r="S103" s="34">
        <f>90.13-82.72</f>
        <v>7.4099999999999966</v>
      </c>
      <c r="T103" s="34">
        <f t="shared" si="19"/>
        <v>534.81712707182317</v>
      </c>
      <c r="U103" s="34">
        <v>-63</v>
      </c>
      <c r="V103" s="34">
        <v>70.129384999999985</v>
      </c>
      <c r="W103" s="34">
        <v>244.17</v>
      </c>
      <c r="X103" s="34">
        <v>153</v>
      </c>
      <c r="Y103" s="34">
        <v>12.5</v>
      </c>
      <c r="Z103" s="34">
        <v>2.3899999999999864</v>
      </c>
      <c r="AA103" s="34">
        <v>41.83</v>
      </c>
      <c r="AB103" s="34">
        <v>6.2309999999999945</v>
      </c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</row>
    <row r="104" spans="1:66" x14ac:dyDescent="0.3">
      <c r="A104" s="22">
        <v>18</v>
      </c>
      <c r="B104" s="24" t="s">
        <v>200</v>
      </c>
      <c r="C104" s="34">
        <v>14</v>
      </c>
      <c r="D104" s="24">
        <v>0.8</v>
      </c>
      <c r="E104" s="34">
        <v>162.89297931259136</v>
      </c>
      <c r="F104" s="34">
        <v>30</v>
      </c>
      <c r="G104" s="34">
        <v>0.69982861538461549</v>
      </c>
      <c r="H104" s="34">
        <v>-21.404576923076924</v>
      </c>
      <c r="I104" s="27">
        <v>19</v>
      </c>
      <c r="J104" s="7">
        <v>16.850000000000001</v>
      </c>
      <c r="K104" s="7" t="s">
        <v>168</v>
      </c>
      <c r="L104" s="15">
        <v>30</v>
      </c>
      <c r="M104" s="34">
        <v>69.087318595865312</v>
      </c>
      <c r="N104" s="34">
        <v>61.425061425061102</v>
      </c>
      <c r="O104" s="34">
        <v>25.272117440565982</v>
      </c>
      <c r="P104" s="34">
        <v>63.609065101886863</v>
      </c>
      <c r="Q104" s="34">
        <v>24.198899379043194</v>
      </c>
      <c r="R104" s="34">
        <v>7.2293399999999999E-3</v>
      </c>
      <c r="S104" s="34">
        <f>96.95-84.66</f>
        <v>12.290000000000006</v>
      </c>
      <c r="T104" s="34">
        <f t="shared" si="19"/>
        <v>240.97800000000001</v>
      </c>
      <c r="U104" s="34">
        <v>-66.040000000000006</v>
      </c>
      <c r="V104" s="34">
        <v>60.011646153846151</v>
      </c>
      <c r="W104" s="34">
        <v>210.7</v>
      </c>
      <c r="X104" s="34">
        <v>101.8</v>
      </c>
      <c r="Y104" s="34">
        <v>11.818181818181818</v>
      </c>
      <c r="Z104" s="34">
        <v>5.1800000000000068</v>
      </c>
      <c r="AA104" s="34">
        <v>67.22</v>
      </c>
      <c r="AB104" s="34">
        <v>3.8699999999999974</v>
      </c>
      <c r="AC104" s="34"/>
      <c r="AD104" s="34"/>
      <c r="AE104" s="34"/>
      <c r="AF104" s="34"/>
      <c r="AG104" s="34"/>
      <c r="AH104" s="34"/>
      <c r="AI104" s="34"/>
      <c r="AJ104" s="34"/>
      <c r="AK104" s="34"/>
      <c r="AL104" s="17">
        <f>AVERAGE(AL82:AL101)</f>
        <v>1.2072000000000001</v>
      </c>
      <c r="AM104" s="17">
        <f>AVERAGE(AM82:AM101)</f>
        <v>214.72430576020525</v>
      </c>
      <c r="AN104" s="17">
        <f>AVERAGE(AN82:AN101)</f>
        <v>38.35</v>
      </c>
      <c r="AO104" s="17">
        <f>AVERAGE(AO82:AO101)</f>
        <v>0.62211546159457265</v>
      </c>
      <c r="AP104" s="17">
        <f>AVERAGE(AP82:AP101)</f>
        <v>-17.962388966725278</v>
      </c>
      <c r="AQ104" s="17">
        <f t="shared" ref="AQ104:BF104" si="20">AVERAGE(AQ82:AQ101)</f>
        <v>15.95</v>
      </c>
      <c r="AR104" s="17">
        <f t="shared" si="20"/>
        <v>19.475000000000001</v>
      </c>
      <c r="AS104" s="17" t="e">
        <f t="shared" si="20"/>
        <v>#DIV/0!</v>
      </c>
      <c r="AT104" s="17">
        <f t="shared" si="20"/>
        <v>26.152499999999996</v>
      </c>
      <c r="AU104" s="17">
        <f>AVERAGE(AU82:AU101)</f>
        <v>46.757316641316713</v>
      </c>
      <c r="AV104" s="17">
        <f>AVERAGE(AV82:AV101)</f>
        <v>69.081774893118421</v>
      </c>
      <c r="AW104" s="17">
        <f>AVERAGE(AW82:AW101)</f>
        <v>15.811469388133531</v>
      </c>
      <c r="AX104" s="17">
        <f>AVERAGE(AX82:AX101)</f>
        <v>81.042009695616656</v>
      </c>
      <c r="AY104" s="17">
        <f>AVERAGE(AY82:AY101)</f>
        <v>13.586086224024374</v>
      </c>
      <c r="AZ104" s="17">
        <f t="shared" si="20"/>
        <v>8.3319199999999996E-3</v>
      </c>
      <c r="BA104" s="17">
        <f t="shared" si="20"/>
        <v>6.8009999999999993</v>
      </c>
      <c r="BB104" s="17">
        <f t="shared" si="20"/>
        <v>336.30366916538139</v>
      </c>
      <c r="BC104" s="17">
        <f t="shared" si="20"/>
        <v>-59.71</v>
      </c>
      <c r="BD104" s="17">
        <f>AVERAGE(BD82:BD101)</f>
        <v>73.368483255607728</v>
      </c>
      <c r="BE104" s="17">
        <f t="shared" si="20"/>
        <v>251.12299999999996</v>
      </c>
      <c r="BF104" s="17">
        <f t="shared" si="20"/>
        <v>146.18350000000001</v>
      </c>
      <c r="BG104" s="17">
        <f>AVERAGE(BG82:BG101)</f>
        <v>7.6955710955710943</v>
      </c>
      <c r="BH104" s="17">
        <f>AVERAGE(BH82:BH101)</f>
        <v>3.3167499999999999</v>
      </c>
      <c r="BI104" s="17">
        <f>AVERAGE(BI82:BI101)</f>
        <v>62.293176800000005</v>
      </c>
      <c r="BJ104" s="17">
        <f>AVERAGE(BJ82:BJ101)</f>
        <v>3.3532999999999999</v>
      </c>
      <c r="BK104" s="34"/>
      <c r="BL104" s="34"/>
      <c r="BM104" s="34"/>
      <c r="BN104" s="34"/>
    </row>
    <row r="105" spans="1:66" x14ac:dyDescent="0.3">
      <c r="A105" s="22">
        <v>19</v>
      </c>
      <c r="B105" s="24" t="s">
        <v>201</v>
      </c>
      <c r="C105" s="34">
        <v>14</v>
      </c>
      <c r="D105" s="24">
        <v>1.77</v>
      </c>
      <c r="E105" s="34">
        <v>226.75736961451264</v>
      </c>
      <c r="F105" s="34">
        <v>34</v>
      </c>
      <c r="G105" s="17">
        <v>0.60072928000000003</v>
      </c>
      <c r="H105" s="17">
        <v>-12.248539999999998</v>
      </c>
      <c r="I105" s="27">
        <v>16</v>
      </c>
      <c r="J105" s="7">
        <v>16.899999999999999</v>
      </c>
      <c r="K105" s="7" t="s">
        <v>168</v>
      </c>
      <c r="L105" s="34">
        <v>26.7</v>
      </c>
      <c r="M105" s="34">
        <v>32.511696903100834</v>
      </c>
      <c r="N105" s="34">
        <v>60.474117077890448</v>
      </c>
      <c r="O105" s="34">
        <v>8.6195003653692304</v>
      </c>
      <c r="P105" s="34">
        <v>73.63850951037962</v>
      </c>
      <c r="Q105" s="34">
        <v>6.3670629449809013</v>
      </c>
      <c r="R105" s="34">
        <v>7.89692E-3</v>
      </c>
      <c r="S105" s="34">
        <f>76.8-74.14</f>
        <v>2.6599999999999966</v>
      </c>
      <c r="T105" s="34">
        <f t="shared" si="19"/>
        <v>295.76479400749065</v>
      </c>
      <c r="U105" s="34">
        <v>-64.42</v>
      </c>
      <c r="V105" s="34">
        <v>81.923839999999998</v>
      </c>
      <c r="W105" s="34">
        <v>273</v>
      </c>
      <c r="X105" s="34">
        <v>153</v>
      </c>
      <c r="Y105" s="34">
        <v>3.75</v>
      </c>
      <c r="Z105" s="34">
        <v>1.3830000000000098</v>
      </c>
      <c r="AA105" s="34">
        <v>100.36499999999999</v>
      </c>
      <c r="AB105" s="34">
        <v>2.529999999999994</v>
      </c>
      <c r="AC105" s="34"/>
      <c r="AD105" s="34"/>
      <c r="AE105" s="34"/>
      <c r="AF105" s="34"/>
      <c r="AG105" s="34"/>
      <c r="AH105" s="34"/>
      <c r="AI105" s="17"/>
      <c r="AJ105" s="17"/>
      <c r="AK105" s="34"/>
      <c r="AL105" s="17">
        <f>STDEVA(AL82:AL101)</f>
        <v>0.58663371518305485</v>
      </c>
      <c r="AM105" s="17">
        <f>STDEVA(AM82:AM101)</f>
        <v>27.217427319207893</v>
      </c>
      <c r="AN105" s="17">
        <f>STDEVA(AN82:AN101)</f>
        <v>9.9856475951606072</v>
      </c>
      <c r="AO105" s="17">
        <f>STDEVA(AO82:AO101)</f>
        <v>0.11337432415294398</v>
      </c>
      <c r="AP105" s="17">
        <f>STDEVA(AP82:AP101)</f>
        <v>4.7059297069389485</v>
      </c>
      <c r="AQ105" s="17">
        <f t="shared" ref="AQ105:BF105" si="21">STDEVA(AQ82:AQ101)</f>
        <v>1.4680814547887784</v>
      </c>
      <c r="AR105" s="17">
        <f t="shared" si="21"/>
        <v>0.29580398915498068</v>
      </c>
      <c r="AS105" s="17" t="e">
        <f t="shared" si="21"/>
        <v>#DIV/0!</v>
      </c>
      <c r="AT105" s="17">
        <f t="shared" si="21"/>
        <v>7.5012187606239698</v>
      </c>
      <c r="AU105" s="17">
        <f>STDEVA(AU82:AU101)</f>
        <v>15.160744536873864</v>
      </c>
      <c r="AV105" s="17">
        <f>STDEVA(AV82:AV101)</f>
        <v>18.828764155578007</v>
      </c>
      <c r="AW105" s="17">
        <f>STDEVA(AW82:AW101)</f>
        <v>5.0455903375143816</v>
      </c>
      <c r="AX105" s="17">
        <f>STDEVA(AX82:AX101)</f>
        <v>18.647191481797044</v>
      </c>
      <c r="AY105" s="17">
        <f>STDEVA(AY82:AY101)</f>
        <v>5.8879012913262123</v>
      </c>
      <c r="AZ105" s="17">
        <f t="shared" si="21"/>
        <v>3.4673484034390863E-3</v>
      </c>
      <c r="BA105" s="17">
        <f t="shared" si="21"/>
        <v>3.3183650064134724</v>
      </c>
      <c r="BB105" s="17">
        <f t="shared" si="21"/>
        <v>154.48962924353282</v>
      </c>
      <c r="BC105" s="17">
        <f t="shared" si="21"/>
        <v>29.890793865247836</v>
      </c>
      <c r="BD105" s="17">
        <f>STDEVA(BD82:BD101)</f>
        <v>7.794936191581078</v>
      </c>
      <c r="BE105" s="17">
        <f t="shared" si="21"/>
        <v>46.758973931833921</v>
      </c>
      <c r="BF105" s="17">
        <f t="shared" si="21"/>
        <v>35.53311772876566</v>
      </c>
      <c r="BG105" s="17">
        <f>STDEVA(BG82:BG101)</f>
        <v>2.9799183744374265</v>
      </c>
      <c r="BH105" s="17">
        <f>STDEVA(BH82:BH101)</f>
        <v>1.3122114269230289</v>
      </c>
      <c r="BI105" s="17">
        <f>STDEVA(BI82:BI101)</f>
        <v>24.82042847488351</v>
      </c>
      <c r="BJ105" s="17">
        <f>STDEVA(BJ82:BJ101)</f>
        <v>1.2758251035062917</v>
      </c>
      <c r="BK105" s="34"/>
      <c r="BL105" s="34"/>
      <c r="BM105" s="34"/>
      <c r="BN105" s="34"/>
    </row>
    <row r="106" spans="1:66" x14ac:dyDescent="0.3">
      <c r="A106" s="20">
        <v>20</v>
      </c>
      <c r="B106" s="24" t="s">
        <v>202</v>
      </c>
      <c r="C106" s="34">
        <v>14</v>
      </c>
      <c r="D106" s="24">
        <v>2.1</v>
      </c>
      <c r="E106" s="34">
        <v>250.87807325639622</v>
      </c>
      <c r="F106" s="34">
        <v>40</v>
      </c>
      <c r="G106" s="34">
        <v>0.52446637499999993</v>
      </c>
      <c r="H106" s="34">
        <v>-13.239343478260867</v>
      </c>
      <c r="I106" s="27">
        <v>16</v>
      </c>
      <c r="J106" s="7">
        <v>16.95</v>
      </c>
      <c r="K106" s="7" t="s">
        <v>168</v>
      </c>
      <c r="L106" s="34">
        <v>12.74</v>
      </c>
      <c r="M106" s="34">
        <v>34.166482233987402</v>
      </c>
      <c r="N106" s="34">
        <v>75.872534142639992</v>
      </c>
      <c r="O106" s="34">
        <v>10.264279335098612</v>
      </c>
      <c r="P106" s="34">
        <v>84.08601496617257</v>
      </c>
      <c r="Q106" s="34">
        <v>9.1578626760830257</v>
      </c>
      <c r="R106" s="34">
        <v>6.5080600000000004E-3</v>
      </c>
      <c r="S106" s="34">
        <f>76.63-74.97</f>
        <v>1.6599999999999966</v>
      </c>
      <c r="T106" s="34">
        <f t="shared" si="19"/>
        <v>510.83673469387753</v>
      </c>
      <c r="U106" s="34">
        <v>-66</v>
      </c>
      <c r="V106" s="34">
        <v>82.308449999999993</v>
      </c>
      <c r="W106" s="34">
        <v>295.64999999999998</v>
      </c>
      <c r="X106" s="34">
        <v>174.22</v>
      </c>
      <c r="Y106" s="34">
        <v>4.6875</v>
      </c>
      <c r="Z106" s="34">
        <v>2.4830000000000041</v>
      </c>
      <c r="AA106" s="34">
        <v>47.484999999999999</v>
      </c>
      <c r="AB106" s="34">
        <v>3.3500000000000014</v>
      </c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</row>
    <row r="107" spans="1:66" x14ac:dyDescent="0.3">
      <c r="A107" s="22"/>
      <c r="B107" s="24"/>
      <c r="C107" s="34"/>
      <c r="D107" s="34"/>
      <c r="E107" s="34"/>
      <c r="F107" s="34"/>
      <c r="G107" s="34"/>
      <c r="H107" s="34"/>
      <c r="I107" s="27"/>
      <c r="J107" s="7">
        <v>17</v>
      </c>
      <c r="K107" s="7" t="s">
        <v>168</v>
      </c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</row>
    <row r="112" spans="1:66" x14ac:dyDescent="0.3">
      <c r="A112" s="34"/>
      <c r="B112" s="34"/>
      <c r="C112" s="34"/>
      <c r="D112" s="34">
        <f>AVERAGE(D87:D107)</f>
        <v>1.2502000000000002</v>
      </c>
      <c r="E112" s="34">
        <f t="shared" ref="E112:AB112" si="22">AVERAGE(E87:E107)</f>
        <v>175.7888764789451</v>
      </c>
      <c r="F112" s="34">
        <f t="shared" si="22"/>
        <v>28.05</v>
      </c>
      <c r="G112" s="34">
        <f t="shared" si="22"/>
        <v>0.81326716014116163</v>
      </c>
      <c r="H112" s="34">
        <f t="shared" si="22"/>
        <v>-16.446529303116236</v>
      </c>
      <c r="I112" s="34">
        <f t="shared" si="22"/>
        <v>18.149999999999999</v>
      </c>
      <c r="J112" s="34">
        <f>AVERAGE(J87:J107)</f>
        <v>16.523809523809526</v>
      </c>
      <c r="K112" s="34" t="e">
        <f t="shared" si="22"/>
        <v>#DIV/0!</v>
      </c>
      <c r="L112" s="34">
        <f t="shared" si="22"/>
        <v>35.482624999999999</v>
      </c>
      <c r="M112" s="34">
        <f>AVERAGE(M87:M107)</f>
        <v>56.724957280342345</v>
      </c>
      <c r="N112" s="34">
        <f t="shared" si="22"/>
        <v>51.8318666507259</v>
      </c>
      <c r="O112" s="34">
        <f t="shared" si="22"/>
        <v>20.152178713414116</v>
      </c>
      <c r="P112" s="34">
        <f>AVERAGE(P87:P107)</f>
        <v>64.996744977429984</v>
      </c>
      <c r="Q112" s="34">
        <f t="shared" si="22"/>
        <v>19.628689699992158</v>
      </c>
      <c r="R112" s="34">
        <f t="shared" si="22"/>
        <v>9.9819730000000016E-3</v>
      </c>
      <c r="S112" s="34">
        <f t="shared" si="22"/>
        <v>13.642352941176469</v>
      </c>
      <c r="T112" s="34">
        <f t="shared" si="22"/>
        <v>331.95791968259812</v>
      </c>
      <c r="U112" s="34">
        <f t="shared" si="22"/>
        <v>-66.253000000000014</v>
      </c>
      <c r="V112" s="34">
        <f t="shared" si="22"/>
        <v>67.337493629156938</v>
      </c>
      <c r="W112" s="34">
        <f t="shared" si="22"/>
        <v>188.93300000000002</v>
      </c>
      <c r="X112" s="34">
        <f t="shared" si="22"/>
        <v>102.67749999999998</v>
      </c>
      <c r="Y112" s="34">
        <f t="shared" si="22"/>
        <v>11.583602207456405</v>
      </c>
      <c r="Z112" s="34">
        <f t="shared" si="22"/>
        <v>2.6282941176470587</v>
      </c>
      <c r="AA112" s="34">
        <f>AVERAGE(AA87:AA107)</f>
        <v>79.949140676470591</v>
      </c>
      <c r="AB112" s="34">
        <f t="shared" si="22"/>
        <v>3.6422352941176461</v>
      </c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</row>
    <row r="113" spans="1:35" x14ac:dyDescent="0.3">
      <c r="A113" s="34"/>
      <c r="B113" s="34"/>
      <c r="C113" s="34"/>
      <c r="D113" s="17">
        <f>STDEVA(D87:D106)</f>
        <v>1.1302157502465016</v>
      </c>
      <c r="E113" s="17">
        <f>STDEVA(E87:E106)</f>
        <v>43.583821597469367</v>
      </c>
      <c r="F113" s="17">
        <f>STDEVA(F87:F106)</f>
        <v>8.7085862046724074</v>
      </c>
      <c r="G113" s="17">
        <f>STDEVA(G87:G106)</f>
        <v>0.20136921339840802</v>
      </c>
      <c r="H113" s="17">
        <f>STDEVA(H87:H106)</f>
        <v>4.2932116768740274</v>
      </c>
      <c r="I113" s="17">
        <f t="shared" ref="I113:X113" si="23">STDEVA(I87:I106)</f>
        <v>2.6011131220468324</v>
      </c>
      <c r="J113" s="17">
        <f t="shared" si="23"/>
        <v>0.27386127875258287</v>
      </c>
      <c r="K113" s="17">
        <f t="shared" si="23"/>
        <v>0</v>
      </c>
      <c r="L113" s="17">
        <f t="shared" si="23"/>
        <v>21.846280206596536</v>
      </c>
      <c r="M113" s="17">
        <f>STDEVA(M87:M106)</f>
        <v>22.207829412531325</v>
      </c>
      <c r="N113" s="17">
        <f>STDEVA(N87:N106)</f>
        <v>15.219785289780489</v>
      </c>
      <c r="O113" s="17">
        <f>STDEVA(O87:O106)</f>
        <v>11.519221236744341</v>
      </c>
      <c r="P113" s="17">
        <f>STDEVA(P87:P106)</f>
        <v>15.308473187731545</v>
      </c>
      <c r="Q113" s="17">
        <f>STDEVA(Q87:Q106)</f>
        <v>11.320543914111765</v>
      </c>
      <c r="R113" s="17">
        <f t="shared" si="23"/>
        <v>3.8656890595067887E-3</v>
      </c>
      <c r="S113" s="17">
        <f t="shared" si="23"/>
        <v>11.811677764722807</v>
      </c>
      <c r="T113" s="17">
        <f t="shared" si="23"/>
        <v>129.79096919414866</v>
      </c>
      <c r="U113" s="17">
        <f t="shared" si="23"/>
        <v>3.9246710891353351</v>
      </c>
      <c r="V113" s="17">
        <f>STDEVA(V87:V106)</f>
        <v>8.8614660313926699</v>
      </c>
      <c r="W113" s="17">
        <f t="shared" si="23"/>
        <v>49.191834591996127</v>
      </c>
      <c r="X113" s="17">
        <f t="shared" si="23"/>
        <v>33.113310390234354</v>
      </c>
      <c r="Y113" s="17">
        <f>STDEVA(Y87:Y106)</f>
        <v>6.0230916378501922</v>
      </c>
      <c r="Z113" s="17">
        <f>STDEVA(Z87:Z106)</f>
        <v>1.7607259427827588</v>
      </c>
      <c r="AA113" s="17">
        <f>STDEVA(AA87:AA106)</f>
        <v>35.230210517470972</v>
      </c>
      <c r="AB113" s="17">
        <f>STDEVA(AB87:AB106)</f>
        <v>1.6743966274979392</v>
      </c>
      <c r="AC113" s="34"/>
      <c r="AD113" s="34"/>
      <c r="AE113" s="34"/>
      <c r="AF113" s="34"/>
      <c r="AG113" s="34"/>
      <c r="AH113" s="34"/>
      <c r="AI113" s="34"/>
    </row>
    <row r="114" spans="1:35" x14ac:dyDescent="0.3">
      <c r="A114" s="17">
        <f>COUNT(A87:A104)</f>
        <v>18</v>
      </c>
      <c r="B114" s="17">
        <f>COUNT(B87:B104)</f>
        <v>0</v>
      </c>
      <c r="C114" s="34"/>
      <c r="D114" s="17">
        <f t="shared" ref="D114:AB114" si="24">COUNT(D87:D104)</f>
        <v>18</v>
      </c>
      <c r="E114" s="17">
        <f t="shared" si="24"/>
        <v>18</v>
      </c>
      <c r="F114" s="17">
        <f t="shared" si="24"/>
        <v>18</v>
      </c>
      <c r="G114" s="17">
        <f t="shared" si="24"/>
        <v>18</v>
      </c>
      <c r="H114" s="17">
        <f t="shared" si="24"/>
        <v>18</v>
      </c>
      <c r="I114" s="17">
        <f t="shared" si="24"/>
        <v>18</v>
      </c>
      <c r="J114" s="17">
        <f t="shared" si="24"/>
        <v>18</v>
      </c>
      <c r="K114" s="17">
        <f t="shared" si="24"/>
        <v>0</v>
      </c>
      <c r="L114" s="17">
        <f t="shared" si="24"/>
        <v>18</v>
      </c>
      <c r="M114" s="17">
        <f t="shared" si="24"/>
        <v>18</v>
      </c>
      <c r="N114" s="17">
        <f t="shared" si="24"/>
        <v>18</v>
      </c>
      <c r="O114" s="17">
        <f t="shared" si="24"/>
        <v>18</v>
      </c>
      <c r="P114" s="17">
        <f t="shared" si="24"/>
        <v>18</v>
      </c>
      <c r="Q114" s="17">
        <f t="shared" si="24"/>
        <v>18</v>
      </c>
      <c r="R114" s="17">
        <f t="shared" si="24"/>
        <v>18</v>
      </c>
      <c r="S114" s="17">
        <f t="shared" si="24"/>
        <v>15</v>
      </c>
      <c r="T114" s="17">
        <f t="shared" si="24"/>
        <v>18</v>
      </c>
      <c r="U114" s="17">
        <f t="shared" si="24"/>
        <v>18</v>
      </c>
      <c r="V114" s="17">
        <f t="shared" si="24"/>
        <v>18</v>
      </c>
      <c r="W114" s="17">
        <f t="shared" si="24"/>
        <v>18</v>
      </c>
      <c r="X114" s="17">
        <f t="shared" si="24"/>
        <v>18</v>
      </c>
      <c r="Y114" s="17">
        <f t="shared" si="24"/>
        <v>18</v>
      </c>
      <c r="Z114" s="17">
        <f t="shared" si="24"/>
        <v>15</v>
      </c>
      <c r="AA114" s="17">
        <f t="shared" si="24"/>
        <v>15</v>
      </c>
      <c r="AB114" s="17">
        <f t="shared" si="24"/>
        <v>15</v>
      </c>
      <c r="AC114" s="34"/>
      <c r="AD114" s="34"/>
      <c r="AE114" s="34"/>
      <c r="AF114" s="34"/>
      <c r="AG114" s="34"/>
      <c r="AH114" s="34"/>
      <c r="AI114" s="34"/>
    </row>
    <row r="115" spans="1:35" x14ac:dyDescent="0.3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</row>
    <row r="116" spans="1:35" x14ac:dyDescent="0.3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</row>
    <row r="117" spans="1:35" ht="15" thickBo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</row>
    <row r="118" spans="1:35" ht="15" thickBo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99" t="s">
        <v>203</v>
      </c>
      <c r="AG118" s="95" t="s">
        <v>77</v>
      </c>
      <c r="AH118" s="93" t="s">
        <v>204</v>
      </c>
      <c r="AI118" s="94"/>
    </row>
    <row r="119" spans="1:35" x14ac:dyDescent="0.3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100" t="s">
        <v>205</v>
      </c>
      <c r="AG119" s="96">
        <f>COUNT(AB2:AB30)</f>
        <v>22</v>
      </c>
      <c r="AH119" s="7">
        <f>AVERAGE(I2:I30)</f>
        <v>2.6956521739130435</v>
      </c>
      <c r="AI119" s="92" t="s">
        <v>206</v>
      </c>
    </row>
    <row r="120" spans="1:35" x14ac:dyDescent="0.3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101" t="s">
        <v>207</v>
      </c>
      <c r="AG120" s="97">
        <f>COUNT(BJ2:BJ18)</f>
        <v>17</v>
      </c>
      <c r="AH120" s="8">
        <f>AVERAGE(AQ2:AQ18)</f>
        <v>2.6470588235294117</v>
      </c>
      <c r="AI120" s="89" t="s">
        <v>206</v>
      </c>
    </row>
    <row r="121" spans="1:35" x14ac:dyDescent="0.3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101" t="s">
        <v>208</v>
      </c>
      <c r="AG121" s="97">
        <f>COUNT(Y39:Y72)</f>
        <v>33</v>
      </c>
      <c r="AH121" s="8">
        <f>AVERAGE(I39:I73)</f>
        <v>6.6363636363636367</v>
      </c>
      <c r="AI121" s="89" t="s">
        <v>209</v>
      </c>
    </row>
    <row r="122" spans="1:35" x14ac:dyDescent="0.3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101" t="s">
        <v>210</v>
      </c>
      <c r="AG122" s="97">
        <f>COUNT(BG39:BG73)</f>
        <v>35</v>
      </c>
      <c r="AH122" s="8">
        <f>AVERAGE(AQ39:AQ73)</f>
        <v>6.7352941176470589</v>
      </c>
      <c r="AI122" s="89" t="s">
        <v>209</v>
      </c>
    </row>
    <row r="123" spans="1:35" x14ac:dyDescent="0.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101" t="s">
        <v>211</v>
      </c>
      <c r="AG123" s="97">
        <f>COUNT(Y87:Y106)</f>
        <v>20</v>
      </c>
      <c r="AH123" s="8">
        <f>AVERAGE(I87:I106)</f>
        <v>18.149999999999999</v>
      </c>
      <c r="AI123" s="89" t="s">
        <v>212</v>
      </c>
    </row>
    <row r="124" spans="1:35" ht="15" thickBo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102" t="s">
        <v>213</v>
      </c>
      <c r="AG124" s="98">
        <f>COUNT(BI82:BI101)</f>
        <v>20</v>
      </c>
      <c r="AH124" s="25">
        <f>AVERAGE(AQ82:AQ101)</f>
        <v>15.95</v>
      </c>
      <c r="AI124" s="91" t="s">
        <v>214</v>
      </c>
    </row>
    <row r="130" spans="32:35" ht="15" thickBot="1" x14ac:dyDescent="0.35">
      <c r="AF130" s="34"/>
      <c r="AG130" s="34"/>
      <c r="AH130" s="34"/>
      <c r="AI130" s="34"/>
    </row>
    <row r="131" spans="32:35" x14ac:dyDescent="0.3">
      <c r="AF131" s="85" t="s">
        <v>203</v>
      </c>
      <c r="AG131" s="86" t="s">
        <v>77</v>
      </c>
      <c r="AH131" s="86" t="s">
        <v>204</v>
      </c>
      <c r="AI131" s="87" t="s">
        <v>215</v>
      </c>
    </row>
    <row r="132" spans="32:35" x14ac:dyDescent="0.3">
      <c r="AF132" s="88" t="s">
        <v>216</v>
      </c>
      <c r="AG132" s="8">
        <f>COUNT(AB2:AB30,BJ2:BJ19)</f>
        <v>39</v>
      </c>
      <c r="AH132" s="8">
        <f>AVERAGE(I2:I30,AQ2:AQ18)</f>
        <v>2.6749999999999998</v>
      </c>
      <c r="AI132" s="89" t="s">
        <v>206</v>
      </c>
    </row>
    <row r="133" spans="32:35" x14ac:dyDescent="0.3">
      <c r="AF133" s="88" t="s">
        <v>217</v>
      </c>
      <c r="AG133" s="8">
        <f>COUNT(Y39:Y72,BG39:BG73)</f>
        <v>68</v>
      </c>
      <c r="AH133" s="8">
        <f>AVERAGE(I39:I72,AQ39:AQ73)</f>
        <v>6.6865671641791042</v>
      </c>
      <c r="AI133" s="89" t="s">
        <v>209</v>
      </c>
    </row>
    <row r="134" spans="32:35" x14ac:dyDescent="0.3">
      <c r="AF134" s="88" t="s">
        <v>218</v>
      </c>
      <c r="AG134" s="8">
        <f>COUNT(Y87:Y106,AN82:AN101)</f>
        <v>40</v>
      </c>
      <c r="AH134" s="8">
        <f>AVERAGE(I87:I106,AQ82:AQ101)</f>
        <v>17.05</v>
      </c>
      <c r="AI134" s="89" t="s">
        <v>212</v>
      </c>
    </row>
    <row r="135" spans="32:35" x14ac:dyDescent="0.3">
      <c r="AF135" s="88"/>
      <c r="AG135" s="8"/>
      <c r="AH135" s="8"/>
      <c r="AI135" s="89"/>
    </row>
    <row r="136" spans="32:35" x14ac:dyDescent="0.3">
      <c r="AF136" s="88"/>
      <c r="AG136" s="8"/>
      <c r="AH136" s="8"/>
      <c r="AI136" s="89"/>
    </row>
    <row r="137" spans="32:35" ht="15" thickBot="1" x14ac:dyDescent="0.35">
      <c r="AF137" s="90"/>
      <c r="AG137" s="25"/>
      <c r="AH137" s="25"/>
      <c r="AI137" s="91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37"/>
  <sheetViews>
    <sheetView zoomScale="70" zoomScaleNormal="70" workbookViewId="0">
      <selection activeCell="AJ21" sqref="AJ21"/>
    </sheetView>
  </sheetViews>
  <sheetFormatPr defaultRowHeight="14.4" x14ac:dyDescent="0.3"/>
  <cols>
    <col min="1" max="1" width="8.33203125" style="53" customWidth="1"/>
    <col min="2" max="2" width="11.77734375" style="53" customWidth="1"/>
    <col min="3" max="3" width="6.109375" style="53" customWidth="1"/>
    <col min="4" max="4" width="14" style="53" customWidth="1"/>
    <col min="5" max="5" width="6.109375" style="53" customWidth="1"/>
    <col min="6" max="6" width="14.109375" style="53" customWidth="1"/>
    <col min="7" max="7" width="7" style="53" customWidth="1"/>
    <col min="8" max="8" width="9.77734375" style="53" customWidth="1"/>
    <col min="9" max="9" width="5.33203125" style="53" customWidth="1"/>
    <col min="10" max="10" width="9.33203125" style="53" customWidth="1"/>
    <col min="11" max="11" width="5.33203125" style="53" customWidth="1"/>
    <col min="12" max="12" width="4.33203125" style="149" customWidth="1"/>
    <col min="13" max="16" width="8.88671875" style="53"/>
    <col min="17" max="17" width="10.6640625" style="53" customWidth="1"/>
    <col min="18" max="18" width="6.88671875" style="53" customWidth="1"/>
    <col min="19" max="19" width="7.33203125" style="53" customWidth="1"/>
    <col min="20" max="20" width="11.44140625" style="53" customWidth="1"/>
    <col min="21" max="21" width="5.77734375" style="53" customWidth="1"/>
    <col min="22" max="22" width="11.44140625" style="53" customWidth="1"/>
    <col min="23" max="23" width="5.77734375" style="53" customWidth="1"/>
    <col min="24" max="24" width="11.44140625" style="149" customWidth="1"/>
    <col min="25" max="25" width="5.77734375" style="53" customWidth="1"/>
    <col min="26" max="26" width="11.44140625" style="53" customWidth="1"/>
    <col min="27" max="28" width="5.77734375" style="53" customWidth="1"/>
    <col min="29" max="29" width="7.88671875" style="53" customWidth="1"/>
    <col min="30" max="30" width="7.33203125" style="53" customWidth="1"/>
    <col min="31" max="31" width="13.77734375" style="53" customWidth="1"/>
    <col min="32" max="32" width="5.77734375" style="53" customWidth="1"/>
    <col min="33" max="33" width="13.77734375" style="53" customWidth="1"/>
    <col min="34" max="34" width="5.77734375" style="149" customWidth="1"/>
    <col min="35" max="35" width="13.77734375" customWidth="1"/>
    <col min="36" max="37" width="5.77734375" customWidth="1"/>
  </cols>
  <sheetData>
    <row r="1" spans="1:37" ht="15" thickBot="1" x14ac:dyDescent="0.35">
      <c r="A1" s="187"/>
      <c r="B1" s="151" t="s">
        <v>249</v>
      </c>
      <c r="C1" s="152" t="s">
        <v>329</v>
      </c>
      <c r="D1" s="152" t="s">
        <v>317</v>
      </c>
      <c r="E1" s="152" t="s">
        <v>328</v>
      </c>
      <c r="F1" s="152" t="s">
        <v>3</v>
      </c>
      <c r="G1" s="152" t="s">
        <v>329</v>
      </c>
      <c r="H1" s="152" t="s">
        <v>349</v>
      </c>
      <c r="I1" s="152" t="s">
        <v>329</v>
      </c>
      <c r="J1" s="152" t="s">
        <v>20</v>
      </c>
      <c r="K1" s="152" t="s">
        <v>328</v>
      </c>
      <c r="L1" s="153" t="s">
        <v>77</v>
      </c>
      <c r="N1" s="132" t="s">
        <v>323</v>
      </c>
      <c r="S1" s="150"/>
      <c r="T1" s="168" t="s">
        <v>335</v>
      </c>
      <c r="U1" s="150" t="s">
        <v>328</v>
      </c>
      <c r="V1" s="168" t="s">
        <v>336</v>
      </c>
      <c r="W1" s="150" t="s">
        <v>329</v>
      </c>
      <c r="X1" s="168" t="s">
        <v>337</v>
      </c>
      <c r="Y1" s="150" t="s">
        <v>328</v>
      </c>
      <c r="Z1" s="168" t="s">
        <v>351</v>
      </c>
      <c r="AA1" s="150" t="s">
        <v>329</v>
      </c>
      <c r="AB1" s="169" t="s">
        <v>77</v>
      </c>
      <c r="AD1" s="129"/>
      <c r="AE1" s="130" t="s">
        <v>25</v>
      </c>
      <c r="AF1" s="131" t="s">
        <v>329</v>
      </c>
      <c r="AG1" s="131" t="s">
        <v>346</v>
      </c>
      <c r="AH1" s="131" t="s">
        <v>328</v>
      </c>
      <c r="AI1" s="131" t="s">
        <v>348</v>
      </c>
      <c r="AJ1" s="131" t="s">
        <v>329</v>
      </c>
      <c r="AK1" s="143" t="s">
        <v>77</v>
      </c>
    </row>
    <row r="2" spans="1:37" ht="15" thickBot="1" x14ac:dyDescent="0.35">
      <c r="A2" s="150" t="s">
        <v>2</v>
      </c>
      <c r="B2" s="152" t="s">
        <v>319</v>
      </c>
      <c r="C2" s="152"/>
      <c r="D2" s="152" t="s">
        <v>318</v>
      </c>
      <c r="E2" s="152"/>
      <c r="F2" s="152" t="s">
        <v>320</v>
      </c>
      <c r="G2" s="152"/>
      <c r="H2" s="152" t="s">
        <v>321</v>
      </c>
      <c r="I2" s="152"/>
      <c r="J2" s="152" t="s">
        <v>321</v>
      </c>
      <c r="K2" s="152"/>
      <c r="L2" s="186"/>
      <c r="S2" s="158" t="s">
        <v>2</v>
      </c>
      <c r="T2" s="170" t="s">
        <v>334</v>
      </c>
      <c r="U2" s="188"/>
      <c r="V2" s="170" t="s">
        <v>334</v>
      </c>
      <c r="W2" s="158"/>
      <c r="X2" s="170" t="s">
        <v>334</v>
      </c>
      <c r="Y2" s="158"/>
      <c r="Z2" s="170" t="s">
        <v>352</v>
      </c>
      <c r="AA2" s="158"/>
      <c r="AB2" s="171"/>
      <c r="AD2" s="133" t="s">
        <v>2</v>
      </c>
      <c r="AE2" s="134" t="s">
        <v>342</v>
      </c>
      <c r="AF2" s="135"/>
      <c r="AG2" s="136" t="s">
        <v>350</v>
      </c>
      <c r="AH2" s="135"/>
      <c r="AI2" s="136" t="s">
        <v>342</v>
      </c>
      <c r="AJ2" s="135"/>
      <c r="AK2" s="144"/>
    </row>
    <row r="3" spans="1:37" x14ac:dyDescent="0.3">
      <c r="A3" s="183" t="s">
        <v>206</v>
      </c>
      <c r="B3" s="174">
        <v>78.812940999999995</v>
      </c>
      <c r="C3" s="174">
        <v>46.78</v>
      </c>
      <c r="D3" s="174">
        <v>223.36</v>
      </c>
      <c r="E3" s="174">
        <v>70.75</v>
      </c>
      <c r="F3" s="174">
        <v>0.45</v>
      </c>
      <c r="G3" s="174">
        <v>0.38</v>
      </c>
      <c r="H3" s="174">
        <v>6.6758940000000004</v>
      </c>
      <c r="I3" s="174">
        <v>5.18</v>
      </c>
      <c r="J3" s="174">
        <v>-64.887647000000001</v>
      </c>
      <c r="K3" s="174">
        <v>4.4393940000000001</v>
      </c>
      <c r="L3" s="175">
        <v>17</v>
      </c>
      <c r="S3" s="172" t="s">
        <v>206</v>
      </c>
      <c r="T3" s="173">
        <v>114.111239</v>
      </c>
      <c r="U3" s="174">
        <v>24.981643999999999</v>
      </c>
      <c r="V3" s="174">
        <v>43.445725000000003</v>
      </c>
      <c r="W3" s="174">
        <v>8.0516900000000007</v>
      </c>
      <c r="X3" s="174">
        <v>49.621716999999997</v>
      </c>
      <c r="Y3" s="174">
        <v>10.207912</v>
      </c>
      <c r="Z3" s="174">
        <v>23.058824000000001</v>
      </c>
      <c r="AA3" s="174">
        <v>4.2348350000000003</v>
      </c>
      <c r="AB3" s="175">
        <v>17</v>
      </c>
      <c r="AD3" s="138" t="s">
        <v>206</v>
      </c>
      <c r="AE3" s="127">
        <v>5.2703530000000001</v>
      </c>
      <c r="AF3" s="118">
        <v>2.3910369999999999</v>
      </c>
      <c r="AG3" s="118">
        <v>67.085294000000005</v>
      </c>
      <c r="AH3" s="118">
        <v>21.448481999999998</v>
      </c>
      <c r="AI3" s="118">
        <v>0.51571100000000003</v>
      </c>
      <c r="AJ3" s="118">
        <v>0.75560099999999997</v>
      </c>
      <c r="AK3" s="145">
        <v>17</v>
      </c>
    </row>
    <row r="4" spans="1:37" x14ac:dyDescent="0.3">
      <c r="A4" s="184"/>
      <c r="B4" s="160">
        <v>73.550588000000005</v>
      </c>
      <c r="C4" s="160">
        <v>30.63</v>
      </c>
      <c r="D4" s="160">
        <v>212.21718300000001</v>
      </c>
      <c r="E4" s="160">
        <v>58.85</v>
      </c>
      <c r="F4" s="160">
        <v>0.37047099999999999</v>
      </c>
      <c r="G4" s="160">
        <v>0.2</v>
      </c>
      <c r="H4" s="160">
        <v>7.0394240000000003</v>
      </c>
      <c r="I4" s="160">
        <v>5.96</v>
      </c>
      <c r="J4" s="160">
        <v>-66.622208999999998</v>
      </c>
      <c r="K4" s="160">
        <v>3.1207980000000002</v>
      </c>
      <c r="L4" s="161">
        <v>17</v>
      </c>
      <c r="S4" s="176"/>
      <c r="T4" s="159">
        <v>106.04534700000001</v>
      </c>
      <c r="U4" s="160">
        <v>25.044557000000001</v>
      </c>
      <c r="V4" s="160">
        <v>46.749234999999999</v>
      </c>
      <c r="W4" s="160">
        <v>9.8780459999999994</v>
      </c>
      <c r="X4" s="160">
        <v>50.141086999999999</v>
      </c>
      <c r="Y4" s="160">
        <v>10.760285</v>
      </c>
      <c r="Z4" s="160">
        <v>24.529412000000001</v>
      </c>
      <c r="AA4" s="160">
        <v>5.8107410000000002</v>
      </c>
      <c r="AB4" s="161">
        <v>17</v>
      </c>
      <c r="AD4" s="139"/>
      <c r="AE4" s="125">
        <v>5.3472350000000004</v>
      </c>
      <c r="AF4" s="54">
        <v>1.9086179999999999</v>
      </c>
      <c r="AG4" s="54">
        <v>77.659803999999994</v>
      </c>
      <c r="AH4" s="54">
        <v>20.242187000000001</v>
      </c>
      <c r="AI4" s="54">
        <v>0.26947700000000002</v>
      </c>
      <c r="AJ4" s="54">
        <v>0.44611600000000001</v>
      </c>
      <c r="AK4" s="146">
        <v>17</v>
      </c>
    </row>
    <row r="5" spans="1:37" x14ac:dyDescent="0.3">
      <c r="A5" s="184" t="s">
        <v>209</v>
      </c>
      <c r="B5" s="163">
        <v>52.096009000000002</v>
      </c>
      <c r="C5" s="163">
        <v>31.98</v>
      </c>
      <c r="D5" s="163">
        <v>310.93996700000002</v>
      </c>
      <c r="E5" s="163">
        <v>139.93</v>
      </c>
      <c r="F5" s="163">
        <v>0.52359999999999995</v>
      </c>
      <c r="G5" s="163">
        <v>0.27</v>
      </c>
      <c r="H5" s="163">
        <v>4.02346</v>
      </c>
      <c r="I5" s="163">
        <v>4.18</v>
      </c>
      <c r="J5" s="163">
        <v>-65.248000000000005</v>
      </c>
      <c r="K5" s="163">
        <v>3.159116</v>
      </c>
      <c r="L5" s="164">
        <v>30</v>
      </c>
      <c r="S5" s="176" t="s">
        <v>209</v>
      </c>
      <c r="T5" s="162">
        <v>123.825796</v>
      </c>
      <c r="U5" s="163">
        <v>34.015867999999998</v>
      </c>
      <c r="V5" s="163">
        <v>46.439275000000002</v>
      </c>
      <c r="W5" s="163">
        <v>15.231173</v>
      </c>
      <c r="X5" s="163">
        <v>49.563251999999999</v>
      </c>
      <c r="Y5" s="163">
        <v>12.935128000000001</v>
      </c>
      <c r="Z5" s="163">
        <v>23.4</v>
      </c>
      <c r="AA5" s="163">
        <v>6.4679580000000003</v>
      </c>
      <c r="AB5" s="164">
        <v>30</v>
      </c>
      <c r="AD5" s="139" t="s">
        <v>209</v>
      </c>
      <c r="AE5" s="128">
        <v>4.1022999999999996</v>
      </c>
      <c r="AF5" s="122">
        <v>1.9116109999999999</v>
      </c>
      <c r="AG5" s="122">
        <v>74.027167000000006</v>
      </c>
      <c r="AH5" s="122">
        <v>39.189293999999997</v>
      </c>
      <c r="AI5" s="122">
        <v>0.67525800000000002</v>
      </c>
      <c r="AJ5" s="122">
        <v>0.72429699999999997</v>
      </c>
      <c r="AK5" s="147">
        <v>20</v>
      </c>
    </row>
    <row r="6" spans="1:37" x14ac:dyDescent="0.3">
      <c r="A6" s="184"/>
      <c r="B6" s="160">
        <v>42.811528000000003</v>
      </c>
      <c r="C6" s="160">
        <v>34.380000000000003</v>
      </c>
      <c r="D6" s="160">
        <v>353.06982799999997</v>
      </c>
      <c r="E6" s="160">
        <v>135.76</v>
      </c>
      <c r="F6" s="160">
        <v>0.81130000000000002</v>
      </c>
      <c r="G6" s="160">
        <v>0.45</v>
      </c>
      <c r="H6" s="160">
        <v>2.3708010000000002</v>
      </c>
      <c r="I6" s="160">
        <v>1.92</v>
      </c>
      <c r="J6" s="160">
        <v>-65.073333000000005</v>
      </c>
      <c r="K6" s="160">
        <v>2.7799680000000002</v>
      </c>
      <c r="L6" s="161">
        <v>30</v>
      </c>
      <c r="S6" s="176"/>
      <c r="T6" s="159">
        <v>158.53525300000001</v>
      </c>
      <c r="U6" s="160">
        <v>35.298645999999998</v>
      </c>
      <c r="V6" s="160">
        <v>60.554924999999997</v>
      </c>
      <c r="W6" s="160">
        <v>16.189032999999998</v>
      </c>
      <c r="X6" s="160">
        <v>66.197033000000005</v>
      </c>
      <c r="Y6" s="160">
        <v>17.541418</v>
      </c>
      <c r="Z6" s="160">
        <v>32.033332999999999</v>
      </c>
      <c r="AA6" s="160">
        <v>8.7236630000000002</v>
      </c>
      <c r="AB6" s="161">
        <v>30</v>
      </c>
      <c r="AD6" s="139"/>
      <c r="AE6" s="125">
        <v>4.4015789999999999</v>
      </c>
      <c r="AF6" s="54">
        <v>2.6122719999999999</v>
      </c>
      <c r="AG6" s="54">
        <v>56.786676999999997</v>
      </c>
      <c r="AH6" s="54">
        <v>24.060648</v>
      </c>
      <c r="AI6" s="54">
        <v>1.201632</v>
      </c>
      <c r="AJ6" s="54">
        <v>0.91116699999999995</v>
      </c>
      <c r="AK6" s="146">
        <v>19</v>
      </c>
    </row>
    <row r="7" spans="1:37" x14ac:dyDescent="0.3">
      <c r="A7" s="184" t="s">
        <v>322</v>
      </c>
      <c r="B7" s="163">
        <v>30.822778</v>
      </c>
      <c r="C7" s="163">
        <v>22.57</v>
      </c>
      <c r="D7" s="163">
        <v>404.59452499999998</v>
      </c>
      <c r="E7" s="163">
        <v>217.11</v>
      </c>
      <c r="F7" s="163">
        <v>1.5000560000000001</v>
      </c>
      <c r="G7" s="163">
        <v>1.1100000000000001</v>
      </c>
      <c r="H7" s="163">
        <v>7.7447059999999999</v>
      </c>
      <c r="I7" s="163">
        <v>5.93</v>
      </c>
      <c r="J7" s="163">
        <v>-67.408889000000002</v>
      </c>
      <c r="K7" s="163">
        <v>2.6623579999999998</v>
      </c>
      <c r="L7" s="164">
        <v>18</v>
      </c>
      <c r="S7" s="176" t="s">
        <v>322</v>
      </c>
      <c r="T7" s="162">
        <v>184.67912200000001</v>
      </c>
      <c r="U7" s="163">
        <v>43.830694999999999</v>
      </c>
      <c r="V7" s="163">
        <v>55.541556</v>
      </c>
      <c r="W7" s="163">
        <v>16.613408</v>
      </c>
      <c r="X7" s="163">
        <v>68.180519000000004</v>
      </c>
      <c r="Y7" s="163">
        <v>15.391591999999999</v>
      </c>
      <c r="Z7" s="163">
        <v>29.944444000000001</v>
      </c>
      <c r="AA7" s="163">
        <v>9.4025789999999994</v>
      </c>
      <c r="AB7" s="164">
        <v>18</v>
      </c>
      <c r="AD7" s="139" t="s">
        <v>322</v>
      </c>
      <c r="AE7" s="128">
        <v>2.9728330000000001</v>
      </c>
      <c r="AF7" s="122">
        <v>1.631508</v>
      </c>
      <c r="AG7" s="122">
        <v>73.791246999999998</v>
      </c>
      <c r="AH7" s="122">
        <v>31.183803000000001</v>
      </c>
      <c r="AI7" s="122">
        <v>3.004556</v>
      </c>
      <c r="AJ7" s="122">
        <v>1.6271629999999999</v>
      </c>
      <c r="AK7" s="147">
        <v>18</v>
      </c>
    </row>
    <row r="8" spans="1:37" ht="15" thickBot="1" x14ac:dyDescent="0.35">
      <c r="A8" s="185"/>
      <c r="B8" s="166">
        <v>25.520454999999998</v>
      </c>
      <c r="C8" s="166">
        <v>7.53</v>
      </c>
      <c r="D8" s="166">
        <v>340.05281200000002</v>
      </c>
      <c r="E8" s="166">
        <v>148.85</v>
      </c>
      <c r="F8" s="166">
        <v>1.286545</v>
      </c>
      <c r="G8" s="166">
        <v>0.67</v>
      </c>
      <c r="H8" s="166">
        <v>6.6409089999999997</v>
      </c>
      <c r="I8" s="166">
        <v>3.26</v>
      </c>
      <c r="J8" s="166">
        <v>-66.188181999999998</v>
      </c>
      <c r="K8" s="166">
        <v>2.3931900000000002</v>
      </c>
      <c r="L8" s="167">
        <v>22</v>
      </c>
      <c r="S8" s="177"/>
      <c r="T8" s="165">
        <v>219.36217199999999</v>
      </c>
      <c r="U8" s="166">
        <v>29.969010999999998</v>
      </c>
      <c r="V8" s="166">
        <v>69.122639000000007</v>
      </c>
      <c r="W8" s="166">
        <v>18.552706000000001</v>
      </c>
      <c r="X8" s="166">
        <v>80.923702000000006</v>
      </c>
      <c r="Y8" s="166">
        <v>18.122733</v>
      </c>
      <c r="Z8" s="166">
        <v>38.272727000000003</v>
      </c>
      <c r="AA8" s="166">
        <v>9.7793849999999996</v>
      </c>
      <c r="AB8" s="167">
        <v>22</v>
      </c>
      <c r="AD8" s="140"/>
      <c r="AE8" s="126">
        <v>3.2627269999999999</v>
      </c>
      <c r="AF8" s="71">
        <v>1.2689360000000001</v>
      </c>
      <c r="AG8" s="71">
        <v>62.010036999999997</v>
      </c>
      <c r="AH8" s="71">
        <v>23.657961</v>
      </c>
      <c r="AI8" s="71">
        <v>3.3743180000000002</v>
      </c>
      <c r="AJ8" s="71">
        <v>1.261517</v>
      </c>
      <c r="AK8" s="148">
        <v>22</v>
      </c>
    </row>
    <row r="9" spans="1:37" ht="15" thickBot="1" x14ac:dyDescent="0.35">
      <c r="S9" s="178"/>
      <c r="T9" s="178"/>
      <c r="U9" s="178"/>
      <c r="V9" s="178"/>
      <c r="W9" s="178"/>
      <c r="X9" s="178"/>
      <c r="Y9" s="178"/>
      <c r="Z9" s="178"/>
      <c r="AA9" s="178"/>
      <c r="AB9" s="179"/>
    </row>
    <row r="10" spans="1:37" ht="15" thickBot="1" x14ac:dyDescent="0.35">
      <c r="A10" s="141"/>
      <c r="B10" s="130" t="s">
        <v>341</v>
      </c>
      <c r="C10" s="131" t="s">
        <v>329</v>
      </c>
      <c r="D10" s="131" t="s">
        <v>343</v>
      </c>
      <c r="E10" s="131" t="s">
        <v>328</v>
      </c>
      <c r="F10" s="131" t="s">
        <v>345</v>
      </c>
      <c r="G10" s="131" t="s">
        <v>329</v>
      </c>
      <c r="H10" s="131" t="s">
        <v>21</v>
      </c>
      <c r="I10" s="131" t="s">
        <v>329</v>
      </c>
      <c r="J10" s="131" t="s">
        <v>73</v>
      </c>
      <c r="K10" s="131" t="s">
        <v>328</v>
      </c>
      <c r="L10" s="143" t="s">
        <v>77</v>
      </c>
      <c r="M10" s="132" t="s">
        <v>339</v>
      </c>
      <c r="S10" s="150"/>
      <c r="T10" s="168" t="s">
        <v>324</v>
      </c>
      <c r="U10" s="150" t="s">
        <v>328</v>
      </c>
      <c r="V10" s="168" t="s">
        <v>325</v>
      </c>
      <c r="W10" s="150" t="s">
        <v>329</v>
      </c>
      <c r="X10" s="168" t="s">
        <v>326</v>
      </c>
      <c r="Y10" s="150" t="s">
        <v>328</v>
      </c>
      <c r="Z10" s="168" t="s">
        <v>327</v>
      </c>
      <c r="AA10" s="150" t="s">
        <v>329</v>
      </c>
      <c r="AB10" s="169" t="s">
        <v>77</v>
      </c>
    </row>
    <row r="11" spans="1:37" ht="15" thickBot="1" x14ac:dyDescent="0.35">
      <c r="A11" s="142" t="s">
        <v>2</v>
      </c>
      <c r="B11" s="134" t="s">
        <v>340</v>
      </c>
      <c r="C11" s="135"/>
      <c r="D11" s="135" t="s">
        <v>344</v>
      </c>
      <c r="E11" s="135"/>
      <c r="F11" s="135" t="s">
        <v>344</v>
      </c>
      <c r="G11" s="135"/>
      <c r="H11" s="135" t="s">
        <v>342</v>
      </c>
      <c r="I11" s="135"/>
      <c r="J11" s="135"/>
      <c r="K11" s="135"/>
      <c r="L11" s="144"/>
      <c r="S11" s="154" t="s">
        <v>2</v>
      </c>
      <c r="T11" s="180" t="s">
        <v>333</v>
      </c>
      <c r="U11" s="154"/>
      <c r="V11" s="180" t="s">
        <v>333</v>
      </c>
      <c r="W11" s="154"/>
      <c r="X11" s="180" t="s">
        <v>332</v>
      </c>
      <c r="Y11" s="154"/>
      <c r="Z11" s="180" t="s">
        <v>331</v>
      </c>
      <c r="AA11" s="154"/>
      <c r="AB11" s="181"/>
    </row>
    <row r="12" spans="1:37" x14ac:dyDescent="0.3">
      <c r="A12" s="137" t="s">
        <v>206</v>
      </c>
      <c r="B12" s="127">
        <v>1.179432</v>
      </c>
      <c r="C12" s="118">
        <v>0.233541</v>
      </c>
      <c r="D12" s="118">
        <v>151.19764699999999</v>
      </c>
      <c r="E12" s="118">
        <v>32.791882999999999</v>
      </c>
      <c r="F12" s="118">
        <v>65.927059</v>
      </c>
      <c r="G12" s="118">
        <v>13.698748</v>
      </c>
      <c r="H12" s="118">
        <v>69.232415000000003</v>
      </c>
      <c r="I12" s="118">
        <v>7.829879</v>
      </c>
      <c r="J12" s="118">
        <v>-8.6333280000000006</v>
      </c>
      <c r="K12" s="118">
        <v>7.4621680000000001</v>
      </c>
      <c r="L12" s="145">
        <v>17</v>
      </c>
      <c r="S12" s="182" t="s">
        <v>206</v>
      </c>
      <c r="T12" s="155">
        <v>149.26995500000001</v>
      </c>
      <c r="U12" s="156">
        <v>83.468445000000003</v>
      </c>
      <c r="V12" s="156">
        <v>51.144323</v>
      </c>
      <c r="W12" s="156">
        <v>29.039477999999999</v>
      </c>
      <c r="X12" s="156">
        <v>60.525618999999999</v>
      </c>
      <c r="Y12" s="156">
        <v>31.217352000000002</v>
      </c>
      <c r="Z12" s="156">
        <v>29.189039000000001</v>
      </c>
      <c r="AA12" s="156">
        <v>14.572819000000001</v>
      </c>
      <c r="AB12" s="157">
        <v>17</v>
      </c>
    </row>
    <row r="13" spans="1:37" x14ac:dyDescent="0.3">
      <c r="A13" s="139"/>
      <c r="B13" s="125">
        <v>1.058802</v>
      </c>
      <c r="C13" s="54">
        <v>0.243091</v>
      </c>
      <c r="D13" s="54">
        <v>149.66764699999999</v>
      </c>
      <c r="E13" s="54">
        <v>51.156919000000002</v>
      </c>
      <c r="F13" s="54">
        <v>77.421176000000003</v>
      </c>
      <c r="G13" s="54">
        <v>21.998843999999998</v>
      </c>
      <c r="H13" s="54">
        <v>63.194471999999998</v>
      </c>
      <c r="I13" s="54">
        <v>9.1600669999999997</v>
      </c>
      <c r="J13" s="54">
        <v>-10.976646000000001</v>
      </c>
      <c r="K13" s="54">
        <v>4.07958</v>
      </c>
      <c r="L13" s="146">
        <v>17</v>
      </c>
      <c r="S13" s="176"/>
      <c r="T13" s="159">
        <v>136.59606099999999</v>
      </c>
      <c r="U13" s="160">
        <v>52.807284000000003</v>
      </c>
      <c r="V13" s="160">
        <v>51.251823000000002</v>
      </c>
      <c r="W13" s="160">
        <v>15.913769</v>
      </c>
      <c r="X13" s="160">
        <v>55.686686000000002</v>
      </c>
      <c r="Y13" s="160">
        <v>16.903155999999999</v>
      </c>
      <c r="Z13" s="160">
        <v>27.738420000000001</v>
      </c>
      <c r="AA13" s="160">
        <v>9.9453530000000008</v>
      </c>
      <c r="AB13" s="161">
        <v>17</v>
      </c>
    </row>
    <row r="14" spans="1:37" x14ac:dyDescent="0.3">
      <c r="A14" s="139" t="s">
        <v>209</v>
      </c>
      <c r="B14" s="128">
        <v>0.99508600000000003</v>
      </c>
      <c r="C14" s="122">
        <v>0.17880199999999999</v>
      </c>
      <c r="D14" s="122">
        <v>166.47</v>
      </c>
      <c r="E14" s="122">
        <v>33.875321</v>
      </c>
      <c r="F14" s="122">
        <v>80.666667000000004</v>
      </c>
      <c r="G14" s="122">
        <v>15.271369</v>
      </c>
      <c r="H14" s="122">
        <v>67.781531999999999</v>
      </c>
      <c r="I14" s="122">
        <v>6.0553039999999996</v>
      </c>
      <c r="J14" s="122">
        <v>-9.8920049999999993</v>
      </c>
      <c r="K14" s="122">
        <v>3.5213260000000002</v>
      </c>
      <c r="L14" s="147">
        <v>30</v>
      </c>
      <c r="S14" s="176" t="s">
        <v>209</v>
      </c>
      <c r="T14" s="162">
        <v>139.28492</v>
      </c>
      <c r="U14" s="163">
        <v>101.556645</v>
      </c>
      <c r="V14" s="163">
        <v>39.915011999999997</v>
      </c>
      <c r="W14" s="163">
        <v>18.684453000000001</v>
      </c>
      <c r="X14" s="163">
        <v>50.603327</v>
      </c>
      <c r="Y14" s="163">
        <v>23.599731999999999</v>
      </c>
      <c r="Z14" s="163">
        <v>25.075462999999999</v>
      </c>
      <c r="AA14" s="163">
        <v>12.446313999999999</v>
      </c>
      <c r="AB14" s="164">
        <v>30</v>
      </c>
    </row>
    <row r="15" spans="1:37" x14ac:dyDescent="0.3">
      <c r="A15" s="139"/>
      <c r="B15" s="125">
        <v>0.83047499999999996</v>
      </c>
      <c r="C15" s="54">
        <v>0.22955</v>
      </c>
      <c r="D15" s="54">
        <v>191.685</v>
      </c>
      <c r="E15" s="54">
        <v>43.654439000000004</v>
      </c>
      <c r="F15" s="54">
        <v>100.212333</v>
      </c>
      <c r="G15" s="54">
        <v>27.533728</v>
      </c>
      <c r="H15" s="54">
        <v>68.710329000000002</v>
      </c>
      <c r="I15" s="54">
        <v>7.3804879999999997</v>
      </c>
      <c r="J15" s="54">
        <v>-14.265699</v>
      </c>
      <c r="K15" s="54">
        <v>4.8015840000000001</v>
      </c>
      <c r="L15" s="146">
        <v>30</v>
      </c>
      <c r="S15" s="176"/>
      <c r="T15" s="159">
        <v>86.271175999999997</v>
      </c>
      <c r="U15" s="160">
        <v>37.401111</v>
      </c>
      <c r="V15" s="160">
        <v>27.811799000000001</v>
      </c>
      <c r="W15" s="160">
        <v>12.223851</v>
      </c>
      <c r="X15" s="160">
        <v>32.440576999999998</v>
      </c>
      <c r="Y15" s="160">
        <v>13.53675</v>
      </c>
      <c r="Z15" s="160">
        <v>16.459081999999999</v>
      </c>
      <c r="AA15" s="160">
        <v>6.8431189999999997</v>
      </c>
      <c r="AB15" s="161">
        <v>30</v>
      </c>
    </row>
    <row r="16" spans="1:37" x14ac:dyDescent="0.3">
      <c r="A16" s="139" t="s">
        <v>322</v>
      </c>
      <c r="B16" s="128">
        <v>0.74870700000000001</v>
      </c>
      <c r="C16" s="122">
        <v>0.21065999999999999</v>
      </c>
      <c r="D16" s="122">
        <v>211.938333</v>
      </c>
      <c r="E16" s="122">
        <v>52.512928000000002</v>
      </c>
      <c r="F16" s="122">
        <v>114.707222</v>
      </c>
      <c r="G16" s="122">
        <v>34.137676999999996</v>
      </c>
      <c r="H16" s="122">
        <v>70.357588000000007</v>
      </c>
      <c r="I16" s="122">
        <v>8.4728270000000006</v>
      </c>
      <c r="J16" s="122">
        <v>-15.997678000000001</v>
      </c>
      <c r="K16" s="122">
        <v>3.6151529999999998</v>
      </c>
      <c r="L16" s="147">
        <v>18</v>
      </c>
      <c r="S16" s="176" t="s">
        <v>322</v>
      </c>
      <c r="T16" s="162">
        <v>72.115538999999998</v>
      </c>
      <c r="U16" s="163">
        <v>29.858846</v>
      </c>
      <c r="V16" s="163">
        <v>18.945592000000001</v>
      </c>
      <c r="W16" s="163">
        <v>7.9051349999999996</v>
      </c>
      <c r="X16" s="163">
        <v>20.896028999999999</v>
      </c>
      <c r="Y16" s="163">
        <v>9.5532810000000001</v>
      </c>
      <c r="Z16" s="163">
        <v>10.670227000000001</v>
      </c>
      <c r="AA16" s="163">
        <v>4.0528399999999998</v>
      </c>
      <c r="AB16" s="164">
        <v>18</v>
      </c>
    </row>
    <row r="17" spans="1:28" ht="15" thickBot="1" x14ac:dyDescent="0.35">
      <c r="A17" s="140"/>
      <c r="B17" s="126">
        <v>0.60534399999999999</v>
      </c>
      <c r="C17" s="71">
        <v>0.12245200000000001</v>
      </c>
      <c r="D17" s="71">
        <v>254.74818200000001</v>
      </c>
      <c r="E17" s="71">
        <v>45.998880999999997</v>
      </c>
      <c r="F17" s="71">
        <v>148.562273</v>
      </c>
      <c r="G17" s="71">
        <v>34.680016999999999</v>
      </c>
      <c r="H17" s="71">
        <v>73.078148999999996</v>
      </c>
      <c r="I17" s="71">
        <v>7.6762189999999997</v>
      </c>
      <c r="J17" s="71">
        <v>-18.467175000000001</v>
      </c>
      <c r="K17" s="71">
        <v>5.4481950000000001</v>
      </c>
      <c r="L17" s="148">
        <v>22</v>
      </c>
      <c r="S17" s="177"/>
      <c r="T17" s="165">
        <v>74.545456000000001</v>
      </c>
      <c r="U17" s="166">
        <v>29.020771</v>
      </c>
      <c r="V17" s="166">
        <v>17.631612000000001</v>
      </c>
      <c r="W17" s="166">
        <v>5.1008680000000002</v>
      </c>
      <c r="X17" s="166">
        <v>20.846017</v>
      </c>
      <c r="Y17" s="166">
        <v>5.5921329999999996</v>
      </c>
      <c r="Z17" s="166">
        <v>10.471952</v>
      </c>
      <c r="AA17" s="166">
        <v>3.6078420000000002</v>
      </c>
      <c r="AB17" s="167">
        <v>22</v>
      </c>
    </row>
    <row r="26" spans="1:28" x14ac:dyDescent="0.3">
      <c r="A26" s="103"/>
      <c r="Y26" s="53" t="s">
        <v>330</v>
      </c>
    </row>
    <row r="27" spans="1:28" x14ac:dyDescent="0.3">
      <c r="A27" s="103"/>
    </row>
    <row r="28" spans="1:28" x14ac:dyDescent="0.3">
      <c r="A28" s="103"/>
    </row>
    <row r="29" spans="1:28" x14ac:dyDescent="0.3">
      <c r="A29" s="103"/>
    </row>
    <row r="30" spans="1:28" x14ac:dyDescent="0.3">
      <c r="A30" s="103"/>
    </row>
    <row r="35" spans="14:25" x14ac:dyDescent="0.3">
      <c r="Y35" s="53" t="s">
        <v>338</v>
      </c>
    </row>
    <row r="37" spans="14:25" x14ac:dyDescent="0.3">
      <c r="N37" s="53" t="s">
        <v>347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2"/>
  <sheetViews>
    <sheetView topLeftCell="O1" zoomScale="50" zoomScaleNormal="50" workbookViewId="0">
      <selection activeCell="AC1" sqref="AC1:AC1048576"/>
    </sheetView>
  </sheetViews>
  <sheetFormatPr defaultRowHeight="14.4" x14ac:dyDescent="0.3"/>
  <cols>
    <col min="1" max="1" width="13.5546875" style="103" customWidth="1"/>
    <col min="2" max="2" width="8.88671875" style="103"/>
    <col min="3" max="19" width="25.21875" style="103" customWidth="1"/>
    <col min="21" max="28" width="25.21875" style="103" customWidth="1"/>
    <col min="29" max="29" width="8.88671875" style="201"/>
  </cols>
  <sheetData>
    <row r="1" spans="1:29" ht="15" thickBot="1" x14ac:dyDescent="0.35">
      <c r="A1" s="2" t="s">
        <v>1</v>
      </c>
      <c r="B1" s="103" t="s">
        <v>234</v>
      </c>
      <c r="C1" s="2" t="s">
        <v>9</v>
      </c>
      <c r="D1" s="2" t="s">
        <v>2</v>
      </c>
      <c r="E1" s="2" t="s">
        <v>240</v>
      </c>
      <c r="F1" s="2" t="s">
        <v>6</v>
      </c>
      <c r="G1" s="2" t="s">
        <v>7</v>
      </c>
      <c r="H1" s="5" t="s">
        <v>241</v>
      </c>
      <c r="I1" s="5" t="s">
        <v>242</v>
      </c>
      <c r="J1" s="5" t="s">
        <v>243</v>
      </c>
      <c r="K1" s="2" t="s">
        <v>83</v>
      </c>
      <c r="L1" s="2" t="s">
        <v>5</v>
      </c>
      <c r="M1" s="2" t="s">
        <v>12</v>
      </c>
      <c r="N1" s="2" t="s">
        <v>13</v>
      </c>
      <c r="O1" s="3" t="s">
        <v>244</v>
      </c>
      <c r="P1" s="3" t="s">
        <v>245</v>
      </c>
      <c r="Q1" s="3" t="s">
        <v>246</v>
      </c>
      <c r="R1" s="3" t="s">
        <v>247</v>
      </c>
      <c r="S1" s="3" t="s">
        <v>18</v>
      </c>
      <c r="T1" s="5" t="s">
        <v>354</v>
      </c>
      <c r="U1" s="4" t="s">
        <v>248</v>
      </c>
      <c r="V1" s="2" t="s">
        <v>3</v>
      </c>
      <c r="W1" s="2" t="s">
        <v>249</v>
      </c>
      <c r="X1" s="5" t="s">
        <v>250</v>
      </c>
      <c r="Y1" s="5" t="s">
        <v>353</v>
      </c>
      <c r="Z1" s="5" t="s">
        <v>251</v>
      </c>
      <c r="AA1" s="5" t="s">
        <v>252</v>
      </c>
      <c r="AB1" s="5" t="s">
        <v>20</v>
      </c>
      <c r="AC1" s="5" t="s">
        <v>356</v>
      </c>
    </row>
    <row r="2" spans="1:29" x14ac:dyDescent="0.3">
      <c r="A2" s="103" t="s">
        <v>29</v>
      </c>
      <c r="B2" s="103">
        <v>3</v>
      </c>
      <c r="C2" s="103">
        <v>1</v>
      </c>
      <c r="D2" s="103">
        <v>3</v>
      </c>
      <c r="E2" s="103" t="s">
        <v>253</v>
      </c>
      <c r="F2" s="103">
        <v>1.6787210714285712</v>
      </c>
      <c r="G2" s="103">
        <v>-22.304966666666672</v>
      </c>
      <c r="H2" s="103">
        <v>96.9</v>
      </c>
      <c r="I2" s="103">
        <v>37.4</v>
      </c>
      <c r="J2" s="103">
        <v>25</v>
      </c>
      <c r="K2" s="103">
        <v>77.549437766576133</v>
      </c>
      <c r="L2" s="103">
        <v>16</v>
      </c>
      <c r="M2" s="103">
        <v>154.34216907199172</v>
      </c>
      <c r="N2" s="103">
        <v>35.172874679047467</v>
      </c>
      <c r="O2" s="103">
        <v>54.455264954119357</v>
      </c>
      <c r="P2" s="103">
        <v>32.612620210124575</v>
      </c>
      <c r="Q2" s="103">
        <v>38.722649925064523</v>
      </c>
      <c r="R2" s="103">
        <v>1.8208100000000001E-2</v>
      </c>
      <c r="S2" s="103">
        <v>7.7000000000000028</v>
      </c>
      <c r="T2" s="103">
        <v>-12.842814583333325</v>
      </c>
      <c r="U2" s="103">
        <v>151.65891062929668</v>
      </c>
      <c r="V2" s="103">
        <v>0.06</v>
      </c>
      <c r="W2" s="103">
        <v>99</v>
      </c>
      <c r="X2" s="103">
        <v>9.0900000000000034</v>
      </c>
      <c r="Y2" s="103">
        <v>78.040000000000006</v>
      </c>
      <c r="Z2" s="103">
        <v>1.0000000000000001E-5</v>
      </c>
      <c r="AA2" s="103">
        <v>65.5</v>
      </c>
      <c r="AB2" s="103">
        <v>-65.2</v>
      </c>
      <c r="AC2" s="201">
        <v>-47.730574999999995</v>
      </c>
    </row>
    <row r="3" spans="1:29" x14ac:dyDescent="0.3">
      <c r="A3" s="103" t="s">
        <v>32</v>
      </c>
      <c r="B3" s="103">
        <v>3</v>
      </c>
      <c r="C3" s="103">
        <v>1</v>
      </c>
      <c r="D3" s="103">
        <v>3</v>
      </c>
      <c r="E3" s="103" t="s">
        <v>253</v>
      </c>
      <c r="F3" s="103">
        <v>1.1895036666666665</v>
      </c>
      <c r="G3" s="103">
        <v>-7.1390068965517246</v>
      </c>
      <c r="H3" s="103">
        <v>205.7</v>
      </c>
      <c r="I3" s="103">
        <v>65.3</v>
      </c>
      <c r="J3" s="103">
        <v>18.399999999999999</v>
      </c>
      <c r="K3" s="103">
        <v>122.9105211406097</v>
      </c>
      <c r="L3" s="103">
        <v>29</v>
      </c>
      <c r="M3" s="103">
        <v>85.928817008238866</v>
      </c>
      <c r="N3" s="103">
        <v>52.90165582182717</v>
      </c>
      <c r="O3" s="103">
        <v>36.601035346339991</v>
      </c>
      <c r="P3" s="103">
        <v>57.160249562243465</v>
      </c>
      <c r="Q3" s="103">
        <v>34.046266666252833</v>
      </c>
      <c r="R3" s="103">
        <v>1.53467E-2</v>
      </c>
      <c r="S3" s="103">
        <v>8.7999999999999972</v>
      </c>
      <c r="T3" s="103">
        <v>-6.6266742857142784</v>
      </c>
      <c r="U3" s="103">
        <v>237.19783616692425</v>
      </c>
      <c r="V3" s="103">
        <v>1.4</v>
      </c>
      <c r="W3" s="103">
        <v>64.7</v>
      </c>
      <c r="X3" s="103">
        <v>6.7099999999999937</v>
      </c>
      <c r="Y3" s="103">
        <v>78.25</v>
      </c>
      <c r="Z3" s="103">
        <v>1.0000000000000001E-5</v>
      </c>
      <c r="AA3" s="103">
        <v>78.599999999999994</v>
      </c>
      <c r="AB3" s="103">
        <v>-65</v>
      </c>
      <c r="AC3" s="201">
        <v>-47.126259999999988</v>
      </c>
    </row>
    <row r="4" spans="1:29" x14ac:dyDescent="0.3">
      <c r="A4" s="103" t="s">
        <v>34</v>
      </c>
      <c r="B4" s="103">
        <v>3</v>
      </c>
      <c r="C4" s="103">
        <v>1</v>
      </c>
      <c r="D4" s="103">
        <v>3</v>
      </c>
      <c r="E4" s="103" t="s">
        <v>253</v>
      </c>
      <c r="F4" s="103">
        <v>0.98629673333333345</v>
      </c>
      <c r="G4" s="103">
        <v>-5.3563655172413771</v>
      </c>
      <c r="H4" s="103">
        <v>168.7</v>
      </c>
      <c r="I4" s="103">
        <v>72.599999999999994</v>
      </c>
      <c r="J4" s="103">
        <v>32.5</v>
      </c>
      <c r="K4" s="103">
        <v>138.66258572218629</v>
      </c>
      <c r="L4" s="103">
        <v>22</v>
      </c>
      <c r="M4" s="103">
        <v>217.66701727173663</v>
      </c>
      <c r="N4" s="103">
        <v>46.74207721791155</v>
      </c>
      <c r="O4" s="103">
        <v>65.017658572770969</v>
      </c>
      <c r="P4" s="103">
        <v>42.84169722220431</v>
      </c>
      <c r="Q4" s="103">
        <v>32.5</v>
      </c>
      <c r="R4" s="103">
        <v>1.2986599999999999E-2</v>
      </c>
      <c r="S4" s="103">
        <v>7.1000000000000085</v>
      </c>
      <c r="T4" s="103">
        <v>-7.1207679012345801</v>
      </c>
      <c r="U4" s="103">
        <v>212.89508196721309</v>
      </c>
      <c r="V4" s="103">
        <v>0.36</v>
      </c>
      <c r="W4" s="103">
        <v>52.8</v>
      </c>
      <c r="X4" s="103">
        <v>4.0100000000000051</v>
      </c>
      <c r="Y4" s="103">
        <v>46.524999999999999</v>
      </c>
      <c r="Z4" s="103">
        <v>1.0000000000000001E-5</v>
      </c>
      <c r="AA4" s="103">
        <v>71.759999999999991</v>
      </c>
      <c r="AB4" s="103">
        <v>-65</v>
      </c>
      <c r="AC4" s="201">
        <v>-42.754110000000004</v>
      </c>
    </row>
    <row r="5" spans="1:29" x14ac:dyDescent="0.3">
      <c r="A5" s="103" t="s">
        <v>36</v>
      </c>
      <c r="B5" s="103">
        <v>3</v>
      </c>
      <c r="C5" s="103">
        <v>1</v>
      </c>
      <c r="D5" s="103">
        <v>3</v>
      </c>
      <c r="E5" s="103" t="s">
        <v>253</v>
      </c>
      <c r="F5" s="103">
        <v>1.0856079166666668</v>
      </c>
      <c r="G5" s="103">
        <v>-7.0721347826086944</v>
      </c>
      <c r="H5" s="103">
        <v>119.4</v>
      </c>
      <c r="I5" s="103">
        <v>57.3</v>
      </c>
      <c r="J5" s="103">
        <v>36.666666666666671</v>
      </c>
      <c r="K5" s="103">
        <v>151.05740181268936</v>
      </c>
      <c r="L5" s="103">
        <v>25</v>
      </c>
      <c r="M5" s="103">
        <v>173.15067006208034</v>
      </c>
      <c r="N5" s="103">
        <v>51.064698973599626</v>
      </c>
      <c r="O5" s="103">
        <v>68.946232205314757</v>
      </c>
      <c r="P5" s="103">
        <v>57.556769979018881</v>
      </c>
      <c r="Q5" s="103">
        <v>64.161035690089761</v>
      </c>
      <c r="R5" s="103">
        <v>1.36533E-2</v>
      </c>
      <c r="S5" s="103">
        <v>2.1700000000000017</v>
      </c>
      <c r="T5" s="103">
        <v>-1.9921194444444426</v>
      </c>
      <c r="U5" s="103">
        <v>292.36188436830838</v>
      </c>
      <c r="V5" s="103">
        <v>0.33</v>
      </c>
      <c r="W5" s="103">
        <v>46.699999999999996</v>
      </c>
      <c r="X5" s="103">
        <v>2.3900000000000006</v>
      </c>
      <c r="Y5" s="103">
        <v>45.234999999999999</v>
      </c>
      <c r="Z5" s="103">
        <v>2.4600000000000009</v>
      </c>
      <c r="AA5" s="103">
        <v>60.7</v>
      </c>
      <c r="AB5" s="103">
        <v>-60.9</v>
      </c>
      <c r="AC5" s="201">
        <v>-31.941729166666661</v>
      </c>
    </row>
    <row r="6" spans="1:29" x14ac:dyDescent="0.3">
      <c r="A6" s="103" t="s">
        <v>38</v>
      </c>
      <c r="B6" s="103">
        <v>3</v>
      </c>
      <c r="C6" s="103">
        <v>1</v>
      </c>
      <c r="D6" s="103">
        <v>3</v>
      </c>
      <c r="E6" s="103" t="s">
        <v>253</v>
      </c>
      <c r="F6" s="103">
        <v>1.1950000000000001</v>
      </c>
      <c r="G6" s="103">
        <v>-7.8070000000000004</v>
      </c>
      <c r="H6" s="103">
        <v>114.8</v>
      </c>
      <c r="I6" s="103">
        <v>53.7</v>
      </c>
      <c r="J6" s="103">
        <v>32.5</v>
      </c>
      <c r="K6" s="103">
        <v>135.2447930754665</v>
      </c>
      <c r="L6" s="103">
        <v>26</v>
      </c>
      <c r="M6" s="103">
        <v>129.96244770699451</v>
      </c>
      <c r="N6" s="103">
        <v>37.94638696326507</v>
      </c>
      <c r="O6" s="103">
        <v>66.635948208024558</v>
      </c>
      <c r="P6" s="103">
        <v>54.773227477637072</v>
      </c>
      <c r="Q6" s="103">
        <v>55.255815213056266</v>
      </c>
      <c r="R6" s="103">
        <v>1.6842599999999999E-2</v>
      </c>
      <c r="S6" s="103">
        <v>13.299999999999997</v>
      </c>
      <c r="T6" s="103">
        <v>-17.293295061728394</v>
      </c>
      <c r="U6" s="103">
        <v>206.91154791154801</v>
      </c>
      <c r="V6" s="103">
        <v>0.25</v>
      </c>
      <c r="W6" s="103">
        <v>81.400000000000006</v>
      </c>
      <c r="X6" s="103">
        <v>5.5500000000000043</v>
      </c>
      <c r="Y6" s="103">
        <v>62.5</v>
      </c>
      <c r="Z6" s="103">
        <v>0.32999999999999829</v>
      </c>
      <c r="AA6" s="103">
        <v>62.23</v>
      </c>
      <c r="AB6" s="103">
        <v>-58</v>
      </c>
      <c r="AC6" s="201">
        <v>-34.633795999999997</v>
      </c>
    </row>
    <row r="7" spans="1:29" x14ac:dyDescent="0.3">
      <c r="A7" s="103" t="s">
        <v>42</v>
      </c>
      <c r="B7" s="103">
        <v>3</v>
      </c>
      <c r="C7" s="103">
        <v>1</v>
      </c>
      <c r="D7" s="103">
        <v>2</v>
      </c>
      <c r="E7" s="103" t="s">
        <v>253</v>
      </c>
      <c r="F7" s="103">
        <v>1.1420199999999998</v>
      </c>
      <c r="G7" s="103">
        <v>-20.2611375</v>
      </c>
      <c r="H7" s="103">
        <v>193.9</v>
      </c>
      <c r="I7" s="103">
        <v>73.400000000000006</v>
      </c>
      <c r="J7" s="103">
        <v>36.000000000000007</v>
      </c>
      <c r="K7" s="103">
        <v>110</v>
      </c>
      <c r="L7" s="103">
        <v>29</v>
      </c>
      <c r="M7" s="103">
        <v>142.06416836010368</v>
      </c>
      <c r="N7" s="103">
        <v>54.710581026370441</v>
      </c>
      <c r="O7" s="103">
        <v>73.5681357442257</v>
      </c>
      <c r="P7" s="103">
        <v>59.049966726885998</v>
      </c>
      <c r="Q7" s="103">
        <v>66.987742828600076</v>
      </c>
      <c r="R7" s="103">
        <v>2.4686300000000001E-2</v>
      </c>
      <c r="S7" s="103">
        <v>14.700000000000017</v>
      </c>
      <c r="T7" s="103">
        <v>-11.114427160493824</v>
      </c>
      <c r="U7" s="103">
        <v>202.34672131147542</v>
      </c>
      <c r="V7" s="103">
        <v>0.18</v>
      </c>
      <c r="W7" s="103">
        <v>122</v>
      </c>
      <c r="X7" s="103">
        <v>9.1700000000000017</v>
      </c>
      <c r="Y7" s="103">
        <v>84.06</v>
      </c>
      <c r="Z7" s="103">
        <v>0.29099999999999682</v>
      </c>
      <c r="AA7" s="103">
        <v>80.8</v>
      </c>
      <c r="AB7" s="103">
        <v>-63.9</v>
      </c>
      <c r="AC7" s="201">
        <v>-41.454808695652176</v>
      </c>
    </row>
    <row r="8" spans="1:29" x14ac:dyDescent="0.3">
      <c r="A8" s="103" t="s">
        <v>44</v>
      </c>
      <c r="B8" s="103">
        <v>3</v>
      </c>
      <c r="C8" s="103">
        <v>1</v>
      </c>
      <c r="D8" s="103">
        <v>2</v>
      </c>
      <c r="E8" s="103" t="s">
        <v>253</v>
      </c>
      <c r="F8" s="103">
        <v>1.0427513333333336</v>
      </c>
      <c r="G8" s="103">
        <v>-10.258113793103448</v>
      </c>
      <c r="H8" s="103">
        <v>192.2</v>
      </c>
      <c r="I8" s="103">
        <v>75.8</v>
      </c>
      <c r="J8" s="103">
        <v>40</v>
      </c>
      <c r="K8" s="103">
        <v>141.63</v>
      </c>
      <c r="L8" s="103">
        <v>26</v>
      </c>
      <c r="M8" s="103">
        <v>351.90253693574465</v>
      </c>
      <c r="N8" s="103">
        <v>49.925112331502817</v>
      </c>
      <c r="O8" s="103">
        <v>92.079395306529662</v>
      </c>
      <c r="P8" s="103">
        <v>53.219581502002427</v>
      </c>
      <c r="Q8" s="103">
        <v>75.221594931397291</v>
      </c>
      <c r="R8" s="103">
        <v>1.1476800000000001E-2</v>
      </c>
      <c r="S8" s="103">
        <v>5.9000000000000057</v>
      </c>
      <c r="T8" s="103">
        <v>-5.0862635416666659</v>
      </c>
      <c r="U8" s="103">
        <v>183.62880000000001</v>
      </c>
      <c r="V8" s="103">
        <v>0.27</v>
      </c>
      <c r="W8" s="103">
        <v>62.5</v>
      </c>
      <c r="X8" s="103">
        <v>5.6000000000000014</v>
      </c>
      <c r="Y8" s="103">
        <v>47.87</v>
      </c>
      <c r="Z8" s="103">
        <v>1.6700000000000017</v>
      </c>
      <c r="AA8" s="103">
        <v>77.400000000000006</v>
      </c>
      <c r="AB8" s="103">
        <v>-64.3</v>
      </c>
      <c r="AC8" s="201">
        <v>-41.671753333333328</v>
      </c>
    </row>
    <row r="9" spans="1:29" x14ac:dyDescent="0.3">
      <c r="A9" s="103" t="s">
        <v>46</v>
      </c>
      <c r="B9" s="103">
        <v>3</v>
      </c>
      <c r="C9" s="103">
        <v>1</v>
      </c>
      <c r="D9" s="103">
        <v>3</v>
      </c>
      <c r="E9" s="103" t="s">
        <v>253</v>
      </c>
      <c r="F9" s="103">
        <v>1.0872793333333333</v>
      </c>
      <c r="G9" s="103">
        <v>-11.768600000000003</v>
      </c>
      <c r="H9" s="103">
        <v>168.5</v>
      </c>
      <c r="I9" s="103">
        <v>75.400000000000006</v>
      </c>
      <c r="J9" s="103">
        <v>25.714285714285712</v>
      </c>
      <c r="K9" s="103">
        <v>126.1352169525732</v>
      </c>
      <c r="L9" s="103">
        <v>23</v>
      </c>
      <c r="M9" s="103">
        <v>64.520019543078703</v>
      </c>
      <c r="N9" s="103">
        <v>42.545949625595611</v>
      </c>
      <c r="O9" s="103">
        <v>52.870523527181341</v>
      </c>
      <c r="P9" s="103">
        <v>49.210881469075986</v>
      </c>
      <c r="Q9" s="103">
        <v>43.669869986261133</v>
      </c>
      <c r="R9" s="103">
        <v>1.44984E-2</v>
      </c>
      <c r="S9" s="103">
        <v>1.8399999999999892</v>
      </c>
      <c r="T9" s="103">
        <v>-4.5776361111111026</v>
      </c>
      <c r="U9" s="103">
        <v>253.46853146853147</v>
      </c>
      <c r="V9" s="103">
        <v>0.35</v>
      </c>
      <c r="W9" s="103">
        <v>57.2</v>
      </c>
      <c r="X9" s="103">
        <v>5.2659999999999911</v>
      </c>
      <c r="Y9" s="103">
        <v>102.5</v>
      </c>
      <c r="Z9" s="103">
        <v>0.71000000000000085</v>
      </c>
      <c r="AA9" s="103">
        <v>81.2</v>
      </c>
      <c r="AB9" s="103">
        <v>-65</v>
      </c>
      <c r="AC9" s="201">
        <v>-36.278273333333338</v>
      </c>
    </row>
    <row r="10" spans="1:29" x14ac:dyDescent="0.3">
      <c r="A10" s="103" t="s">
        <v>48</v>
      </c>
      <c r="B10" s="103">
        <v>3</v>
      </c>
      <c r="C10" s="103">
        <v>1</v>
      </c>
      <c r="D10" s="103">
        <v>3</v>
      </c>
      <c r="E10" s="103" t="s">
        <v>253</v>
      </c>
      <c r="F10" s="103">
        <v>1.0085</v>
      </c>
      <c r="G10" s="103">
        <v>13.964</v>
      </c>
      <c r="H10" s="103">
        <v>172.4</v>
      </c>
      <c r="I10" s="103">
        <v>81.2</v>
      </c>
      <c r="J10" s="103">
        <v>23.157894736842106</v>
      </c>
      <c r="K10" s="103">
        <v>120.90436464756397</v>
      </c>
      <c r="L10" s="103">
        <v>25</v>
      </c>
      <c r="M10" s="103">
        <v>65.088670630613294</v>
      </c>
      <c r="N10" s="103">
        <v>49.171460884102892</v>
      </c>
      <c r="O10" s="103">
        <v>53.866809457974156</v>
      </c>
      <c r="P10" s="103">
        <v>62.932021233446413</v>
      </c>
      <c r="Q10" s="103">
        <v>52.41660982921735</v>
      </c>
      <c r="R10" s="103">
        <v>1.42325E-2</v>
      </c>
      <c r="S10" s="103">
        <v>2.5499999999999972</v>
      </c>
      <c r="T10" s="103">
        <v>-2.7020781249999999</v>
      </c>
      <c r="U10" s="103">
        <v>286.36799999999999</v>
      </c>
      <c r="V10" s="103">
        <v>0.48</v>
      </c>
      <c r="W10" s="103">
        <v>49.699999999999996</v>
      </c>
      <c r="X10" s="103">
        <v>5.3800000000000026</v>
      </c>
      <c r="Y10" s="103">
        <v>78.185000000000002</v>
      </c>
      <c r="Z10" s="103">
        <v>0.90999999999999659</v>
      </c>
      <c r="AA10" s="103">
        <v>74.58</v>
      </c>
      <c r="AB10" s="103">
        <v>-63.9</v>
      </c>
      <c r="AC10" s="201">
        <v>-29.991653333333335</v>
      </c>
    </row>
    <row r="11" spans="1:29" x14ac:dyDescent="0.3">
      <c r="A11" s="103" t="s">
        <v>50</v>
      </c>
      <c r="B11" s="103">
        <v>3</v>
      </c>
      <c r="C11" s="103">
        <v>1</v>
      </c>
      <c r="D11" s="103">
        <v>3</v>
      </c>
      <c r="E11" s="103" t="s">
        <v>253</v>
      </c>
      <c r="F11" s="103">
        <v>1.4664000000000001</v>
      </c>
      <c r="G11" s="103">
        <v>-10.903752941176469</v>
      </c>
      <c r="H11" s="103">
        <v>135.6</v>
      </c>
      <c r="I11" s="103">
        <v>47.8</v>
      </c>
      <c r="J11" s="103">
        <v>73.333333333333343</v>
      </c>
      <c r="K11" s="103">
        <v>103.45541071798058</v>
      </c>
      <c r="L11" s="103">
        <v>20</v>
      </c>
      <c r="M11" s="103">
        <v>329.65412360409596</v>
      </c>
      <c r="N11" s="103">
        <v>35.273368606701915</v>
      </c>
      <c r="O11" s="103">
        <v>157.57325641699643</v>
      </c>
      <c r="P11" s="103">
        <v>64.483783630286567</v>
      </c>
      <c r="Q11" s="103">
        <v>144.65740273586241</v>
      </c>
      <c r="R11" s="103">
        <v>2.8678700000000001E-2</v>
      </c>
      <c r="S11" s="103">
        <v>15.050000000000011</v>
      </c>
      <c r="T11" s="103">
        <v>-14.128508641975325</v>
      </c>
      <c r="U11" s="103">
        <v>151.65891062929668</v>
      </c>
      <c r="V11" s="103">
        <v>0.09</v>
      </c>
      <c r="W11" s="103">
        <v>189.1</v>
      </c>
      <c r="X11" s="103">
        <v>0.56000000000000227</v>
      </c>
      <c r="Y11" s="103">
        <v>18.055</v>
      </c>
      <c r="Z11" s="103">
        <v>1.6559999999999988</v>
      </c>
      <c r="AA11" s="103">
        <v>77</v>
      </c>
      <c r="AB11" s="103">
        <v>-65</v>
      </c>
      <c r="AC11" s="201">
        <v>-37.178731818181809</v>
      </c>
    </row>
    <row r="12" spans="1:29" x14ac:dyDescent="0.3">
      <c r="A12" s="103" t="s">
        <v>55</v>
      </c>
      <c r="B12" s="103">
        <v>3</v>
      </c>
      <c r="C12" s="103">
        <v>1</v>
      </c>
      <c r="D12" s="103">
        <v>3</v>
      </c>
      <c r="E12" s="103" t="s">
        <v>253</v>
      </c>
      <c r="F12" s="103">
        <v>1.0732326086956518</v>
      </c>
      <c r="G12" s="103">
        <v>-9.1303045454545479</v>
      </c>
      <c r="H12" s="103">
        <v>154.5</v>
      </c>
      <c r="I12" s="103">
        <v>69.3</v>
      </c>
      <c r="J12" s="103">
        <v>16.19047619047619</v>
      </c>
      <c r="K12" s="103">
        <v>104.3841336116912</v>
      </c>
      <c r="L12" s="103">
        <v>21</v>
      </c>
      <c r="M12" s="103">
        <v>86.190067931890027</v>
      </c>
      <c r="N12" s="103">
        <v>39.536630688332728</v>
      </c>
      <c r="O12" s="103">
        <v>29.828993252302599</v>
      </c>
      <c r="P12" s="103">
        <v>43.006410260326511</v>
      </c>
      <c r="Q12" s="103">
        <v>24.539168222284086</v>
      </c>
      <c r="R12" s="103">
        <v>1.0788499999999999E-2</v>
      </c>
      <c r="S12" s="103">
        <v>3.2600000000000051</v>
      </c>
      <c r="T12" s="103">
        <v>-2.543131250000001</v>
      </c>
      <c r="U12" s="103">
        <v>204.71537001897531</v>
      </c>
      <c r="V12" s="103">
        <v>0.55000000000000004</v>
      </c>
      <c r="W12" s="103">
        <v>52.7</v>
      </c>
      <c r="X12" s="103">
        <v>5.6000000000000014</v>
      </c>
      <c r="Y12" s="103">
        <v>88.084999999999994</v>
      </c>
      <c r="Z12" s="103">
        <v>1.0000000000000001E-5</v>
      </c>
      <c r="AA12" s="103">
        <v>63.131582608695652</v>
      </c>
      <c r="AB12" s="103">
        <v>-63.1</v>
      </c>
      <c r="AC12" s="201">
        <v>-24.623704347826088</v>
      </c>
    </row>
    <row r="13" spans="1:29" x14ac:dyDescent="0.3">
      <c r="A13" s="103" t="s">
        <v>58</v>
      </c>
      <c r="B13" s="103">
        <v>3</v>
      </c>
      <c r="C13" s="103">
        <v>1</v>
      </c>
      <c r="D13" s="103">
        <v>3</v>
      </c>
      <c r="E13" s="103" t="s">
        <v>253</v>
      </c>
      <c r="F13" s="103">
        <v>1.0503516666666666</v>
      </c>
      <c r="G13" s="103">
        <v>-4.032524137931035</v>
      </c>
      <c r="H13" s="103">
        <v>163.5</v>
      </c>
      <c r="I13" s="103">
        <v>74.8</v>
      </c>
      <c r="J13" s="103">
        <v>18.75</v>
      </c>
      <c r="K13" s="103">
        <v>94.759783947692625</v>
      </c>
      <c r="L13" s="103">
        <v>21</v>
      </c>
      <c r="M13" s="103">
        <v>106.4965862578288</v>
      </c>
      <c r="N13" s="103">
        <v>41.464527097068526</v>
      </c>
      <c r="O13" s="103">
        <v>37.047598037090623</v>
      </c>
      <c r="P13" s="103">
        <v>41.962914740784115</v>
      </c>
      <c r="Q13" s="103">
        <v>33.046600065584236</v>
      </c>
      <c r="R13" s="103">
        <v>9.2183600000000001E-3</v>
      </c>
      <c r="S13" s="103">
        <v>1E-4</v>
      </c>
      <c r="T13" s="103">
        <v>-0.96371228070176251</v>
      </c>
      <c r="U13" s="103">
        <v>223.20484261501213</v>
      </c>
      <c r="V13" s="103">
        <v>0.46</v>
      </c>
      <c r="W13" s="103">
        <v>41.3</v>
      </c>
      <c r="X13" s="103">
        <v>6.1800000000000068</v>
      </c>
      <c r="Y13" s="103">
        <v>82.45</v>
      </c>
      <c r="Z13" s="103">
        <v>1.0000000000000001E-5</v>
      </c>
      <c r="AA13" s="103">
        <v>63.138836666666656</v>
      </c>
      <c r="AB13" s="103">
        <v>-63.19</v>
      </c>
      <c r="AC13" s="201">
        <v>-34.293623333333322</v>
      </c>
    </row>
    <row r="14" spans="1:29" x14ac:dyDescent="0.3">
      <c r="A14" s="103" t="s">
        <v>61</v>
      </c>
      <c r="B14" s="103">
        <v>3</v>
      </c>
      <c r="C14" s="103">
        <v>1</v>
      </c>
      <c r="D14" s="103">
        <v>3</v>
      </c>
      <c r="E14" s="103" t="s">
        <v>253</v>
      </c>
      <c r="F14" s="103">
        <v>0.95915493333333335</v>
      </c>
      <c r="G14" s="103">
        <v>-9.5256931034482779</v>
      </c>
      <c r="H14" s="103">
        <v>148.16</v>
      </c>
      <c r="I14" s="103">
        <v>78.959999999999994</v>
      </c>
      <c r="J14" s="103">
        <v>15</v>
      </c>
      <c r="K14" s="103">
        <v>131.09596224436262</v>
      </c>
      <c r="L14" s="103">
        <v>26</v>
      </c>
      <c r="M14" s="103">
        <v>128.63979023999968</v>
      </c>
      <c r="N14" s="103">
        <v>48.787627457676834</v>
      </c>
      <c r="O14" s="103">
        <v>35.00851938935385</v>
      </c>
      <c r="P14" s="103">
        <v>53.904474963360116</v>
      </c>
      <c r="Q14" s="103">
        <v>28.918192264944416</v>
      </c>
      <c r="R14" s="103">
        <v>6.0709800000000001E-3</v>
      </c>
      <c r="S14" s="103">
        <v>1E-4</v>
      </c>
      <c r="T14" s="103">
        <v>0.50862708333333884</v>
      </c>
      <c r="U14" s="103">
        <v>152.658910629297</v>
      </c>
      <c r="V14" s="103">
        <v>1.25</v>
      </c>
      <c r="W14" s="103">
        <v>23.9</v>
      </c>
      <c r="X14" s="103">
        <v>4.32</v>
      </c>
      <c r="Y14" s="103">
        <v>57.7</v>
      </c>
      <c r="Z14" s="103">
        <v>1.0000000000000001E-5</v>
      </c>
      <c r="AA14" s="103">
        <v>59.560143333333357</v>
      </c>
      <c r="AB14" s="103">
        <v>-68.900000000000006</v>
      </c>
      <c r="AC14" s="201">
        <v>-16.963699999999999</v>
      </c>
    </row>
    <row r="15" spans="1:29" x14ac:dyDescent="0.3">
      <c r="A15" s="103" t="s">
        <v>64</v>
      </c>
      <c r="B15" s="103">
        <v>3</v>
      </c>
      <c r="C15" s="103">
        <v>1</v>
      </c>
      <c r="D15" s="103">
        <v>3</v>
      </c>
      <c r="E15" s="103" t="s">
        <v>253</v>
      </c>
      <c r="F15" s="103">
        <v>1.1003613333333333</v>
      </c>
      <c r="G15" s="103">
        <v>-9.2478724137931021</v>
      </c>
      <c r="H15" s="103">
        <v>149.30000000000001</v>
      </c>
      <c r="I15" s="103">
        <v>72.8</v>
      </c>
      <c r="J15" s="103">
        <v>16.923076923076923</v>
      </c>
      <c r="K15" s="103">
        <v>128.98232942086909</v>
      </c>
      <c r="L15" s="103">
        <v>26</v>
      </c>
      <c r="M15" s="103">
        <v>91.481160293845761</v>
      </c>
      <c r="N15" s="103">
        <v>47.709923664122051</v>
      </c>
      <c r="O15" s="103">
        <v>32.287966252831055</v>
      </c>
      <c r="P15" s="103">
        <v>52.14115166923014</v>
      </c>
      <c r="Q15" s="103">
        <v>28.614095472321939</v>
      </c>
      <c r="R15" s="103">
        <v>1.6213399999999999E-2</v>
      </c>
      <c r="S15" s="103">
        <v>3.7199999999999989</v>
      </c>
      <c r="T15" s="103">
        <v>-2.6702885416666584</v>
      </c>
      <c r="U15" s="103">
        <v>229.6515580736544</v>
      </c>
      <c r="V15" s="103">
        <v>0.57999999999999996</v>
      </c>
      <c r="W15" s="103">
        <v>70.599999999999994</v>
      </c>
      <c r="X15" s="103">
        <v>4.9200000000000017</v>
      </c>
      <c r="Y15" s="103">
        <v>55</v>
      </c>
      <c r="Z15" s="103">
        <v>1.0000000000000001E-5</v>
      </c>
      <c r="AA15" s="103">
        <v>63.806149999999995</v>
      </c>
      <c r="AB15" s="103">
        <v>-66.5</v>
      </c>
      <c r="AC15" s="201">
        <v>-19.964603333333333</v>
      </c>
    </row>
    <row r="16" spans="1:29" x14ac:dyDescent="0.3">
      <c r="A16" s="103" t="s">
        <v>67</v>
      </c>
      <c r="B16" s="103">
        <v>3</v>
      </c>
      <c r="C16" s="103">
        <v>1</v>
      </c>
      <c r="D16" s="103">
        <v>3</v>
      </c>
      <c r="E16" s="103" t="s">
        <v>253</v>
      </c>
      <c r="F16" s="103">
        <v>0.90819736666666651</v>
      </c>
      <c r="G16" s="103">
        <v>-9.6688068965517218</v>
      </c>
      <c r="H16" s="103">
        <v>165.2</v>
      </c>
      <c r="I16" s="103">
        <v>84</v>
      </c>
      <c r="J16" s="103">
        <v>16.363636363636363</v>
      </c>
      <c r="K16" s="103">
        <v>114.42956860052632</v>
      </c>
      <c r="L16" s="103">
        <v>25</v>
      </c>
      <c r="M16" s="103">
        <v>91.621163991744851</v>
      </c>
      <c r="N16" s="103">
        <v>47.705371624844979</v>
      </c>
      <c r="O16" s="103">
        <v>33.57948829193321</v>
      </c>
      <c r="P16" s="103">
        <v>52.379576755619638</v>
      </c>
      <c r="Q16" s="103">
        <v>27.988092482965587</v>
      </c>
      <c r="R16" s="103">
        <v>1.43082E-2</v>
      </c>
      <c r="S16" s="103">
        <v>3.7000000000000171</v>
      </c>
      <c r="T16" s="103">
        <v>-2.0345062500000122</v>
      </c>
      <c r="U16" s="103">
        <v>444.07821229050279</v>
      </c>
      <c r="V16" s="103">
        <v>0.78</v>
      </c>
      <c r="W16" s="103">
        <v>32.22</v>
      </c>
      <c r="X16" s="103">
        <v>4.0600000000000023</v>
      </c>
      <c r="Y16" s="103">
        <v>53.715000000000003</v>
      </c>
      <c r="Z16" s="103">
        <v>1.0000000000000001E-5</v>
      </c>
      <c r="AA16" s="103">
        <v>60.386150000000015</v>
      </c>
      <c r="AB16" s="103">
        <v>-66.2</v>
      </c>
      <c r="AC16" s="201">
        <v>-34.230540000000005</v>
      </c>
    </row>
    <row r="17" spans="1:29" x14ac:dyDescent="0.3">
      <c r="A17" s="103" t="s">
        <v>71</v>
      </c>
      <c r="B17" s="103">
        <v>3</v>
      </c>
      <c r="C17" s="103">
        <v>1</v>
      </c>
      <c r="D17" s="103">
        <v>2</v>
      </c>
      <c r="E17" s="103" t="s">
        <v>253</v>
      </c>
      <c r="F17" s="103">
        <v>1.4320226666666671</v>
      </c>
      <c r="G17" s="103">
        <v>-8.5112551724137901</v>
      </c>
      <c r="H17" s="103">
        <v>126.8</v>
      </c>
      <c r="I17" s="103">
        <v>52.1</v>
      </c>
      <c r="J17" s="103">
        <v>44</v>
      </c>
      <c r="K17" s="103">
        <v>62.586055826761765</v>
      </c>
      <c r="L17" s="103">
        <v>15</v>
      </c>
      <c r="M17" s="103">
        <v>179.3050900469558</v>
      </c>
      <c r="N17" s="103">
        <v>27.057741219762956</v>
      </c>
      <c r="O17" s="103">
        <v>82.595498245948818</v>
      </c>
      <c r="P17" s="103">
        <v>31.007337360199497</v>
      </c>
      <c r="Q17" s="103">
        <v>68.605380947016997</v>
      </c>
      <c r="R17" s="103">
        <v>3.0579800000000001E-2</v>
      </c>
      <c r="S17" s="103">
        <v>14.389999999999986</v>
      </c>
      <c r="T17" s="103">
        <v>-27.514260317460295</v>
      </c>
      <c r="U17" s="103">
        <v>188.76419753086421</v>
      </c>
      <c r="V17" s="103">
        <v>0.13</v>
      </c>
      <c r="W17" s="103">
        <v>162</v>
      </c>
      <c r="X17" s="103">
        <v>1.9399999999999977</v>
      </c>
      <c r="Y17" s="103">
        <v>69.5</v>
      </c>
      <c r="Z17" s="103">
        <v>1.0000000000000001E-5</v>
      </c>
      <c r="AA17" s="103">
        <v>73.154700000000005</v>
      </c>
      <c r="AB17" s="103">
        <v>-79</v>
      </c>
      <c r="AC17" s="201">
        <v>-52.331533333333333</v>
      </c>
    </row>
    <row r="18" spans="1:29" x14ac:dyDescent="0.3">
      <c r="A18" s="103" t="s">
        <v>74</v>
      </c>
      <c r="B18" s="103">
        <v>3</v>
      </c>
      <c r="C18" s="103">
        <v>1</v>
      </c>
      <c r="D18" s="103">
        <v>3</v>
      </c>
      <c r="E18" s="103" t="s">
        <v>253</v>
      </c>
      <c r="F18" s="103">
        <v>1.6449433333333336</v>
      </c>
      <c r="G18" s="103">
        <v>-7.7430448275861998</v>
      </c>
      <c r="H18" s="103">
        <v>94.8</v>
      </c>
      <c r="I18" s="103">
        <v>48.9</v>
      </c>
      <c r="J18" s="103">
        <v>25.714285714285715</v>
      </c>
      <c r="K18" s="103">
        <v>76.103500761034923</v>
      </c>
      <c r="L18" s="103">
        <v>17</v>
      </c>
      <c r="M18" s="103">
        <v>139.57473569397817</v>
      </c>
      <c r="N18" s="103">
        <v>30.861339999382754</v>
      </c>
      <c r="O18" s="103">
        <v>56.973205659742888</v>
      </c>
      <c r="P18" s="103">
        <v>35.326528348875897</v>
      </c>
      <c r="Q18" s="103">
        <v>50.102981162931712</v>
      </c>
      <c r="R18" s="103">
        <v>2.3177E-2</v>
      </c>
      <c r="S18" s="103">
        <v>9.3100000000000023</v>
      </c>
      <c r="T18" s="103">
        <v>-11.608647058823523</v>
      </c>
      <c r="U18" s="103">
        <v>175.58333333333334</v>
      </c>
      <c r="V18" s="103">
        <v>0.13</v>
      </c>
      <c r="W18" s="103">
        <v>132</v>
      </c>
      <c r="X18" s="103">
        <v>8.8500000000000085</v>
      </c>
      <c r="Y18" s="103">
        <v>92.78</v>
      </c>
      <c r="Z18" s="103">
        <v>0.74000000000000199</v>
      </c>
      <c r="AA18" s="103">
        <v>64.003489999999999</v>
      </c>
      <c r="AB18" s="103">
        <v>-60</v>
      </c>
      <c r="AC18" s="201">
        <v>-36.942546666666665</v>
      </c>
    </row>
    <row r="19" spans="1:29" x14ac:dyDescent="0.3">
      <c r="A19" s="197" t="s">
        <v>92</v>
      </c>
      <c r="B19" s="197">
        <v>7</v>
      </c>
      <c r="C19" s="197">
        <v>1</v>
      </c>
      <c r="D19" s="197">
        <v>7</v>
      </c>
      <c r="E19" s="197" t="s">
        <v>255</v>
      </c>
      <c r="F19" s="197">
        <v>0.85354328125000023</v>
      </c>
      <c r="G19" s="197">
        <v>-14.59503125</v>
      </c>
      <c r="H19" s="197">
        <v>201.2</v>
      </c>
      <c r="I19" s="197">
        <v>85.1</v>
      </c>
      <c r="J19" s="197">
        <v>15.333333333333336</v>
      </c>
      <c r="K19" s="197">
        <v>164.20361247947449</v>
      </c>
      <c r="L19" s="197">
        <v>33</v>
      </c>
      <c r="M19" s="197">
        <v>93.107800027986585</v>
      </c>
      <c r="N19" s="197">
        <v>59.790732436472268</v>
      </c>
      <c r="O19" s="197">
        <v>30.594778517907262</v>
      </c>
      <c r="P19" s="197">
        <v>67.82680431808339</v>
      </c>
      <c r="Q19" s="197">
        <v>24.487295037195999</v>
      </c>
      <c r="R19" s="197">
        <v>1.04457E-2</v>
      </c>
      <c r="S19" s="197">
        <v>1.8999999999999915</v>
      </c>
      <c r="T19" s="197"/>
      <c r="U19" s="197">
        <v>503.40722891566264</v>
      </c>
      <c r="V19" s="197">
        <v>1.05</v>
      </c>
      <c r="W19" s="197">
        <v>20.75</v>
      </c>
      <c r="X19" s="197"/>
      <c r="Y19" s="197"/>
      <c r="Z19" s="197"/>
      <c r="AA19" s="197">
        <v>72.8</v>
      </c>
      <c r="AB19" s="197">
        <v>-64</v>
      </c>
      <c r="AC19" s="197">
        <v>-41.667462499999999</v>
      </c>
    </row>
    <row r="20" spans="1:29" x14ac:dyDescent="0.3">
      <c r="A20" s="197" t="s">
        <v>94</v>
      </c>
      <c r="B20" s="197">
        <v>7</v>
      </c>
      <c r="C20" s="197">
        <v>1</v>
      </c>
      <c r="D20" s="197">
        <v>7</v>
      </c>
      <c r="E20" s="197" t="s">
        <v>255</v>
      </c>
      <c r="F20" s="197">
        <v>0.89785375000000001</v>
      </c>
      <c r="G20" s="197">
        <v>-11.662166666666661</v>
      </c>
      <c r="H20" s="197">
        <v>204.3</v>
      </c>
      <c r="I20" s="197">
        <v>67.2</v>
      </c>
      <c r="J20" s="197">
        <v>14.285714285714285</v>
      </c>
      <c r="K20" s="197">
        <v>130.17443374121291</v>
      </c>
      <c r="L20" s="197">
        <v>22</v>
      </c>
      <c r="M20" s="197">
        <v>89.822804179646127</v>
      </c>
      <c r="N20" s="197">
        <v>44.712720769058777</v>
      </c>
      <c r="O20" s="197">
        <v>28.408267329918264</v>
      </c>
      <c r="P20" s="197">
        <v>46.250157601404325</v>
      </c>
      <c r="Q20" s="197">
        <v>24.759167853755901</v>
      </c>
      <c r="R20" s="197">
        <v>1.5667299999999999E-2</v>
      </c>
      <c r="S20" s="197">
        <v>1.1400000000000006</v>
      </c>
      <c r="T20" s="197">
        <v>-12.363533333333338</v>
      </c>
      <c r="U20" s="197">
        <v>716.21942857142847</v>
      </c>
      <c r="V20" s="197">
        <v>0.5</v>
      </c>
      <c r="W20" s="197">
        <v>21.875</v>
      </c>
      <c r="X20" s="197"/>
      <c r="Y20" s="197"/>
      <c r="Z20" s="197"/>
      <c r="AA20" s="197">
        <v>67.699999999999989</v>
      </c>
      <c r="AB20" s="197">
        <v>-62</v>
      </c>
      <c r="AC20" s="197">
        <v>-38.337704166666668</v>
      </c>
    </row>
    <row r="21" spans="1:29" x14ac:dyDescent="0.3">
      <c r="A21" s="197" t="s">
        <v>96</v>
      </c>
      <c r="B21" s="197">
        <v>7</v>
      </c>
      <c r="C21" s="197">
        <v>1</v>
      </c>
      <c r="D21" s="197">
        <v>7</v>
      </c>
      <c r="E21" s="197" t="s">
        <v>255</v>
      </c>
      <c r="F21" s="197">
        <v>1.0411362500000001</v>
      </c>
      <c r="G21" s="197">
        <v>-15.12655</v>
      </c>
      <c r="H21" s="197">
        <v>156.5</v>
      </c>
      <c r="I21" s="197">
        <v>63.6</v>
      </c>
      <c r="J21" s="197">
        <v>32.5</v>
      </c>
      <c r="K21" s="197">
        <v>145.39110206455391</v>
      </c>
      <c r="L21" s="197">
        <v>29</v>
      </c>
      <c r="M21" s="197">
        <v>220.72595956457496</v>
      </c>
      <c r="N21" s="197">
        <v>51.91568892119183</v>
      </c>
      <c r="O21" s="197">
        <v>62.666871756337102</v>
      </c>
      <c r="P21" s="197">
        <v>61.547871404943301</v>
      </c>
      <c r="Q21" s="197">
        <v>47.377577274447994</v>
      </c>
      <c r="R21" s="197">
        <v>1.1673299999999999E-2</v>
      </c>
      <c r="S21" s="197">
        <v>4</v>
      </c>
      <c r="T21" s="197">
        <v>-1.2998222222222204</v>
      </c>
      <c r="U21" s="197">
        <v>279.18206278026906</v>
      </c>
      <c r="V21" s="197">
        <v>0.4</v>
      </c>
      <c r="W21" s="197">
        <v>41.8125</v>
      </c>
      <c r="X21" s="197"/>
      <c r="Y21" s="197"/>
      <c r="Z21" s="197"/>
      <c r="AA21" s="197">
        <v>65.900000000000006</v>
      </c>
      <c r="AB21" s="197">
        <v>-64</v>
      </c>
      <c r="AC21" s="197">
        <v>-33.201845833333337</v>
      </c>
    </row>
    <row r="22" spans="1:29" x14ac:dyDescent="0.3">
      <c r="A22" s="197" t="s">
        <v>98</v>
      </c>
      <c r="B22" s="197">
        <v>7</v>
      </c>
      <c r="C22" s="197">
        <v>1</v>
      </c>
      <c r="D22" s="197">
        <v>7</v>
      </c>
      <c r="E22" s="197" t="s">
        <v>255</v>
      </c>
      <c r="F22" s="197">
        <v>0.82788986666666664</v>
      </c>
      <c r="G22" s="197">
        <v>-15.2888</v>
      </c>
      <c r="H22" s="197">
        <v>160.4</v>
      </c>
      <c r="I22" s="197">
        <v>83.8</v>
      </c>
      <c r="J22" s="197">
        <v>18.947368421052634</v>
      </c>
      <c r="K22" s="197">
        <v>172.9206294310915</v>
      </c>
      <c r="L22" s="197">
        <v>41</v>
      </c>
      <c r="M22" s="197">
        <v>79.62169903303689</v>
      </c>
      <c r="N22" s="197">
        <v>97.087378640776592</v>
      </c>
      <c r="O22" s="197">
        <v>36.625405681703455</v>
      </c>
      <c r="P22" s="197">
        <v>84.429611687116349</v>
      </c>
      <c r="Q22" s="197">
        <v>28.168751979827512</v>
      </c>
      <c r="R22" s="197">
        <v>9.51252E-3</v>
      </c>
      <c r="S22" s="197">
        <v>3.3999999999999915</v>
      </c>
      <c r="T22" s="197">
        <v>0.64131014492753569</v>
      </c>
      <c r="U22" s="197">
        <v>272.76043010752687</v>
      </c>
      <c r="V22" s="197">
        <v>0.6</v>
      </c>
      <c r="W22" s="197">
        <v>34.875</v>
      </c>
      <c r="X22" s="197"/>
      <c r="Y22" s="197"/>
      <c r="Z22" s="197"/>
      <c r="AA22" s="197">
        <v>62.8</v>
      </c>
      <c r="AB22" s="197">
        <v>-58</v>
      </c>
      <c r="AC22" s="197">
        <v>-27.154033333333341</v>
      </c>
    </row>
    <row r="23" spans="1:29" x14ac:dyDescent="0.3">
      <c r="A23" s="197" t="s">
        <v>100</v>
      </c>
      <c r="B23" s="197">
        <v>7</v>
      </c>
      <c r="C23" s="197">
        <v>1</v>
      </c>
      <c r="D23" s="197">
        <v>6</v>
      </c>
      <c r="E23" s="197" t="s">
        <v>255</v>
      </c>
      <c r="F23" s="197">
        <v>0.94244819999999985</v>
      </c>
      <c r="G23" s="197">
        <v>-11.547836666666671</v>
      </c>
      <c r="H23" s="197">
        <v>137.5</v>
      </c>
      <c r="I23" s="197">
        <v>74.900000000000006</v>
      </c>
      <c r="J23" s="197">
        <v>18.399999999999995</v>
      </c>
      <c r="K23" s="197">
        <v>174.52006980802739</v>
      </c>
      <c r="L23" s="197">
        <v>33</v>
      </c>
      <c r="M23" s="197">
        <v>114.95902226201872</v>
      </c>
      <c r="N23" s="197">
        <v>67.186240257995607</v>
      </c>
      <c r="O23" s="197">
        <v>38.713859620860525</v>
      </c>
      <c r="P23" s="197">
        <v>67.83977763523896</v>
      </c>
      <c r="Q23" s="197">
        <v>36.370032782164245</v>
      </c>
      <c r="R23" s="197">
        <v>7.4446499999999997E-3</v>
      </c>
      <c r="S23" s="197">
        <v>1E-4</v>
      </c>
      <c r="T23" s="197">
        <v>0.79611159420290156</v>
      </c>
      <c r="U23" s="197">
        <v>588.97547468354423</v>
      </c>
      <c r="V23" s="197">
        <v>0.28999999999999998</v>
      </c>
      <c r="W23" s="197">
        <v>12.64</v>
      </c>
      <c r="X23" s="197"/>
      <c r="Y23" s="197"/>
      <c r="Z23" s="197"/>
      <c r="AA23" s="197">
        <v>59.099999999999994</v>
      </c>
      <c r="AB23" s="197">
        <v>-64.5</v>
      </c>
      <c r="AC23" s="197">
        <v>-22.328703333333337</v>
      </c>
    </row>
    <row r="24" spans="1:29" x14ac:dyDescent="0.3">
      <c r="A24" s="197" t="s">
        <v>103</v>
      </c>
      <c r="B24" s="197">
        <v>7</v>
      </c>
      <c r="C24" s="197">
        <v>1</v>
      </c>
      <c r="D24" s="197">
        <v>6</v>
      </c>
      <c r="E24" s="197" t="s">
        <v>255</v>
      </c>
      <c r="F24" s="197">
        <v>0.86277386666666678</v>
      </c>
      <c r="G24" s="197">
        <v>-7.6014200000000036</v>
      </c>
      <c r="H24" s="197">
        <v>181.1</v>
      </c>
      <c r="I24" s="197">
        <v>83.6</v>
      </c>
      <c r="J24" s="197">
        <v>23.750000000000004</v>
      </c>
      <c r="K24" s="197">
        <v>165.8374792703151</v>
      </c>
      <c r="L24" s="197">
        <v>25</v>
      </c>
      <c r="M24" s="197">
        <v>153.19232621348488</v>
      </c>
      <c r="N24" s="197">
        <v>47.993856786331321</v>
      </c>
      <c r="O24" s="197">
        <v>52.072217900409619</v>
      </c>
      <c r="P24" s="197">
        <v>54.430114286745535</v>
      </c>
      <c r="Q24" s="197">
        <v>39.128998786205948</v>
      </c>
      <c r="R24" s="197">
        <v>1.5173300000000001E-2</v>
      </c>
      <c r="S24" s="197">
        <v>1.7000000000000028</v>
      </c>
      <c r="T24" s="197">
        <v>-0.58810000000000251</v>
      </c>
      <c r="U24" s="197">
        <v>358.89540078843629</v>
      </c>
      <c r="V24" s="197">
        <v>0.56000000000000005</v>
      </c>
      <c r="W24" s="197">
        <v>42.277777777777779</v>
      </c>
      <c r="X24" s="197"/>
      <c r="Y24" s="197"/>
      <c r="Z24" s="197"/>
      <c r="AA24" s="197">
        <v>69.599999999999994</v>
      </c>
      <c r="AB24" s="197">
        <v>-65</v>
      </c>
      <c r="AC24" s="197">
        <v>-33.838403333333332</v>
      </c>
    </row>
    <row r="25" spans="1:29" x14ac:dyDescent="0.3">
      <c r="A25" s="197" t="s">
        <v>105</v>
      </c>
      <c r="B25" s="197">
        <v>7</v>
      </c>
      <c r="C25" s="197">
        <v>1</v>
      </c>
      <c r="D25" s="197">
        <v>6</v>
      </c>
      <c r="E25" s="197" t="s">
        <v>255</v>
      </c>
      <c r="F25" s="197">
        <v>0.83984700000000001</v>
      </c>
      <c r="G25" s="197">
        <v>-8.0092285714285705</v>
      </c>
      <c r="H25" s="197">
        <v>181.5</v>
      </c>
      <c r="I25" s="197">
        <v>84.3</v>
      </c>
      <c r="J25" s="197">
        <v>53.333333333333364</v>
      </c>
      <c r="K25" s="197">
        <v>173.2501732501735</v>
      </c>
      <c r="L25" s="197">
        <v>23</v>
      </c>
      <c r="M25" s="197">
        <v>502.25919700449703</v>
      </c>
      <c r="N25" s="197">
        <v>47.553378667554341</v>
      </c>
      <c r="O25" s="197">
        <v>114.69888086864935</v>
      </c>
      <c r="P25" s="197">
        <v>54.994720900264433</v>
      </c>
      <c r="Q25" s="197">
        <v>84.633564920347979</v>
      </c>
      <c r="R25" s="197">
        <v>5.9754700000000001E-3</v>
      </c>
      <c r="S25" s="197">
        <v>0.01</v>
      </c>
      <c r="T25" s="197">
        <v>-0.27020833333333272</v>
      </c>
      <c r="U25" s="197">
        <v>262.08201754385965</v>
      </c>
      <c r="V25" s="197">
        <v>1.1499999999999999</v>
      </c>
      <c r="W25" s="197">
        <v>22.8</v>
      </c>
      <c r="X25" s="197"/>
      <c r="Y25" s="197"/>
      <c r="Z25" s="197"/>
      <c r="AA25" s="197">
        <v>71.5</v>
      </c>
      <c r="AB25" s="197">
        <v>-67</v>
      </c>
      <c r="AC25" s="197">
        <v>-29.879428571428576</v>
      </c>
    </row>
    <row r="26" spans="1:29" x14ac:dyDescent="0.3">
      <c r="A26" s="197" t="s">
        <v>111</v>
      </c>
      <c r="B26" s="197">
        <v>7</v>
      </c>
      <c r="C26" s="197">
        <v>1</v>
      </c>
      <c r="D26" s="197">
        <v>6</v>
      </c>
      <c r="E26" s="197" t="s">
        <v>255</v>
      </c>
      <c r="F26" s="197">
        <v>0.90103379166666686</v>
      </c>
      <c r="G26" s="197">
        <v>-9.4670869565217419</v>
      </c>
      <c r="H26" s="197">
        <v>168.6</v>
      </c>
      <c r="I26" s="197">
        <v>86.8</v>
      </c>
      <c r="J26" s="197"/>
      <c r="K26" s="197">
        <v>154.15446277169735</v>
      </c>
      <c r="L26" s="197">
        <v>24</v>
      </c>
      <c r="M26" s="197">
        <v>101.30311766848808</v>
      </c>
      <c r="N26" s="197">
        <v>50.466818067120727</v>
      </c>
      <c r="O26" s="197">
        <v>26.983517277889138</v>
      </c>
      <c r="P26" s="197">
        <v>50.812862502335065</v>
      </c>
      <c r="Q26" s="197">
        <v>22.27579140876891</v>
      </c>
      <c r="R26" s="197">
        <v>1.10486E-2</v>
      </c>
      <c r="S26" s="197">
        <v>3.2600000000000051</v>
      </c>
      <c r="T26" s="197">
        <v>-3.083546875000017</v>
      </c>
      <c r="U26" s="197">
        <v>346.3510971786834</v>
      </c>
      <c r="V26" s="197">
        <v>0.54</v>
      </c>
      <c r="W26" s="197">
        <v>31.9</v>
      </c>
      <c r="X26" s="197"/>
      <c r="Y26" s="197"/>
      <c r="Z26" s="197"/>
      <c r="AA26" s="197">
        <v>70.599999999999994</v>
      </c>
      <c r="AB26" s="197">
        <v>-65</v>
      </c>
      <c r="AC26" s="197">
        <v>-36.27395416666667</v>
      </c>
    </row>
    <row r="27" spans="1:29" x14ac:dyDescent="0.3">
      <c r="A27" s="197" t="s">
        <v>113</v>
      </c>
      <c r="B27" s="197">
        <v>7</v>
      </c>
      <c r="C27" s="197">
        <v>1</v>
      </c>
      <c r="D27" s="197">
        <v>6</v>
      </c>
      <c r="E27" s="197" t="s">
        <v>255</v>
      </c>
      <c r="F27" s="197">
        <v>0.77972688000000023</v>
      </c>
      <c r="G27" s="197">
        <v>-12.746179166666666</v>
      </c>
      <c r="H27" s="197">
        <v>244.2</v>
      </c>
      <c r="I27" s="197">
        <v>98.8</v>
      </c>
      <c r="J27" s="197">
        <v>22.5</v>
      </c>
      <c r="K27" s="197">
        <v>167.1961210499918</v>
      </c>
      <c r="L27" s="197">
        <v>31</v>
      </c>
      <c r="M27" s="197">
        <v>40.077363051260804</v>
      </c>
      <c r="N27" s="197">
        <v>72.679700559633616</v>
      </c>
      <c r="O27" s="197">
        <v>39.645510050324461</v>
      </c>
      <c r="P27" s="197">
        <v>61.093140904024487</v>
      </c>
      <c r="Q27" s="197">
        <v>41.340920929796226</v>
      </c>
      <c r="R27" s="197">
        <v>6.9324299999999998E-3</v>
      </c>
      <c r="S27" s="197">
        <v>1.0074906297634025</v>
      </c>
      <c r="T27" s="197">
        <v>-1.8407428571428739</v>
      </c>
      <c r="U27" s="197">
        <v>288.85125000000005</v>
      </c>
      <c r="V27" s="197">
        <v>0.84</v>
      </c>
      <c r="W27" s="197">
        <v>23.999999999999996</v>
      </c>
      <c r="X27" s="197"/>
      <c r="Y27" s="197"/>
      <c r="Z27" s="197"/>
      <c r="AA27" s="197">
        <v>74.099999999999994</v>
      </c>
      <c r="AB27" s="197">
        <v>-67.5</v>
      </c>
      <c r="AC27" s="197">
        <v>-45.042724</v>
      </c>
    </row>
    <row r="28" spans="1:29" x14ac:dyDescent="0.3">
      <c r="A28" s="197" t="s">
        <v>115</v>
      </c>
      <c r="B28" s="197">
        <v>7</v>
      </c>
      <c r="C28" s="197">
        <v>1</v>
      </c>
      <c r="D28" s="197">
        <v>7</v>
      </c>
      <c r="E28" s="197" t="s">
        <v>255</v>
      </c>
      <c r="F28" s="197">
        <v>1.176507391304348</v>
      </c>
      <c r="G28" s="197">
        <v>-11.486809999999997</v>
      </c>
      <c r="H28" s="197">
        <v>191.2</v>
      </c>
      <c r="I28" s="197">
        <v>62.4</v>
      </c>
      <c r="J28" s="197">
        <v>25.714285714285715</v>
      </c>
      <c r="K28" s="197">
        <v>153.35071308081615</v>
      </c>
      <c r="L28" s="197">
        <v>26</v>
      </c>
      <c r="M28" s="197">
        <v>55.080441876844034</v>
      </c>
      <c r="N28" s="197">
        <v>54.972239019295337</v>
      </c>
      <c r="O28" s="197">
        <v>46.940247543881831</v>
      </c>
      <c r="P28" s="197">
        <v>60.524538518363201</v>
      </c>
      <c r="Q28" s="197">
        <v>45.865173476381344</v>
      </c>
      <c r="R28" s="197">
        <v>2.1326399999999999E-2</v>
      </c>
      <c r="S28" s="197">
        <v>5.5</v>
      </c>
      <c r="T28" s="197">
        <v>-5.2036384615384632</v>
      </c>
      <c r="U28" s="197">
        <v>245.13103448275859</v>
      </c>
      <c r="V28" s="197">
        <v>0.1</v>
      </c>
      <c r="W28" s="197">
        <v>87</v>
      </c>
      <c r="X28" s="197"/>
      <c r="Y28" s="197"/>
      <c r="Z28" s="197"/>
      <c r="AA28" s="197">
        <v>70.122773913043474</v>
      </c>
      <c r="AB28" s="197">
        <v>-60</v>
      </c>
      <c r="AC28" s="197">
        <v>-39.995286956521738</v>
      </c>
    </row>
    <row r="29" spans="1:29" x14ac:dyDescent="0.3">
      <c r="A29" s="197" t="s">
        <v>117</v>
      </c>
      <c r="B29" s="197">
        <v>7</v>
      </c>
      <c r="C29" s="197">
        <v>1</v>
      </c>
      <c r="D29" s="197">
        <v>7</v>
      </c>
      <c r="E29" s="197" t="s">
        <v>255</v>
      </c>
      <c r="F29" s="197">
        <v>1.4718652173913045</v>
      </c>
      <c r="G29" s="197">
        <v>-12.984552173913041</v>
      </c>
      <c r="H29" s="197">
        <v>147.1</v>
      </c>
      <c r="I29" s="197">
        <v>57.1</v>
      </c>
      <c r="J29" s="197">
        <v>30</v>
      </c>
      <c r="K29" s="197">
        <v>66.56460094521735</v>
      </c>
      <c r="L29" s="197">
        <v>18</v>
      </c>
      <c r="M29" s="197">
        <v>121.01063912335957</v>
      </c>
      <c r="N29" s="197">
        <v>31.245117950320267</v>
      </c>
      <c r="O29" s="197">
        <v>61.475930468249942</v>
      </c>
      <c r="P29" s="197">
        <v>37.912358614317192</v>
      </c>
      <c r="Q29" s="197">
        <v>45.717937749586639</v>
      </c>
      <c r="R29" s="197">
        <v>2.0165499999999999E-2</v>
      </c>
      <c r="S29" s="197">
        <v>8.0999999999999943</v>
      </c>
      <c r="T29" s="197">
        <v>-9.8546343750000123</v>
      </c>
      <c r="U29" s="197">
        <v>194.27263969171491</v>
      </c>
      <c r="V29" s="197">
        <v>7.0000000000000007E-2</v>
      </c>
      <c r="W29" s="197">
        <v>103.79999999999995</v>
      </c>
      <c r="X29" s="197">
        <v>5.2100000000000009</v>
      </c>
      <c r="Y29" s="197">
        <v>124.035</v>
      </c>
      <c r="Z29" s="197">
        <v>1.0000000000000001E-5</v>
      </c>
      <c r="AA29" s="197">
        <v>69.585386956521731</v>
      </c>
      <c r="AB29" s="197">
        <v>-63</v>
      </c>
      <c r="AC29" s="197">
        <v>-44.060387652173915</v>
      </c>
    </row>
    <row r="30" spans="1:29" x14ac:dyDescent="0.3">
      <c r="A30" s="197" t="s">
        <v>119</v>
      </c>
      <c r="B30" s="197">
        <v>7</v>
      </c>
      <c r="C30" s="197">
        <v>1</v>
      </c>
      <c r="D30" s="197">
        <v>7</v>
      </c>
      <c r="E30" s="197" t="s">
        <v>255</v>
      </c>
      <c r="F30" s="197">
        <v>0.98832821739130439</v>
      </c>
      <c r="G30" s="197">
        <v>-10.224708695652176</v>
      </c>
      <c r="H30" s="197">
        <v>141.9</v>
      </c>
      <c r="I30" s="197">
        <v>80</v>
      </c>
      <c r="J30" s="197">
        <v>15.714285714285715</v>
      </c>
      <c r="K30" s="197">
        <v>115.76753878212543</v>
      </c>
      <c r="L30" s="197">
        <v>19</v>
      </c>
      <c r="M30" s="197">
        <v>115.78405070704147</v>
      </c>
      <c r="N30" s="197">
        <v>32.70218123548846</v>
      </c>
      <c r="O30" s="197">
        <v>35.18075895951808</v>
      </c>
      <c r="P30" s="197">
        <v>38.626042294107165</v>
      </c>
      <c r="Q30" s="197">
        <v>25.548888678656688</v>
      </c>
      <c r="R30" s="197">
        <v>1.25002E-2</v>
      </c>
      <c r="S30" s="197">
        <v>6.7999999999999972</v>
      </c>
      <c r="T30" s="197">
        <v>-5.276996874999984</v>
      </c>
      <c r="U30" s="197">
        <v>285.39269406392697</v>
      </c>
      <c r="V30" s="197">
        <v>0.55800000000000005</v>
      </c>
      <c r="W30" s="197">
        <v>43.8</v>
      </c>
      <c r="X30" s="197">
        <v>5.0099999999999909</v>
      </c>
      <c r="Y30" s="197">
        <v>81.155000000000001</v>
      </c>
      <c r="Z30" s="197">
        <v>0.41000000000000369</v>
      </c>
      <c r="AA30" s="197">
        <v>61.39340434782607</v>
      </c>
      <c r="AB30" s="197">
        <v>-67</v>
      </c>
      <c r="AC30" s="197">
        <v>-35.494545043478247</v>
      </c>
    </row>
    <row r="31" spans="1:29" x14ac:dyDescent="0.3">
      <c r="A31" s="197" t="s">
        <v>121</v>
      </c>
      <c r="B31" s="197">
        <v>7</v>
      </c>
      <c r="C31" s="197">
        <v>1</v>
      </c>
      <c r="D31" s="197">
        <v>7</v>
      </c>
      <c r="E31" s="197" t="s">
        <v>255</v>
      </c>
      <c r="F31" s="197">
        <v>1.2008766666666668</v>
      </c>
      <c r="G31" s="197">
        <v>-4.857379166666667</v>
      </c>
      <c r="H31" s="197">
        <v>174.4</v>
      </c>
      <c r="I31" s="197">
        <v>68.3</v>
      </c>
      <c r="J31" s="197">
        <v>25.714285714285715</v>
      </c>
      <c r="K31" s="197">
        <v>88.144557073600708</v>
      </c>
      <c r="L31" s="197">
        <v>12</v>
      </c>
      <c r="M31" s="197">
        <v>55.080441876844034</v>
      </c>
      <c r="N31" s="197">
        <v>24.5392751098132</v>
      </c>
      <c r="O31" s="197">
        <v>46.940247543881831</v>
      </c>
      <c r="P31" s="197">
        <v>27.624983442418799</v>
      </c>
      <c r="Q31" s="197">
        <v>45.865173476381344</v>
      </c>
      <c r="R31" s="197">
        <v>2.7547599999999998E-2</v>
      </c>
      <c r="S31" s="197">
        <v>12.719999999999999</v>
      </c>
      <c r="T31" s="197">
        <v>-18.154046153846153</v>
      </c>
      <c r="U31" s="197">
        <v>161.87331061229284</v>
      </c>
      <c r="V31" s="197">
        <v>0.15</v>
      </c>
      <c r="W31" s="197">
        <v>170.18</v>
      </c>
      <c r="X31" s="197">
        <v>2.230000000000004</v>
      </c>
      <c r="Y31" s="197">
        <v>89.015000000000001</v>
      </c>
      <c r="Z31" s="197">
        <v>2.3500000000000014</v>
      </c>
      <c r="AA31" s="197">
        <v>75.56153333333333</v>
      </c>
      <c r="AB31" s="197">
        <v>-67.7</v>
      </c>
      <c r="AC31" s="197">
        <v>-35.494545043478247</v>
      </c>
    </row>
    <row r="32" spans="1:29" x14ac:dyDescent="0.3">
      <c r="A32" s="197" t="s">
        <v>123</v>
      </c>
      <c r="B32" s="197">
        <v>7</v>
      </c>
      <c r="C32" s="197">
        <v>1</v>
      </c>
      <c r="D32" s="197">
        <v>7</v>
      </c>
      <c r="E32" s="197" t="s">
        <v>255</v>
      </c>
      <c r="F32" s="197">
        <v>0.98320047999999971</v>
      </c>
      <c r="G32" s="197">
        <v>-6.3867240000000001</v>
      </c>
      <c r="H32" s="197">
        <v>152.9</v>
      </c>
      <c r="I32" s="197">
        <v>76</v>
      </c>
      <c r="J32" s="197">
        <v>28</v>
      </c>
      <c r="K32" s="197">
        <v>128.86597938144345</v>
      </c>
      <c r="L32" s="197">
        <v>21</v>
      </c>
      <c r="M32" s="197">
        <v>228.23349968069928</v>
      </c>
      <c r="N32" s="197">
        <v>43.531255441406969</v>
      </c>
      <c r="O32" s="197">
        <v>53.419816937898766</v>
      </c>
      <c r="P32" s="197">
        <v>47.337757978428002</v>
      </c>
      <c r="Q32" s="197">
        <v>26.666666666666668</v>
      </c>
      <c r="R32" s="197">
        <v>6.9934999999999997E-3</v>
      </c>
      <c r="S32" s="197">
        <v>1.9699999999999989</v>
      </c>
      <c r="T32" s="197">
        <v>-1.3987229166666726</v>
      </c>
      <c r="U32" s="197">
        <v>207.5222551928783</v>
      </c>
      <c r="V32" s="197">
        <v>0.75700000000000001</v>
      </c>
      <c r="W32" s="197">
        <v>33.700000000000003</v>
      </c>
      <c r="X32" s="197">
        <v>2.2900000000000063</v>
      </c>
      <c r="Y32" s="197">
        <v>31.215</v>
      </c>
      <c r="Z32" s="197">
        <v>1.3799999999999955</v>
      </c>
      <c r="AA32" s="197">
        <v>61.83</v>
      </c>
      <c r="AB32" s="197">
        <v>-69</v>
      </c>
      <c r="AC32" s="197">
        <v>-37.244464000000008</v>
      </c>
    </row>
    <row r="33" spans="1:29" x14ac:dyDescent="0.3">
      <c r="A33" s="197" t="s">
        <v>125</v>
      </c>
      <c r="B33" s="197">
        <v>7</v>
      </c>
      <c r="C33" s="197">
        <v>1</v>
      </c>
      <c r="D33" s="197">
        <v>6</v>
      </c>
      <c r="E33" s="197" t="s">
        <v>255</v>
      </c>
      <c r="F33" s="197">
        <v>0.89002185185185201</v>
      </c>
      <c r="G33" s="197">
        <v>-18.247251851851853</v>
      </c>
      <c r="H33" s="197">
        <v>223.9</v>
      </c>
      <c r="I33" s="197">
        <v>101.9</v>
      </c>
      <c r="J33" s="197">
        <v>18.461538461538463</v>
      </c>
      <c r="K33" s="197">
        <v>121.06537530266357</v>
      </c>
      <c r="L33" s="197">
        <v>31</v>
      </c>
      <c r="M33" s="197">
        <v>76.45858472469736</v>
      </c>
      <c r="N33" s="197">
        <v>62.034739454094279</v>
      </c>
      <c r="O33" s="197">
        <v>37.212086022578319</v>
      </c>
      <c r="P33" s="197">
        <v>61.171721323715857</v>
      </c>
      <c r="Q33" s="197">
        <v>35.444022294136012</v>
      </c>
      <c r="R33" s="197">
        <v>1.8240800000000001E-2</v>
      </c>
      <c r="S33" s="197">
        <v>9.4000000000000057</v>
      </c>
      <c r="T33" s="197">
        <v>-11.18977857142858</v>
      </c>
      <c r="U33" s="197">
        <v>207.51763367463028</v>
      </c>
      <c r="V33" s="197">
        <v>0.16</v>
      </c>
      <c r="W33" s="197">
        <v>87.9</v>
      </c>
      <c r="X33" s="197">
        <v>9.9699999999999989</v>
      </c>
      <c r="Y33" s="197">
        <v>70.784999999999997</v>
      </c>
      <c r="Z33" s="197">
        <v>1.0000000000000001E-5</v>
      </c>
      <c r="AA33" s="197">
        <v>78.172466666666665</v>
      </c>
      <c r="AB33" s="197">
        <v>-66.84</v>
      </c>
      <c r="AC33" s="197">
        <v>-50.573285185185185</v>
      </c>
    </row>
    <row r="34" spans="1:29" x14ac:dyDescent="0.3">
      <c r="A34" s="197" t="s">
        <v>127</v>
      </c>
      <c r="B34" s="197">
        <v>7</v>
      </c>
      <c r="C34" s="197">
        <v>1</v>
      </c>
      <c r="D34" s="197">
        <v>6</v>
      </c>
      <c r="E34" s="197" t="s">
        <v>255</v>
      </c>
      <c r="F34" s="197">
        <v>1.0208263157894737</v>
      </c>
      <c r="G34" s="197">
        <v>-3.4349222222222218</v>
      </c>
      <c r="H34" s="197">
        <v>130.69999999999999</v>
      </c>
      <c r="I34" s="197">
        <v>70.5</v>
      </c>
      <c r="J34" s="197">
        <v>45</v>
      </c>
      <c r="K34" s="197">
        <v>122.88031457360523</v>
      </c>
      <c r="L34" s="197">
        <v>20</v>
      </c>
      <c r="M34" s="197">
        <v>453.48986374931519</v>
      </c>
      <c r="N34" s="197">
        <v>40.817992571125316</v>
      </c>
      <c r="O34" s="197">
        <v>96.378718217674887</v>
      </c>
      <c r="P34" s="197">
        <v>45.196314457145355</v>
      </c>
      <c r="Q34" s="197">
        <v>62.337443794759672</v>
      </c>
      <c r="R34" s="197">
        <v>1.44756E-2</v>
      </c>
      <c r="S34" s="197">
        <v>0.81300000000000239</v>
      </c>
      <c r="T34" s="197">
        <v>-0.87192976190474758</v>
      </c>
      <c r="U34" s="197">
        <v>224.08049535603718</v>
      </c>
      <c r="V34" s="197">
        <v>0.371</v>
      </c>
      <c r="W34" s="197">
        <v>64.599999999999994</v>
      </c>
      <c r="X34" s="197">
        <v>2.0900000000000034</v>
      </c>
      <c r="Y34" s="197">
        <v>31.5</v>
      </c>
      <c r="Z34" s="197">
        <v>1.7700000000000031</v>
      </c>
      <c r="AA34" s="197">
        <v>63.071799999999996</v>
      </c>
      <c r="AB34" s="197">
        <v>-67</v>
      </c>
      <c r="AC34" s="197">
        <v>-39.319494736842103</v>
      </c>
    </row>
    <row r="35" spans="1:29" x14ac:dyDescent="0.3">
      <c r="A35" s="197" t="s">
        <v>129</v>
      </c>
      <c r="B35" s="197">
        <v>7</v>
      </c>
      <c r="C35" s="197">
        <v>1</v>
      </c>
      <c r="D35" s="197">
        <v>6</v>
      </c>
      <c r="E35" s="197" t="s">
        <v>255</v>
      </c>
      <c r="F35" s="197">
        <v>1.0574189999999999</v>
      </c>
      <c r="G35" s="197">
        <v>-5.5786099999999994</v>
      </c>
      <c r="H35" s="197">
        <v>131.5</v>
      </c>
      <c r="I35" s="197">
        <v>66</v>
      </c>
      <c r="J35" s="197">
        <v>15.555555555555555</v>
      </c>
      <c r="K35" s="197">
        <v>107.57314974182454</v>
      </c>
      <c r="L35" s="197">
        <v>18</v>
      </c>
      <c r="M35" s="197">
        <v>105.85339665833509</v>
      </c>
      <c r="N35" s="197">
        <v>37.707390648567142</v>
      </c>
      <c r="O35" s="197">
        <v>31.631661005225602</v>
      </c>
      <c r="P35" s="197">
        <v>39.555390725774402</v>
      </c>
      <c r="Q35" s="197">
        <v>24.459472465910551</v>
      </c>
      <c r="R35" s="197">
        <v>1.25332E-2</v>
      </c>
      <c r="S35" s="197">
        <v>5.7759999999999962</v>
      </c>
      <c r="T35" s="197">
        <v>-5.9722580645161232</v>
      </c>
      <c r="U35" s="197">
        <v>257.88477366255142</v>
      </c>
      <c r="V35" s="197">
        <v>0.37</v>
      </c>
      <c r="W35" s="197">
        <v>48.6</v>
      </c>
      <c r="X35" s="197">
        <v>5.99</v>
      </c>
      <c r="Y35" s="197">
        <v>52.54</v>
      </c>
      <c r="Z35" s="197">
        <v>0.68600000000000005</v>
      </c>
      <c r="AA35" s="197">
        <v>63.528450000000007</v>
      </c>
      <c r="AB35" s="197">
        <v>-60</v>
      </c>
      <c r="AC35" s="197">
        <v>-30.976804761904766</v>
      </c>
    </row>
    <row r="36" spans="1:29" x14ac:dyDescent="0.3">
      <c r="A36" s="197" t="s">
        <v>131</v>
      </c>
      <c r="B36" s="197">
        <v>7</v>
      </c>
      <c r="C36" s="197">
        <v>1</v>
      </c>
      <c r="D36" s="197">
        <v>6</v>
      </c>
      <c r="E36" s="197" t="s">
        <v>255</v>
      </c>
      <c r="F36" s="197">
        <v>0.81850287499999996</v>
      </c>
      <c r="G36" s="197">
        <v>-8.3326217391304347</v>
      </c>
      <c r="H36" s="197">
        <v>159.80000000000001</v>
      </c>
      <c r="I36" s="197">
        <v>88.1</v>
      </c>
      <c r="J36" s="197">
        <v>16.25</v>
      </c>
      <c r="K36" s="197">
        <v>115.6470452179948</v>
      </c>
      <c r="L36" s="197">
        <v>20</v>
      </c>
      <c r="M36" s="197">
        <v>116.99932353681801</v>
      </c>
      <c r="N36" s="197">
        <v>39.33910306844993</v>
      </c>
      <c r="O36" s="197">
        <v>34.500548785893045</v>
      </c>
      <c r="P36" s="197">
        <v>44.827588674072651</v>
      </c>
      <c r="Q36" s="197">
        <v>30.222739974201726</v>
      </c>
      <c r="R36" s="197">
        <v>1.62174E-2</v>
      </c>
      <c r="S36" s="197">
        <v>2.0599999999999881</v>
      </c>
      <c r="T36" s="197">
        <v>-2.2313935483871026</v>
      </c>
      <c r="U36" s="197">
        <v>397.48529411764707</v>
      </c>
      <c r="V36" s="197">
        <v>0.73</v>
      </c>
      <c r="W36" s="197">
        <v>40.799999999999997</v>
      </c>
      <c r="X36" s="197">
        <v>3.7600000000000051</v>
      </c>
      <c r="Y36" s="197">
        <v>115.6470452179948</v>
      </c>
      <c r="Z36" s="197">
        <v>0.74000000000000199</v>
      </c>
      <c r="AA36" s="197">
        <v>64.631150000000005</v>
      </c>
      <c r="AB36" s="197">
        <v>-64.099999999999994</v>
      </c>
      <c r="AC36" s="197">
        <v>-29.777524999999997</v>
      </c>
    </row>
    <row r="37" spans="1:29" x14ac:dyDescent="0.3">
      <c r="A37" s="197" t="s">
        <v>133</v>
      </c>
      <c r="B37" s="197">
        <v>7</v>
      </c>
      <c r="C37" s="197">
        <v>1</v>
      </c>
      <c r="D37" s="197">
        <v>7</v>
      </c>
      <c r="E37" s="197" t="s">
        <v>255</v>
      </c>
      <c r="F37" s="197">
        <v>0.78418421428571428</v>
      </c>
      <c r="G37" s="197">
        <v>-10.296855555555556</v>
      </c>
      <c r="H37" s="197">
        <v>158</v>
      </c>
      <c r="I37" s="197">
        <v>100</v>
      </c>
      <c r="J37" s="197">
        <v>70</v>
      </c>
      <c r="K37" s="197">
        <v>115.16756881262208</v>
      </c>
      <c r="L37" s="197">
        <v>26</v>
      </c>
      <c r="M37" s="197">
        <v>128.5622013622833</v>
      </c>
      <c r="N37" s="197">
        <v>49.517207229512408</v>
      </c>
      <c r="O37" s="197">
        <v>116.18495904912348</v>
      </c>
      <c r="P37" s="197">
        <v>53.952991626052032</v>
      </c>
      <c r="Q37" s="197">
        <v>110.61013151911477</v>
      </c>
      <c r="R37" s="197">
        <v>1.2534500000000001E-2</v>
      </c>
      <c r="S37" s="197">
        <v>0.59799999999999898</v>
      </c>
      <c r="T37" s="197">
        <v>-0.52746543209875818</v>
      </c>
      <c r="U37" s="197">
        <v>408.28990228013032</v>
      </c>
      <c r="V37" s="197">
        <v>1</v>
      </c>
      <c r="W37" s="197">
        <v>30.7</v>
      </c>
      <c r="X37" s="197">
        <v>1.5499999999999972</v>
      </c>
      <c r="Y37" s="197">
        <v>29.7684675</v>
      </c>
      <c r="Z37" s="197">
        <v>1.0000000000000001E-5</v>
      </c>
      <c r="AA37" s="197">
        <v>63.975742857142862</v>
      </c>
      <c r="AB37" s="197">
        <v>-71</v>
      </c>
      <c r="AC37" s="197">
        <v>-31.598125925925917</v>
      </c>
    </row>
    <row r="38" spans="1:29" x14ac:dyDescent="0.3">
      <c r="A38" s="197" t="s">
        <v>135</v>
      </c>
      <c r="B38" s="197">
        <v>7</v>
      </c>
      <c r="C38" s="197">
        <v>1</v>
      </c>
      <c r="D38" s="197">
        <v>7</v>
      </c>
      <c r="E38" s="197" t="s">
        <v>255</v>
      </c>
      <c r="F38" s="197">
        <v>0.86151679999999997</v>
      </c>
      <c r="G38" s="197">
        <v>-10.367541379310342</v>
      </c>
      <c r="H38" s="197">
        <v>225.1</v>
      </c>
      <c r="I38" s="197">
        <v>96.8</v>
      </c>
      <c r="J38" s="197">
        <v>21.428571428571427</v>
      </c>
      <c r="K38" s="197">
        <v>109.20607185759515</v>
      </c>
      <c r="L38" s="197">
        <v>18</v>
      </c>
      <c r="M38" s="197">
        <v>138.40189381070033</v>
      </c>
      <c r="N38" s="197">
        <v>32.336297493936989</v>
      </c>
      <c r="O38" s="197">
        <v>42.099256870711201</v>
      </c>
      <c r="P38" s="197">
        <v>36.873018022385651</v>
      </c>
      <c r="Q38" s="197">
        <v>34.525091625330298</v>
      </c>
      <c r="R38" s="197">
        <v>1.44151E-2</v>
      </c>
      <c r="S38" s="197">
        <v>19</v>
      </c>
      <c r="T38" s="197">
        <v>-15.830993749999989</v>
      </c>
      <c r="U38" s="197">
        <v>266.94629629629634</v>
      </c>
      <c r="V38" s="197">
        <v>0.43</v>
      </c>
      <c r="W38" s="197">
        <v>54</v>
      </c>
      <c r="X38" s="197">
        <v>4.9899999999999949</v>
      </c>
      <c r="Y38" s="197">
        <v>89.45</v>
      </c>
      <c r="Z38" s="197">
        <v>0.30300000000000438</v>
      </c>
      <c r="AA38" s="197">
        <v>77.032476666666696</v>
      </c>
      <c r="AB38" s="197">
        <v>-68.400000000000006</v>
      </c>
      <c r="AC38" s="197">
        <v>-47.304290000000009</v>
      </c>
    </row>
    <row r="39" spans="1:29" x14ac:dyDescent="0.3">
      <c r="A39" s="197" t="s">
        <v>137</v>
      </c>
      <c r="B39" s="197">
        <v>7</v>
      </c>
      <c r="C39" s="197">
        <v>1</v>
      </c>
      <c r="D39" s="197">
        <v>7</v>
      </c>
      <c r="E39" s="197" t="s">
        <v>255</v>
      </c>
      <c r="F39" s="197">
        <v>0.90877873333333337</v>
      </c>
      <c r="G39" s="197">
        <v>-7.6125620689655173</v>
      </c>
      <c r="H39" s="197">
        <v>151.80000000000001</v>
      </c>
      <c r="I39" s="197">
        <v>80.400000000000006</v>
      </c>
      <c r="J39" s="197">
        <v>17.272727272727273</v>
      </c>
      <c r="K39" s="197">
        <v>128.98232942086909</v>
      </c>
      <c r="L39" s="197">
        <v>23</v>
      </c>
      <c r="M39" s="197">
        <v>109.54184595490497</v>
      </c>
      <c r="N39" s="197">
        <v>43.94059231918439</v>
      </c>
      <c r="O39" s="197">
        <v>36.64124030820566</v>
      </c>
      <c r="P39" s="197">
        <v>49.127320138498938</v>
      </c>
      <c r="Q39" s="197">
        <v>27.448944603548163</v>
      </c>
      <c r="R39" s="197">
        <v>1.0982E-2</v>
      </c>
      <c r="S39" s="197">
        <v>4.2999999999999972</v>
      </c>
      <c r="T39" s="197">
        <v>-3.306070833333334</v>
      </c>
      <c r="U39" s="197">
        <v>259.00943396226415</v>
      </c>
      <c r="V39" s="197">
        <v>0.6</v>
      </c>
      <c r="W39" s="197">
        <v>42.4</v>
      </c>
      <c r="X39" s="197">
        <v>4.4199999999999875</v>
      </c>
      <c r="Y39" s="197">
        <v>52.45</v>
      </c>
      <c r="Z39" s="197">
        <v>1.0000000000000001E-5</v>
      </c>
      <c r="AA39" s="197">
        <v>62.408443333333345</v>
      </c>
      <c r="AB39" s="197">
        <v>-71.400000000000006</v>
      </c>
      <c r="AC39" s="197">
        <v>-40.091956666666675</v>
      </c>
    </row>
    <row r="40" spans="1:29" x14ac:dyDescent="0.3">
      <c r="A40" s="197" t="s">
        <v>139</v>
      </c>
      <c r="B40" s="197">
        <v>7</v>
      </c>
      <c r="C40" s="197">
        <v>1</v>
      </c>
      <c r="D40" s="197">
        <v>7</v>
      </c>
      <c r="E40" s="197" t="s">
        <v>255</v>
      </c>
      <c r="F40" s="197">
        <v>0.86647752631578956</v>
      </c>
      <c r="G40" s="197">
        <v>-5.8979157894736822</v>
      </c>
      <c r="H40" s="197">
        <v>203.2</v>
      </c>
      <c r="I40" s="197">
        <v>109.5</v>
      </c>
      <c r="J40" s="197">
        <v>15.454545454545455</v>
      </c>
      <c r="K40" s="197">
        <v>113.25028312570765</v>
      </c>
      <c r="L40" s="197">
        <v>23</v>
      </c>
      <c r="M40" s="197">
        <v>90.316010958869398</v>
      </c>
      <c r="N40" s="197">
        <v>43.99859204505443</v>
      </c>
      <c r="O40" s="197">
        <v>90.316010958869398</v>
      </c>
      <c r="P40" s="197">
        <v>47.735743118835835</v>
      </c>
      <c r="Q40" s="197">
        <v>24.719523281387051</v>
      </c>
      <c r="R40" s="197">
        <v>1.6459399999999999E-2</v>
      </c>
      <c r="S40" s="197">
        <v>1.0000000000000001E-5</v>
      </c>
      <c r="T40" s="197">
        <v>-1.0808302083333241</v>
      </c>
      <c r="U40" s="197">
        <v>589.94265232974908</v>
      </c>
      <c r="V40" s="197">
        <v>0.755</v>
      </c>
      <c r="W40" s="197">
        <v>27.9</v>
      </c>
      <c r="X40" s="197">
        <v>4.3499999999999943</v>
      </c>
      <c r="Y40" s="197">
        <v>44.924999999999997</v>
      </c>
      <c r="Z40" s="197">
        <v>1.0000000000000001E-5</v>
      </c>
      <c r="AA40" s="197">
        <v>78.594010526315799</v>
      </c>
      <c r="AB40" s="197">
        <v>-66</v>
      </c>
      <c r="AC40" s="197">
        <v>-50.129131578947373</v>
      </c>
    </row>
    <row r="41" spans="1:29" x14ac:dyDescent="0.3">
      <c r="A41" s="197" t="s">
        <v>141</v>
      </c>
      <c r="B41" s="197">
        <v>7</v>
      </c>
      <c r="C41" s="197">
        <v>1</v>
      </c>
      <c r="D41" s="197">
        <v>6</v>
      </c>
      <c r="E41" s="197" t="s">
        <v>255</v>
      </c>
      <c r="F41" s="197">
        <v>1.2905323529411765</v>
      </c>
      <c r="G41" s="197">
        <v>-8.1367437499999991</v>
      </c>
      <c r="H41" s="197">
        <v>128</v>
      </c>
      <c r="I41" s="197">
        <v>62.9</v>
      </c>
      <c r="J41" s="197">
        <v>16.666666666666668</v>
      </c>
      <c r="K41" s="197">
        <v>82.257135806531338</v>
      </c>
      <c r="L41" s="197">
        <v>15</v>
      </c>
      <c r="M41" s="197">
        <v>115.60549829256625</v>
      </c>
      <c r="N41" s="197">
        <v>27.550486266082576</v>
      </c>
      <c r="O41" s="197">
        <v>35.47711048967404</v>
      </c>
      <c r="P41" s="197">
        <v>32.669932490609</v>
      </c>
      <c r="Q41" s="197">
        <v>30.540057087687131</v>
      </c>
      <c r="R41" s="197">
        <v>4.45466E-3</v>
      </c>
      <c r="S41" s="197">
        <v>4.5</v>
      </c>
      <c r="T41" s="197">
        <v>-3.9842388888888851</v>
      </c>
      <c r="U41" s="197">
        <v>50.392081447963797</v>
      </c>
      <c r="V41" s="197">
        <v>0.45700000000000002</v>
      </c>
      <c r="W41" s="197">
        <v>88.4</v>
      </c>
      <c r="X41" s="197">
        <v>2.2099999999999937</v>
      </c>
      <c r="Y41" s="197">
        <v>67.554765000000003</v>
      </c>
      <c r="Z41" s="197">
        <v>1.0000000000000001E-5</v>
      </c>
      <c r="AA41" s="197">
        <v>65.501500000000007</v>
      </c>
      <c r="AB41" s="197">
        <v>-64.7</v>
      </c>
      <c r="AC41" s="197">
        <v>-36.045081250000003</v>
      </c>
    </row>
    <row r="42" spans="1:29" x14ac:dyDescent="0.3">
      <c r="A42" s="197" t="s">
        <v>143</v>
      </c>
      <c r="B42" s="197">
        <v>7</v>
      </c>
      <c r="C42" s="197">
        <v>1</v>
      </c>
      <c r="D42" s="197">
        <v>6</v>
      </c>
      <c r="E42" s="197" t="s">
        <v>255</v>
      </c>
      <c r="F42" s="197">
        <v>1.3524230769230767</v>
      </c>
      <c r="G42" s="197">
        <v>-5.3663846153846135</v>
      </c>
      <c r="H42" s="197">
        <v>125.7</v>
      </c>
      <c r="I42" s="197">
        <v>64.099999999999994</v>
      </c>
      <c r="J42" s="197">
        <v>20</v>
      </c>
      <c r="K42" s="197">
        <v>75.878291220881692</v>
      </c>
      <c r="L42" s="197">
        <v>14</v>
      </c>
      <c r="M42" s="197">
        <v>139.18950899836381</v>
      </c>
      <c r="N42" s="197">
        <v>26.542800265428035</v>
      </c>
      <c r="O42" s="197">
        <v>43.125599674093493</v>
      </c>
      <c r="P42" s="197">
        <v>29.905478380147557</v>
      </c>
      <c r="Q42" s="197">
        <v>32.299825908832346</v>
      </c>
      <c r="R42" s="197">
        <v>1.7141099999999999E-2</v>
      </c>
      <c r="S42" s="197">
        <v>6.8999999999999915</v>
      </c>
      <c r="T42" s="197">
        <v>-5.8492020833333198</v>
      </c>
      <c r="U42" s="197">
        <v>245.92682926829264</v>
      </c>
      <c r="V42" s="197">
        <v>0.23</v>
      </c>
      <c r="W42" s="197">
        <v>69.7</v>
      </c>
      <c r="X42" s="197">
        <v>3.5300000000000011</v>
      </c>
      <c r="Y42" s="197">
        <v>99.305000000000007</v>
      </c>
      <c r="Z42" s="197">
        <v>1.4499999999999957</v>
      </c>
      <c r="AA42" s="197">
        <v>69.993230769230763</v>
      </c>
      <c r="AB42" s="197">
        <v>-67.3</v>
      </c>
      <c r="AC42" s="197">
        <v>-44.757553846153847</v>
      </c>
    </row>
    <row r="43" spans="1:29" x14ac:dyDescent="0.3">
      <c r="A43" s="197" t="s">
        <v>145</v>
      </c>
      <c r="B43" s="197">
        <v>7</v>
      </c>
      <c r="C43" s="197">
        <v>1</v>
      </c>
      <c r="D43" s="197">
        <v>6</v>
      </c>
      <c r="E43" s="197" t="s">
        <v>255</v>
      </c>
      <c r="F43" s="197">
        <v>1.1983709090909092</v>
      </c>
      <c r="G43" s="197">
        <v>-8.0510999999999981</v>
      </c>
      <c r="H43" s="197">
        <v>137.6</v>
      </c>
      <c r="I43" s="197">
        <v>73.900000000000006</v>
      </c>
      <c r="J43" s="197">
        <v>20</v>
      </c>
      <c r="K43" s="197">
        <v>32.124385621125008</v>
      </c>
      <c r="L43" s="197">
        <v>14</v>
      </c>
      <c r="M43" s="197">
        <v>119.56414833837194</v>
      </c>
      <c r="N43" s="197">
        <v>28.752156411730809</v>
      </c>
      <c r="O43" s="197">
        <v>41.235738266567438</v>
      </c>
      <c r="P43" s="197">
        <v>27.585002214886686</v>
      </c>
      <c r="Q43" s="197">
        <v>35.564879341529732</v>
      </c>
      <c r="R43" s="197">
        <v>1.47242E-2</v>
      </c>
      <c r="S43" s="197">
        <v>1E-4</v>
      </c>
      <c r="T43" s="197">
        <v>-2.9881812500000069</v>
      </c>
      <c r="U43" s="197">
        <v>418.65794711401759</v>
      </c>
      <c r="V43" s="197">
        <v>0.8</v>
      </c>
      <c r="W43" s="197">
        <v>35.17</v>
      </c>
      <c r="X43" s="197">
        <v>3.7109999999999914</v>
      </c>
      <c r="Y43" s="197">
        <v>77.069999999999993</v>
      </c>
      <c r="Z43" s="197">
        <v>0.96000000000000085</v>
      </c>
      <c r="AA43" s="197">
        <v>64.885918181818184</v>
      </c>
      <c r="AB43" s="197">
        <v>-64.5</v>
      </c>
      <c r="AC43" s="197">
        <v>-35.76104545454546</v>
      </c>
    </row>
    <row r="44" spans="1:29" x14ac:dyDescent="0.3">
      <c r="A44" s="197" t="s">
        <v>148</v>
      </c>
      <c r="B44" s="197">
        <v>7</v>
      </c>
      <c r="C44" s="197">
        <v>1</v>
      </c>
      <c r="D44" s="197">
        <v>7</v>
      </c>
      <c r="E44" s="197" t="s">
        <v>255</v>
      </c>
      <c r="F44" s="197">
        <v>1.2082150000000003</v>
      </c>
      <c r="G44" s="197">
        <v>-6.5078562500000006</v>
      </c>
      <c r="H44" s="197">
        <v>112.9</v>
      </c>
      <c r="I44" s="197">
        <v>55.8</v>
      </c>
      <c r="J44" s="197">
        <v>30</v>
      </c>
      <c r="K44" s="197">
        <v>110.53387863380129</v>
      </c>
      <c r="L44" s="197">
        <v>24</v>
      </c>
      <c r="M44" s="197">
        <v>81.938922270940935</v>
      </c>
      <c r="N44" s="197">
        <v>45.741469215991287</v>
      </c>
      <c r="O44" s="197">
        <v>45.044878944354032</v>
      </c>
      <c r="P44" s="197">
        <v>49.333564854047602</v>
      </c>
      <c r="Q44" s="197">
        <v>43.275339056820101</v>
      </c>
      <c r="R44" s="197">
        <v>1.3509E-2</v>
      </c>
      <c r="S44" s="197">
        <v>1E-4</v>
      </c>
      <c r="T44" s="197">
        <v>-2.3151252873563131</v>
      </c>
      <c r="U44" s="197">
        <v>200.72808320950966</v>
      </c>
      <c r="V44" s="197">
        <v>0.56000000000000005</v>
      </c>
      <c r="W44" s="197">
        <v>67.3</v>
      </c>
      <c r="X44" s="197">
        <v>3.1499999999999915</v>
      </c>
      <c r="Y44" s="197">
        <v>36.085000000000001</v>
      </c>
      <c r="Z44" s="197">
        <v>1E-4</v>
      </c>
      <c r="AA44" s="197">
        <v>55.046068749999996</v>
      </c>
      <c r="AB44" s="197">
        <v>-66.7</v>
      </c>
      <c r="AC44" s="197">
        <v>-23.14376875</v>
      </c>
    </row>
    <row r="45" spans="1:29" x14ac:dyDescent="0.3">
      <c r="A45" s="197" t="s">
        <v>150</v>
      </c>
      <c r="B45" s="197">
        <v>7</v>
      </c>
      <c r="C45" s="197">
        <v>1</v>
      </c>
      <c r="D45" s="197">
        <v>7</v>
      </c>
      <c r="E45" s="197" t="s">
        <v>255</v>
      </c>
      <c r="F45" s="197">
        <v>0.86603200000000025</v>
      </c>
      <c r="G45" s="197">
        <v>-12.637494736842106</v>
      </c>
      <c r="H45" s="197">
        <v>178.8</v>
      </c>
      <c r="I45" s="197">
        <v>109.6</v>
      </c>
      <c r="J45" s="197">
        <v>33.333333333333336</v>
      </c>
      <c r="K45" s="197">
        <v>109.89010989010961</v>
      </c>
      <c r="L45" s="197">
        <v>27</v>
      </c>
      <c r="M45" s="197">
        <v>171.64504335908399</v>
      </c>
      <c r="N45" s="197">
        <v>53.561863952865352</v>
      </c>
      <c r="O45" s="197">
        <v>57.54746457037362</v>
      </c>
      <c r="P45" s="197">
        <v>56.726731010102235</v>
      </c>
      <c r="Q45" s="197">
        <v>53.270876933576353</v>
      </c>
      <c r="R45" s="197">
        <v>1.6214099999999999E-2</v>
      </c>
      <c r="S45" s="197">
        <v>3.2199999999999989</v>
      </c>
      <c r="T45" s="197">
        <v>-2.7360597701149438</v>
      </c>
      <c r="U45" s="197">
        <v>302.50186567164172</v>
      </c>
      <c r="V45" s="197">
        <v>0.36</v>
      </c>
      <c r="W45" s="197">
        <v>53.6</v>
      </c>
      <c r="X45" s="197">
        <v>2.7800000000000011</v>
      </c>
      <c r="Y45" s="197">
        <v>189.375</v>
      </c>
      <c r="Z45" s="197">
        <v>0.76999999999999602</v>
      </c>
      <c r="AA45" s="197">
        <v>70.897163157894724</v>
      </c>
      <c r="AB45" s="197">
        <v>-66.8</v>
      </c>
      <c r="AC45" s="197">
        <v>-39.441568421052629</v>
      </c>
    </row>
    <row r="46" spans="1:29" x14ac:dyDescent="0.3">
      <c r="A46" s="197" t="s">
        <v>152</v>
      </c>
      <c r="B46" s="197">
        <v>7</v>
      </c>
      <c r="C46" s="197">
        <v>1</v>
      </c>
      <c r="D46" s="197">
        <v>7</v>
      </c>
      <c r="E46" s="197" t="s">
        <v>255</v>
      </c>
      <c r="F46" s="197">
        <v>0.94637957692307695</v>
      </c>
      <c r="G46" s="197">
        <v>-11.218730769230771</v>
      </c>
      <c r="H46" s="197">
        <v>201.5</v>
      </c>
      <c r="I46" s="197">
        <v>97.6</v>
      </c>
      <c r="J46" s="197">
        <v>22.5</v>
      </c>
      <c r="K46" s="197">
        <v>134.95276653171396</v>
      </c>
      <c r="L46" s="197">
        <v>27</v>
      </c>
      <c r="M46" s="197">
        <v>109.8188002046241</v>
      </c>
      <c r="N46" s="197">
        <v>52.246603970741937</v>
      </c>
      <c r="O46" s="197">
        <v>46.177753599286561</v>
      </c>
      <c r="P46" s="197">
        <v>56.716245405978661</v>
      </c>
      <c r="Q46" s="197">
        <v>36.666304560431975</v>
      </c>
      <c r="R46" s="197">
        <v>1.3807E-2</v>
      </c>
      <c r="S46" s="197">
        <v>4.4289999999999878</v>
      </c>
      <c r="T46" s="197">
        <v>-2.5957482758620887</v>
      </c>
      <c r="U46" s="197">
        <v>202.7459618208517</v>
      </c>
      <c r="V46" s="197">
        <v>0.4</v>
      </c>
      <c r="W46" s="197">
        <v>68.099999999999994</v>
      </c>
      <c r="X46" s="197">
        <v>6.0899999999999963</v>
      </c>
      <c r="Y46" s="197">
        <v>52.98</v>
      </c>
      <c r="Z46" s="197">
        <v>0.1699999999999946</v>
      </c>
      <c r="AA46" s="197">
        <v>72.798507692307695</v>
      </c>
      <c r="AB46" s="197">
        <v>-63</v>
      </c>
      <c r="AC46" s="197">
        <v>-42.562630769230772</v>
      </c>
    </row>
    <row r="47" spans="1:29" x14ac:dyDescent="0.3">
      <c r="A47" s="197" t="s">
        <v>154</v>
      </c>
      <c r="B47" s="197">
        <v>7</v>
      </c>
      <c r="C47" s="197">
        <v>1</v>
      </c>
      <c r="D47" s="197">
        <v>7</v>
      </c>
      <c r="E47" s="197" t="s">
        <v>255</v>
      </c>
      <c r="F47" s="197">
        <v>1.0822286363636364</v>
      </c>
      <c r="G47" s="197">
        <v>-10.889231818181818</v>
      </c>
      <c r="H47" s="197">
        <v>119.7</v>
      </c>
      <c r="I47" s="197">
        <v>80</v>
      </c>
      <c r="J47" s="197">
        <v>21.962518671750324</v>
      </c>
      <c r="K47" s="197">
        <v>109.15838882218097</v>
      </c>
      <c r="L47" s="197">
        <v>25</v>
      </c>
      <c r="M47" s="197">
        <v>84.78499547129455</v>
      </c>
      <c r="N47" s="197">
        <v>43.325679130020546</v>
      </c>
      <c r="O47" s="197">
        <v>48.658689497699207</v>
      </c>
      <c r="P47" s="197">
        <v>51.34622020879101</v>
      </c>
      <c r="Q47" s="197">
        <v>36.229529707218894</v>
      </c>
      <c r="R47" s="197">
        <v>1.05722E-2</v>
      </c>
      <c r="S47" s="197">
        <v>3.8999999999999915</v>
      </c>
      <c r="T47" s="197">
        <v>-3.2973011494252842</v>
      </c>
      <c r="U47" s="197">
        <v>298.64971751412429</v>
      </c>
      <c r="V47" s="197">
        <v>0.56000000000000005</v>
      </c>
      <c r="W47" s="197">
        <v>35.4</v>
      </c>
      <c r="X47" s="197">
        <v>4.6470000000000056</v>
      </c>
      <c r="Y47" s="197">
        <v>48.674999999999997</v>
      </c>
      <c r="Z47" s="197">
        <v>0.79000000000000625</v>
      </c>
      <c r="AA47" s="197">
        <v>58.427281818181811</v>
      </c>
      <c r="AB47" s="197">
        <v>-66</v>
      </c>
      <c r="AC47" s="197">
        <v>-45.042724</v>
      </c>
    </row>
    <row r="48" spans="1:29" x14ac:dyDescent="0.3">
      <c r="A48" s="197" t="s">
        <v>156</v>
      </c>
      <c r="B48" s="197">
        <v>7</v>
      </c>
      <c r="C48" s="197">
        <v>1</v>
      </c>
      <c r="D48" s="197">
        <v>7</v>
      </c>
      <c r="E48" s="197" t="s">
        <v>255</v>
      </c>
      <c r="F48" s="197">
        <v>0.9336488235294117</v>
      </c>
      <c r="G48" s="197">
        <v>-12.199847058823531</v>
      </c>
      <c r="H48" s="197">
        <v>163.1</v>
      </c>
      <c r="I48" s="197">
        <v>91</v>
      </c>
      <c r="J48" s="197">
        <v>19.110367652929341</v>
      </c>
      <c r="K48" s="197">
        <v>125.86532410320922</v>
      </c>
      <c r="L48" s="197">
        <v>20</v>
      </c>
      <c r="M48" s="197">
        <v>166.11920521259412</v>
      </c>
      <c r="N48" s="197">
        <v>39.38868756893033</v>
      </c>
      <c r="O48" s="197">
        <v>41.501790868835634</v>
      </c>
      <c r="P48" s="197">
        <v>42.92356302571725</v>
      </c>
      <c r="Q48" s="197">
        <v>41.630234860934529</v>
      </c>
      <c r="R48" s="197">
        <v>1.63032E-2</v>
      </c>
      <c r="S48" s="197">
        <v>4.3000000000000114</v>
      </c>
      <c r="T48" s="197">
        <v>-5.4019632183907973</v>
      </c>
      <c r="U48" s="197">
        <v>286.52372583479792</v>
      </c>
      <c r="V48" s="197">
        <v>0.36</v>
      </c>
      <c r="W48" s="197">
        <v>56.9</v>
      </c>
      <c r="X48" s="197">
        <v>4.0679999999999978</v>
      </c>
      <c r="Y48" s="197">
        <v>97.013069999999999</v>
      </c>
      <c r="Z48" s="197">
        <v>1.7259999999999991</v>
      </c>
      <c r="AA48" s="197">
        <v>71.888647058823523</v>
      </c>
      <c r="AB48" s="197">
        <v>-60</v>
      </c>
      <c r="AC48" s="197">
        <v>-34.251494117647049</v>
      </c>
    </row>
    <row r="49" spans="1:29" x14ac:dyDescent="0.3">
      <c r="A49" s="189" t="s">
        <v>172</v>
      </c>
      <c r="B49" s="189">
        <v>14</v>
      </c>
      <c r="C49" s="189">
        <v>1</v>
      </c>
      <c r="D49" s="189">
        <v>21</v>
      </c>
      <c r="E49" s="189" t="s">
        <v>257</v>
      </c>
      <c r="F49" s="189">
        <v>0.98917826666666664</v>
      </c>
      <c r="G49" s="189">
        <v>-14.803046666666669</v>
      </c>
      <c r="H49" s="189">
        <v>177.8</v>
      </c>
      <c r="I49" s="189">
        <v>85.4</v>
      </c>
      <c r="J49" s="189">
        <v>22.666666666666668</v>
      </c>
      <c r="K49" s="189">
        <v>157.15857300015716</v>
      </c>
      <c r="L49" s="189">
        <v>30</v>
      </c>
      <c r="M49" s="189">
        <v>173.42637616957967</v>
      </c>
      <c r="N49" s="189">
        <v>55.00550055005516</v>
      </c>
      <c r="O49" s="189">
        <v>53.681527214153107</v>
      </c>
      <c r="P49" s="189">
        <v>62.810414493462943</v>
      </c>
      <c r="Q49" s="189">
        <v>40.762119221407687</v>
      </c>
      <c r="R49" s="189">
        <v>1.55783E-2</v>
      </c>
      <c r="S49" s="189">
        <v>31.799999999999997</v>
      </c>
      <c r="T49" s="189">
        <v>-30.451948387096792</v>
      </c>
      <c r="U49" s="189">
        <v>232.16542473919526</v>
      </c>
      <c r="V49" s="189">
        <v>0.2</v>
      </c>
      <c r="W49" s="189">
        <v>67.099999999999994</v>
      </c>
      <c r="X49" s="189">
        <v>2.7800000000000011</v>
      </c>
      <c r="Y49" s="189">
        <v>79.696700000000007</v>
      </c>
      <c r="Z49" s="189">
        <v>4.5900000000000034</v>
      </c>
      <c r="AA49" s="189">
        <v>71.89</v>
      </c>
      <c r="AB49" s="189">
        <v>-63</v>
      </c>
      <c r="AC49" s="189">
        <v>-33.414726666666667</v>
      </c>
    </row>
    <row r="50" spans="1:29" x14ac:dyDescent="0.3">
      <c r="A50" s="189" t="s">
        <v>174</v>
      </c>
      <c r="B50" s="189">
        <v>14</v>
      </c>
      <c r="C50" s="189">
        <v>1</v>
      </c>
      <c r="D50" s="189">
        <v>18</v>
      </c>
      <c r="E50" s="189" t="s">
        <v>257</v>
      </c>
      <c r="F50" s="189">
        <v>0.66781932142857137</v>
      </c>
      <c r="G50" s="189">
        <v>-17.255503571428569</v>
      </c>
      <c r="H50" s="189">
        <v>219.3</v>
      </c>
      <c r="I50" s="189">
        <v>118.7</v>
      </c>
      <c r="J50" s="189">
        <v>11.304347826086957</v>
      </c>
      <c r="K50" s="189">
        <v>194.81784531463046</v>
      </c>
      <c r="L50" s="189">
        <v>34</v>
      </c>
      <c r="M50" s="189">
        <v>72.561429281308762</v>
      </c>
      <c r="N50" s="189">
        <v>63.698324734059447</v>
      </c>
      <c r="O50" s="189">
        <v>23.619283659812915</v>
      </c>
      <c r="P50" s="189">
        <v>85.704192484863356</v>
      </c>
      <c r="Q50" s="189">
        <v>22.355723585024315</v>
      </c>
      <c r="R50" s="189">
        <v>8.4251699999999992E-3</v>
      </c>
      <c r="S50" s="189">
        <v>5</v>
      </c>
      <c r="T50" s="189">
        <v>-4.2658978494623545</v>
      </c>
      <c r="U50" s="189">
        <v>386.47568807339445</v>
      </c>
      <c r="V50" s="189">
        <v>1.7</v>
      </c>
      <c r="W50" s="189">
        <v>21.8</v>
      </c>
      <c r="X50" s="189">
        <v>2.25</v>
      </c>
      <c r="Y50" s="189">
        <v>83.165000000000006</v>
      </c>
      <c r="Z50" s="189">
        <v>1.2299999999999969</v>
      </c>
      <c r="AA50" s="189">
        <v>66.839600000000004</v>
      </c>
      <c r="AB50" s="189">
        <v>-71.2</v>
      </c>
      <c r="AC50" s="189">
        <v>-39.256496428571424</v>
      </c>
    </row>
    <row r="51" spans="1:29" x14ac:dyDescent="0.3">
      <c r="A51" s="189" t="s">
        <v>176</v>
      </c>
      <c r="B51" s="189">
        <v>14</v>
      </c>
      <c r="C51" s="189">
        <v>1</v>
      </c>
      <c r="D51" s="189">
        <v>18</v>
      </c>
      <c r="E51" s="189" t="s">
        <v>257</v>
      </c>
      <c r="F51" s="189">
        <v>0.71107163157894737</v>
      </c>
      <c r="G51" s="189">
        <v>-16.627273684210529</v>
      </c>
      <c r="H51" s="189">
        <v>224.94</v>
      </c>
      <c r="I51" s="189">
        <v>134.63</v>
      </c>
      <c r="J51" s="189">
        <v>14.666666666666666</v>
      </c>
      <c r="K51" s="189">
        <v>181.35654697134626</v>
      </c>
      <c r="L51" s="189">
        <v>39</v>
      </c>
      <c r="M51" s="189">
        <v>74.256242082909296</v>
      </c>
      <c r="N51" s="189">
        <v>67.168189145621</v>
      </c>
      <c r="O51" s="189">
        <v>31.740093566191099</v>
      </c>
      <c r="P51" s="189">
        <v>82.766143111749784</v>
      </c>
      <c r="Q51" s="189">
        <v>25.396587737529625</v>
      </c>
      <c r="R51" s="189">
        <v>9.2708500000000006E-3</v>
      </c>
      <c r="S51" s="189">
        <v>9.2999999999999972</v>
      </c>
      <c r="T51" s="189">
        <v>-7.6129870967741944</v>
      </c>
      <c r="U51" s="189">
        <v>261.15070422535211</v>
      </c>
      <c r="V51" s="189">
        <v>0.65</v>
      </c>
      <c r="W51" s="189">
        <v>35.5</v>
      </c>
      <c r="X51" s="189">
        <v>1.2800000000000011</v>
      </c>
      <c r="Y51" s="189">
        <v>41.376421499999999</v>
      </c>
      <c r="Z51" s="189">
        <v>4.0799999999999983</v>
      </c>
      <c r="AA51" s="189">
        <v>78.002921052631578</v>
      </c>
      <c r="AB51" s="189">
        <v>-72</v>
      </c>
      <c r="AC51" s="189">
        <v>-39.730673684210529</v>
      </c>
    </row>
    <row r="52" spans="1:29" x14ac:dyDescent="0.3">
      <c r="A52" s="189" t="s">
        <v>178</v>
      </c>
      <c r="B52" s="189">
        <v>14</v>
      </c>
      <c r="C52" s="189">
        <v>1</v>
      </c>
      <c r="D52" s="189">
        <v>18</v>
      </c>
      <c r="E52" s="189" t="s">
        <v>257</v>
      </c>
      <c r="F52" s="189">
        <v>0.71281663157894759</v>
      </c>
      <c r="G52" s="189">
        <v>-13.905841111111112</v>
      </c>
      <c r="H52" s="189">
        <v>122.7</v>
      </c>
      <c r="I52" s="189">
        <v>92</v>
      </c>
      <c r="J52" s="189">
        <v>8.75</v>
      </c>
      <c r="K52" s="189">
        <v>225.07314877335216</v>
      </c>
      <c r="L52" s="189">
        <v>26</v>
      </c>
      <c r="M52" s="189">
        <v>100.096802850598</v>
      </c>
      <c r="N52" s="189">
        <v>44.273254526940299</v>
      </c>
      <c r="O52" s="189">
        <v>19.324603279461108</v>
      </c>
      <c r="P52" s="189">
        <v>67.47016243301421</v>
      </c>
      <c r="Q52" s="189">
        <v>11.613361178981398</v>
      </c>
      <c r="R52" s="189">
        <v>4.5520700000000001E-3</v>
      </c>
      <c r="S52" s="189">
        <v>4.3900000000000006</v>
      </c>
      <c r="T52" s="189">
        <v>-3.5439763440860306</v>
      </c>
      <c r="U52" s="189">
        <v>399.30438596491229</v>
      </c>
      <c r="V52" s="189">
        <v>3.67</v>
      </c>
      <c r="W52" s="189">
        <v>11.4</v>
      </c>
      <c r="X52" s="189">
        <v>2.2850000000000108</v>
      </c>
      <c r="Y52" s="189">
        <v>66</v>
      </c>
      <c r="Z52" s="189">
        <v>1.1299999999999955</v>
      </c>
      <c r="AA52" s="189">
        <v>58.67</v>
      </c>
      <c r="AB52" s="189">
        <v>-69.5</v>
      </c>
      <c r="AC52" s="189">
        <v>-39.730673684210529</v>
      </c>
    </row>
    <row r="53" spans="1:29" x14ac:dyDescent="0.3">
      <c r="A53" s="189" t="s">
        <v>180</v>
      </c>
      <c r="B53" s="189">
        <v>14</v>
      </c>
      <c r="C53" s="189">
        <v>1</v>
      </c>
      <c r="D53" s="189">
        <v>20</v>
      </c>
      <c r="E53" s="189" t="s">
        <v>257</v>
      </c>
      <c r="F53" s="189">
        <v>0.6947153181818182</v>
      </c>
      <c r="G53" s="189">
        <v>-22.030776190476185</v>
      </c>
      <c r="H53" s="189">
        <v>179.8</v>
      </c>
      <c r="I53" s="189">
        <v>104.4</v>
      </c>
      <c r="J53" s="189">
        <v>10</v>
      </c>
      <c r="K53" s="189">
        <v>168.54879487611683</v>
      </c>
      <c r="L53" s="189">
        <v>21</v>
      </c>
      <c r="M53" s="189">
        <v>97.699910443943608</v>
      </c>
      <c r="N53" s="189">
        <v>49.522111622839638</v>
      </c>
      <c r="O53" s="189">
        <v>25.977798957572428</v>
      </c>
      <c r="P53" s="189">
        <v>68.767484711743634</v>
      </c>
      <c r="Q53" s="189">
        <v>23.819089860472193</v>
      </c>
      <c r="R53" s="189">
        <v>1.11E-2</v>
      </c>
      <c r="S53" s="189">
        <v>25.5</v>
      </c>
      <c r="T53" s="189">
        <v>-7.9411333333333527</v>
      </c>
      <c r="U53" s="189">
        <v>313.55932203389835</v>
      </c>
      <c r="V53" s="189">
        <v>0.8</v>
      </c>
      <c r="W53" s="189">
        <v>35.4</v>
      </c>
      <c r="X53" s="189">
        <v>3.5</v>
      </c>
      <c r="Y53" s="189">
        <v>75.837270000000004</v>
      </c>
      <c r="Z53" s="189">
        <v>3.279999999999994</v>
      </c>
      <c r="AA53" s="189">
        <v>57.988940909090907</v>
      </c>
      <c r="AB53" s="189">
        <v>-70.099999999999994</v>
      </c>
      <c r="AC53" s="189">
        <v>-26.286736363636354</v>
      </c>
    </row>
    <row r="54" spans="1:29" x14ac:dyDescent="0.3">
      <c r="A54" s="189" t="s">
        <v>182</v>
      </c>
      <c r="B54" s="189">
        <v>14</v>
      </c>
      <c r="C54" s="189">
        <v>1</v>
      </c>
      <c r="D54" s="189">
        <v>20</v>
      </c>
      <c r="E54" s="189" t="s">
        <v>257</v>
      </c>
      <c r="F54" s="189">
        <v>1.1282678571428573</v>
      </c>
      <c r="G54" s="189">
        <v>-8.9764999999999997</v>
      </c>
      <c r="H54" s="189">
        <v>212.8</v>
      </c>
      <c r="I54" s="189">
        <v>71.8</v>
      </c>
      <c r="J54" s="189">
        <v>7.8260869565217401</v>
      </c>
      <c r="K54" s="189">
        <v>116.10356437942646</v>
      </c>
      <c r="L54" s="189">
        <v>14</v>
      </c>
      <c r="M54" s="189">
        <v>44.418976565806332</v>
      </c>
      <c r="N54" s="189">
        <v>28.636884306987433</v>
      </c>
      <c r="O54" s="189">
        <v>3.7813252151700283</v>
      </c>
      <c r="P54" s="189">
        <v>33.047183856419224</v>
      </c>
      <c r="Q54" s="189">
        <v>28.636884306987433</v>
      </c>
      <c r="R54" s="189">
        <v>1.6865700000000001E-2</v>
      </c>
      <c r="S54" s="189">
        <v>4.1899999999999977</v>
      </c>
      <c r="T54" s="189">
        <v>-1.1156978494623506</v>
      </c>
      <c r="U54" s="189">
        <v>187.60511679644048</v>
      </c>
      <c r="V54" s="189">
        <v>0.28000000000000003</v>
      </c>
      <c r="W54" s="189">
        <v>89.9</v>
      </c>
      <c r="X54" s="189">
        <v>4.039999999999992</v>
      </c>
      <c r="Y54" s="189">
        <v>136</v>
      </c>
      <c r="Z54" s="189">
        <v>5.7900000000000063</v>
      </c>
      <c r="AA54" s="189">
        <v>79.870599999999982</v>
      </c>
      <c r="AB54" s="189">
        <v>-72</v>
      </c>
      <c r="AC54" s="189">
        <v>-38.297533333333334</v>
      </c>
    </row>
    <row r="55" spans="1:29" x14ac:dyDescent="0.3">
      <c r="A55" s="189" t="s">
        <v>184</v>
      </c>
      <c r="B55" s="189">
        <v>14</v>
      </c>
      <c r="C55" s="189">
        <v>1</v>
      </c>
      <c r="D55" s="189">
        <v>15</v>
      </c>
      <c r="E55" s="189" t="s">
        <v>257</v>
      </c>
      <c r="F55" s="189">
        <v>1.0393810000000001</v>
      </c>
      <c r="G55" s="189">
        <v>-13.729710526315793</v>
      </c>
      <c r="H55" s="189">
        <v>145.5</v>
      </c>
      <c r="I55" s="189">
        <v>79.5</v>
      </c>
      <c r="J55" s="189">
        <v>18.095238095238095</v>
      </c>
      <c r="K55" s="189">
        <v>148.21402104639068</v>
      </c>
      <c r="L55" s="189">
        <v>28</v>
      </c>
      <c r="M55" s="189">
        <v>53.75069593948394</v>
      </c>
      <c r="N55" s="189">
        <v>48.642864091837744</v>
      </c>
      <c r="O55" s="189">
        <v>31.064006681309554</v>
      </c>
      <c r="P55" s="189">
        <v>60.422099027245018</v>
      </c>
      <c r="Q55" s="189">
        <v>32.666471539607507</v>
      </c>
      <c r="R55" s="189">
        <v>8.6993499999999998E-3</v>
      </c>
      <c r="S55" s="189">
        <v>13.299999999999997</v>
      </c>
      <c r="T55" s="189">
        <v>-12.403919354838713</v>
      </c>
      <c r="U55" s="189">
        <v>204.2100938967136</v>
      </c>
      <c r="V55" s="189">
        <v>0.5</v>
      </c>
      <c r="W55" s="189">
        <v>42.6</v>
      </c>
      <c r="X55" s="189">
        <v>0.40999999999999659</v>
      </c>
      <c r="Y55" s="189">
        <v>22.17</v>
      </c>
      <c r="Z55" s="189">
        <v>4.1399999999999935</v>
      </c>
      <c r="AA55" s="189">
        <v>68.701170000000019</v>
      </c>
      <c r="AB55" s="189">
        <v>-65.599999999999994</v>
      </c>
      <c r="AC55" s="189">
        <v>-33.044429999999998</v>
      </c>
    </row>
    <row r="56" spans="1:29" x14ac:dyDescent="0.3">
      <c r="A56" s="189" t="s">
        <v>186</v>
      </c>
      <c r="B56" s="189">
        <v>14</v>
      </c>
      <c r="C56" s="189">
        <v>1</v>
      </c>
      <c r="D56" s="189">
        <v>15</v>
      </c>
      <c r="E56" s="189" t="s">
        <v>257</v>
      </c>
      <c r="F56" s="189">
        <v>1.2564378571428569</v>
      </c>
      <c r="G56" s="189">
        <v>-22.352938461538461</v>
      </c>
      <c r="H56" s="189">
        <v>124</v>
      </c>
      <c r="I56" s="189">
        <v>51.8</v>
      </c>
      <c r="J56" s="189">
        <v>12.727272727272728</v>
      </c>
      <c r="K56" s="189">
        <v>67.953248165262266</v>
      </c>
      <c r="L56" s="189">
        <v>10</v>
      </c>
      <c r="M56" s="189">
        <v>114.7324597339405</v>
      </c>
      <c r="N56" s="189">
        <v>18.026137899954929</v>
      </c>
      <c r="O56" s="189">
        <v>31.538137121645335</v>
      </c>
      <c r="P56" s="189">
        <v>41.090648733156804</v>
      </c>
      <c r="Q56" s="189">
        <v>15.729934354594834</v>
      </c>
      <c r="R56" s="189">
        <v>1.8761900000000001E-2</v>
      </c>
      <c r="S56" s="189">
        <v>6.9799999999999898</v>
      </c>
      <c r="T56" s="189">
        <v>-8.748372222222244</v>
      </c>
      <c r="U56" s="189">
        <v>228.52496954933011</v>
      </c>
      <c r="V56" s="189">
        <v>0.25</v>
      </c>
      <c r="W56" s="189">
        <v>82.1</v>
      </c>
      <c r="X56" s="189">
        <v>4.0999999999999996</v>
      </c>
      <c r="Y56" s="189">
        <v>67.34</v>
      </c>
      <c r="Z56" s="189">
        <v>2.2799999999999998</v>
      </c>
      <c r="AA56" s="189">
        <v>67.458635618914869</v>
      </c>
      <c r="AB56" s="189">
        <v>-65.599999999999994</v>
      </c>
      <c r="AC56" s="189">
        <v>-17.608650000000001</v>
      </c>
    </row>
    <row r="57" spans="1:29" x14ac:dyDescent="0.3">
      <c r="A57" s="189" t="s">
        <v>188</v>
      </c>
      <c r="B57" s="189">
        <v>14</v>
      </c>
      <c r="C57" s="189">
        <v>1</v>
      </c>
      <c r="D57" s="189">
        <v>15</v>
      </c>
      <c r="E57" s="189" t="s">
        <v>257</v>
      </c>
      <c r="F57" s="189">
        <v>0.84036874999999978</v>
      </c>
      <c r="G57" s="189">
        <v>-16.530366666666666</v>
      </c>
      <c r="H57" s="189">
        <v>158.69999999999999</v>
      </c>
      <c r="I57" s="189">
        <v>86.3</v>
      </c>
      <c r="J57" s="189">
        <v>16.315789473684209</v>
      </c>
      <c r="K57" s="189">
        <v>178.31669044222525</v>
      </c>
      <c r="L57" s="189">
        <v>40</v>
      </c>
      <c r="M57" s="189">
        <v>33.74781204811444</v>
      </c>
      <c r="N57" s="189">
        <v>65.802461012041832</v>
      </c>
      <c r="O57" s="189">
        <v>29.512673443562189</v>
      </c>
      <c r="P57" s="189">
        <v>84.808515506909785</v>
      </c>
      <c r="Q57" s="189">
        <v>26.662981284405774</v>
      </c>
      <c r="R57" s="189">
        <v>8.0309500000000002E-3</v>
      </c>
      <c r="S57" s="189"/>
      <c r="T57" s="189"/>
      <c r="U57" s="189">
        <v>207.51808785529715</v>
      </c>
      <c r="V57" s="189">
        <v>0.93</v>
      </c>
      <c r="W57" s="189">
        <v>38.700000000000003</v>
      </c>
      <c r="X57" s="189">
        <v>0.45000000000000284</v>
      </c>
      <c r="Y57" s="189">
        <v>136.99</v>
      </c>
      <c r="Z57" s="189">
        <v>5.1200000000000045</v>
      </c>
      <c r="AA57" s="189">
        <v>63.181566666666676</v>
      </c>
      <c r="AB57" s="189">
        <v>-65.599999999999994</v>
      </c>
      <c r="AC57" s="189">
        <v>-31.687408333333334</v>
      </c>
    </row>
    <row r="58" spans="1:29" x14ac:dyDescent="0.3">
      <c r="A58" s="189" t="s">
        <v>190</v>
      </c>
      <c r="B58" s="189">
        <v>14</v>
      </c>
      <c r="C58" s="189">
        <v>1</v>
      </c>
      <c r="D58" s="189">
        <v>19</v>
      </c>
      <c r="E58" s="189" t="s">
        <v>257</v>
      </c>
      <c r="F58" s="189">
        <v>0.93849554166666682</v>
      </c>
      <c r="G58" s="189">
        <v>-12.613047826086957</v>
      </c>
      <c r="H58" s="189">
        <v>200.2</v>
      </c>
      <c r="I58" s="189">
        <v>85.3</v>
      </c>
      <c r="J58" s="189">
        <v>7.3684210526315788</v>
      </c>
      <c r="K58" s="189">
        <v>161.36840406648372</v>
      </c>
      <c r="L58" s="189">
        <v>32</v>
      </c>
      <c r="M58" s="189">
        <v>41.256923322245754</v>
      </c>
      <c r="N58" s="189">
        <v>60.67961165048537</v>
      </c>
      <c r="O58" s="189">
        <v>15.434358764965921</v>
      </c>
      <c r="P58" s="189">
        <v>65.832932957626667</v>
      </c>
      <c r="Q58" s="189">
        <v>14.0778857596006</v>
      </c>
      <c r="R58" s="189">
        <v>1.31678E-2</v>
      </c>
      <c r="S58" s="189">
        <v>12.329999999999998</v>
      </c>
      <c r="T58" s="189">
        <v>-13.587588095238107</v>
      </c>
      <c r="U58" s="189">
        <v>455.63321799307965</v>
      </c>
      <c r="V58" s="189">
        <v>0.6</v>
      </c>
      <c r="W58" s="189">
        <v>28.9</v>
      </c>
      <c r="X58" s="189">
        <v>6.8299999999999983</v>
      </c>
      <c r="Y58" s="189">
        <v>112.5</v>
      </c>
      <c r="Z58" s="189">
        <v>1.3200000000000003</v>
      </c>
      <c r="AA58" s="189">
        <v>73.23965833333331</v>
      </c>
      <c r="AB58" s="189">
        <v>-68.5</v>
      </c>
      <c r="AC58" s="189">
        <v>-41.920975000000006</v>
      </c>
    </row>
    <row r="59" spans="1:29" x14ac:dyDescent="0.3">
      <c r="A59" s="189" t="s">
        <v>192</v>
      </c>
      <c r="B59" s="189">
        <v>14</v>
      </c>
      <c r="C59" s="189">
        <v>1</v>
      </c>
      <c r="D59" s="189">
        <v>22</v>
      </c>
      <c r="E59" s="189" t="s">
        <v>257</v>
      </c>
      <c r="F59" s="189">
        <v>1.0599146153846153</v>
      </c>
      <c r="G59" s="189">
        <v>-10.46245</v>
      </c>
      <c r="H59" s="189">
        <v>113.2</v>
      </c>
      <c r="I59" s="189">
        <v>63.8</v>
      </c>
      <c r="J59" s="189">
        <v>23.448275862068964</v>
      </c>
      <c r="K59" s="189">
        <v>194.09937888198809</v>
      </c>
      <c r="L59" s="189">
        <v>40</v>
      </c>
      <c r="M59" s="189">
        <v>64.75791591750675</v>
      </c>
      <c r="N59" s="189">
        <v>73.653973631877449</v>
      </c>
      <c r="O59" s="189">
        <v>38.506228434081294</v>
      </c>
      <c r="P59" s="189">
        <v>83.684767490227898</v>
      </c>
      <c r="Q59" s="189">
        <v>40.484120277483143</v>
      </c>
      <c r="R59" s="189">
        <v>8.1545999999999997E-3</v>
      </c>
      <c r="S59" s="189">
        <v>36.6</v>
      </c>
      <c r="T59" s="189"/>
      <c r="U59" s="189">
        <v>163.09199999999998</v>
      </c>
      <c r="V59" s="189">
        <v>0.36699999999999999</v>
      </c>
      <c r="W59" s="189">
        <v>50</v>
      </c>
      <c r="X59" s="189"/>
      <c r="Y59" s="189"/>
      <c r="Z59" s="189"/>
      <c r="AA59" s="189">
        <v>52.091169230769232</v>
      </c>
      <c r="AB59" s="189">
        <v>-65.099999999999994</v>
      </c>
      <c r="AC59" s="189">
        <v>-33.414726666666667</v>
      </c>
    </row>
    <row r="60" spans="1:29" x14ac:dyDescent="0.3">
      <c r="A60" s="189" t="s">
        <v>194</v>
      </c>
      <c r="B60" s="189">
        <v>14</v>
      </c>
      <c r="C60" s="189">
        <v>1</v>
      </c>
      <c r="D60" s="189">
        <v>22</v>
      </c>
      <c r="E60" s="189" t="s">
        <v>257</v>
      </c>
      <c r="F60" s="189">
        <v>0.79607337499999986</v>
      </c>
      <c r="G60" s="189">
        <v>-17.252587500000001</v>
      </c>
      <c r="H60" s="189">
        <v>175.8</v>
      </c>
      <c r="I60" s="189">
        <v>103.8</v>
      </c>
      <c r="J60" s="189">
        <v>19.230769230769234</v>
      </c>
      <c r="K60" s="189">
        <v>169.57775139901588</v>
      </c>
      <c r="L60" s="189">
        <v>29</v>
      </c>
      <c r="M60" s="189">
        <v>46.84229605344288</v>
      </c>
      <c r="N60" s="189">
        <v>51.639555899819236</v>
      </c>
      <c r="O60" s="189">
        <v>19.134816788906637</v>
      </c>
      <c r="P60" s="189">
        <v>69.445215343780674</v>
      </c>
      <c r="Q60" s="189">
        <v>32.925254887191592</v>
      </c>
      <c r="R60" s="189">
        <v>9.2408300000000002E-3</v>
      </c>
      <c r="S60" s="189">
        <v>36.6</v>
      </c>
      <c r="T60" s="189">
        <v>-11.698404761904756</v>
      </c>
      <c r="U60" s="189">
        <v>308.02766666666668</v>
      </c>
      <c r="V60" s="189">
        <v>0.48599999999999999</v>
      </c>
      <c r="W60" s="189">
        <v>30</v>
      </c>
      <c r="X60" s="189">
        <v>0.47999999999999687</v>
      </c>
      <c r="Y60" s="189">
        <v>138.5</v>
      </c>
      <c r="Z60" s="189">
        <v>6.3100000000000023</v>
      </c>
      <c r="AA60" s="189">
        <v>65.42968333333333</v>
      </c>
      <c r="AB60" s="189">
        <v>-62.6</v>
      </c>
      <c r="AC60" s="189">
        <v>-34.932462500000007</v>
      </c>
    </row>
    <row r="61" spans="1:29" x14ac:dyDescent="0.3">
      <c r="A61" s="189" t="s">
        <v>196</v>
      </c>
      <c r="B61" s="189">
        <v>14</v>
      </c>
      <c r="C61" s="189">
        <v>1</v>
      </c>
      <c r="D61" s="189">
        <v>22</v>
      </c>
      <c r="E61" s="189" t="s">
        <v>257</v>
      </c>
      <c r="F61" s="189">
        <v>0.65295580000000009</v>
      </c>
      <c r="G61" s="189">
        <v>-15.360526666666669</v>
      </c>
      <c r="H61" s="189">
        <v>207.8</v>
      </c>
      <c r="I61" s="189">
        <v>133.30000000000001</v>
      </c>
      <c r="J61" s="189">
        <v>7.2727272727272725</v>
      </c>
      <c r="K61" s="189">
        <v>220.94564737074629</v>
      </c>
      <c r="L61" s="189">
        <v>30</v>
      </c>
      <c r="M61" s="189">
        <v>58.103042392154791</v>
      </c>
      <c r="N61" s="189">
        <v>53.092646668436316</v>
      </c>
      <c r="O61" s="189">
        <v>14.914113830434998</v>
      </c>
      <c r="P61" s="189">
        <v>67.891072296897164</v>
      </c>
      <c r="Q61" s="189">
        <v>9.1002969003493828</v>
      </c>
      <c r="R61" s="189">
        <v>6.7328800000000001E-3</v>
      </c>
      <c r="S61" s="189">
        <v>17.03</v>
      </c>
      <c r="T61" s="189">
        <v>-5.0862642857142903</v>
      </c>
      <c r="U61" s="189">
        <v>418.19130434782608</v>
      </c>
      <c r="V61" s="189">
        <v>2.6</v>
      </c>
      <c r="W61" s="189">
        <v>16.100000000000001</v>
      </c>
      <c r="X61" s="189">
        <v>1.3199999999999932</v>
      </c>
      <c r="Y61" s="189">
        <v>87.67</v>
      </c>
      <c r="Z61" s="189">
        <v>4.2899999999999991</v>
      </c>
      <c r="AA61" s="189">
        <v>65.661626666666663</v>
      </c>
      <c r="AB61" s="189">
        <v>-65</v>
      </c>
      <c r="AC61" s="189">
        <v>-29.866540000000001</v>
      </c>
    </row>
    <row r="62" spans="1:29" x14ac:dyDescent="0.3">
      <c r="A62" s="189" t="s">
        <v>198</v>
      </c>
      <c r="B62" s="189">
        <v>14</v>
      </c>
      <c r="C62" s="189">
        <v>1</v>
      </c>
      <c r="D62" s="189">
        <v>19</v>
      </c>
      <c r="E62" s="189" t="s">
        <v>257</v>
      </c>
      <c r="F62" s="189">
        <v>0.69293559999999998</v>
      </c>
      <c r="G62" s="189">
        <v>-15.886578571428572</v>
      </c>
      <c r="H62" s="189">
        <v>172.4</v>
      </c>
      <c r="I62" s="189">
        <v>106.4</v>
      </c>
      <c r="J62" s="189">
        <v>5.3571428571428568</v>
      </c>
      <c r="K62" s="189">
        <v>221.63120567375884</v>
      </c>
      <c r="L62" s="189">
        <v>18</v>
      </c>
      <c r="M62" s="189">
        <v>65.234549090644506</v>
      </c>
      <c r="N62" s="189">
        <v>31.226580064951285</v>
      </c>
      <c r="O62" s="189">
        <v>11.485346090192815</v>
      </c>
      <c r="P62" s="189">
        <v>48.660918775143905</v>
      </c>
      <c r="Q62" s="189">
        <v>8.7984425954317018</v>
      </c>
      <c r="R62" s="189">
        <v>1.5065200000000001E-2</v>
      </c>
      <c r="S62" s="189">
        <v>4.8799999999999955</v>
      </c>
      <c r="T62" s="189">
        <v>-4.1416714285714322</v>
      </c>
      <c r="U62" s="189">
        <v>617.4262295081968</v>
      </c>
      <c r="V62" s="189">
        <v>4.16</v>
      </c>
      <c r="W62" s="189">
        <v>24.4</v>
      </c>
      <c r="X62" s="189">
        <v>3.519999999999996</v>
      </c>
      <c r="Y62" s="189">
        <v>54.99</v>
      </c>
      <c r="Z62" s="189">
        <v>2.3770000000000024</v>
      </c>
      <c r="AA62" s="189">
        <v>57.202146666666671</v>
      </c>
      <c r="AB62" s="189">
        <v>-67.8</v>
      </c>
      <c r="AC62" s="189">
        <v>-17.158999999999999</v>
      </c>
    </row>
    <row r="63" spans="1:29" x14ac:dyDescent="0.3">
      <c r="A63" s="189" t="s">
        <v>199</v>
      </c>
      <c r="B63" s="189">
        <v>14</v>
      </c>
      <c r="C63" s="189">
        <v>1</v>
      </c>
      <c r="D63" s="189">
        <v>19</v>
      </c>
      <c r="E63" s="189" t="s">
        <v>257</v>
      </c>
      <c r="F63" s="189">
        <v>0.54685449999999991</v>
      </c>
      <c r="G63" s="189">
        <v>-19.061284999999998</v>
      </c>
      <c r="H63" s="189">
        <v>244.17</v>
      </c>
      <c r="I63" s="189">
        <v>153</v>
      </c>
      <c r="J63" s="189">
        <v>12.5</v>
      </c>
      <c r="K63" s="189">
        <v>198.01980198019868</v>
      </c>
      <c r="L63" s="189">
        <v>24</v>
      </c>
      <c r="M63" s="189">
        <v>60.790166905412349</v>
      </c>
      <c r="N63" s="189">
        <v>49.830576041459082</v>
      </c>
      <c r="O63" s="189">
        <v>5.4006744538614546</v>
      </c>
      <c r="P63" s="189">
        <v>59.784394033000602</v>
      </c>
      <c r="Q63" s="189">
        <v>11.044982882772725</v>
      </c>
      <c r="R63" s="189">
        <v>9.68019E-3</v>
      </c>
      <c r="S63" s="189">
        <v>7.4099999999999966</v>
      </c>
      <c r="T63" s="189">
        <v>-6.4668202380952247</v>
      </c>
      <c r="U63" s="189">
        <v>534.81712707182317</v>
      </c>
      <c r="V63" s="189">
        <v>1.591</v>
      </c>
      <c r="W63" s="189">
        <v>18.100000000000001</v>
      </c>
      <c r="X63" s="189">
        <v>2.3899999999999864</v>
      </c>
      <c r="Y63" s="189">
        <v>41.83</v>
      </c>
      <c r="Z63" s="189">
        <v>6.2309999999999945</v>
      </c>
      <c r="AA63" s="189">
        <v>70.129384999999985</v>
      </c>
      <c r="AB63" s="189">
        <v>-63</v>
      </c>
      <c r="AC63" s="189">
        <v>-30.2</v>
      </c>
    </row>
    <row r="64" spans="1:29" x14ac:dyDescent="0.3">
      <c r="A64" s="189" t="s">
        <v>200</v>
      </c>
      <c r="B64" s="189">
        <v>14</v>
      </c>
      <c r="C64" s="189">
        <v>1</v>
      </c>
      <c r="D64" s="189">
        <v>19</v>
      </c>
      <c r="E64" s="189" t="s">
        <v>257</v>
      </c>
      <c r="F64" s="189">
        <v>0.69982861538461549</v>
      </c>
      <c r="G64" s="189">
        <v>-21.404576923076924</v>
      </c>
      <c r="H64" s="189">
        <v>210.7</v>
      </c>
      <c r="I64" s="189">
        <v>101.8</v>
      </c>
      <c r="J64" s="189">
        <v>11.818181818181818</v>
      </c>
      <c r="K64" s="189">
        <v>162.89297931259136</v>
      </c>
      <c r="L64" s="189">
        <v>30</v>
      </c>
      <c r="M64" s="189">
        <v>69.087318595865312</v>
      </c>
      <c r="N64" s="189">
        <v>61.425061425061102</v>
      </c>
      <c r="O64" s="189">
        <v>25.272117440565982</v>
      </c>
      <c r="P64" s="189">
        <v>63.609065101886863</v>
      </c>
      <c r="Q64" s="189">
        <v>24.198899379043194</v>
      </c>
      <c r="R64" s="189">
        <v>7.2293399999999999E-3</v>
      </c>
      <c r="S64" s="189">
        <v>12.290000000000006</v>
      </c>
      <c r="T64" s="189">
        <v>-11.262440476190468</v>
      </c>
      <c r="U64" s="189">
        <v>240.97800000000001</v>
      </c>
      <c r="V64" s="189">
        <v>0.8</v>
      </c>
      <c r="W64" s="189">
        <v>30</v>
      </c>
      <c r="X64" s="189">
        <v>5.1800000000000068</v>
      </c>
      <c r="Y64" s="189">
        <v>67.22</v>
      </c>
      <c r="Z64" s="189">
        <v>3.8699999999999974</v>
      </c>
      <c r="AA64" s="189">
        <v>60.011646153846151</v>
      </c>
      <c r="AB64" s="189">
        <v>-66.040000000000006</v>
      </c>
      <c r="AC64" s="189">
        <v>-28.32</v>
      </c>
    </row>
    <row r="65" spans="1:29" x14ac:dyDescent="0.3">
      <c r="A65" s="189" t="s">
        <v>201</v>
      </c>
      <c r="B65" s="189">
        <v>14</v>
      </c>
      <c r="C65" s="189">
        <v>1</v>
      </c>
      <c r="D65" s="189">
        <v>16</v>
      </c>
      <c r="E65" s="189" t="s">
        <v>257</v>
      </c>
      <c r="F65" s="189">
        <v>0.60072928000000003</v>
      </c>
      <c r="G65" s="189">
        <v>-12.248539999999998</v>
      </c>
      <c r="H65" s="189">
        <v>273</v>
      </c>
      <c r="I65" s="189">
        <v>153</v>
      </c>
      <c r="J65" s="189">
        <v>3.75</v>
      </c>
      <c r="K65" s="189">
        <v>226.75736961451264</v>
      </c>
      <c r="L65" s="189">
        <v>34</v>
      </c>
      <c r="M65" s="189">
        <v>32.511696903100834</v>
      </c>
      <c r="N65" s="189">
        <v>60.474117077890448</v>
      </c>
      <c r="O65" s="189">
        <v>8.6195003653692304</v>
      </c>
      <c r="P65" s="189">
        <v>73.63850951037962</v>
      </c>
      <c r="Q65" s="189">
        <v>6.3670629449809013</v>
      </c>
      <c r="R65" s="189">
        <v>7.89692E-3</v>
      </c>
      <c r="S65" s="189">
        <v>2.6599999999999966</v>
      </c>
      <c r="T65" s="189">
        <v>-1.8165226190476229</v>
      </c>
      <c r="U65" s="189">
        <v>295.76479400749065</v>
      </c>
      <c r="V65" s="189">
        <v>1.77</v>
      </c>
      <c r="W65" s="189">
        <v>26.7</v>
      </c>
      <c r="X65" s="189">
        <v>1.3830000000000098</v>
      </c>
      <c r="Y65" s="189">
        <v>100.36499999999999</v>
      </c>
      <c r="Z65" s="189">
        <v>2.529999999999994</v>
      </c>
      <c r="AA65" s="189">
        <v>81.923839999999998</v>
      </c>
      <c r="AB65" s="189">
        <v>-64.42</v>
      </c>
      <c r="AC65" s="189">
        <v>-34.79</v>
      </c>
    </row>
    <row r="66" spans="1:29" ht="15" thickBot="1" x14ac:dyDescent="0.35">
      <c r="A66" s="189" t="s">
        <v>202</v>
      </c>
      <c r="B66" s="189">
        <v>14</v>
      </c>
      <c r="C66" s="189">
        <v>1</v>
      </c>
      <c r="D66" s="189">
        <v>16</v>
      </c>
      <c r="E66" s="189" t="s">
        <v>257</v>
      </c>
      <c r="F66" s="189">
        <v>0.52446637499999993</v>
      </c>
      <c r="G66" s="189">
        <v>-13.239343478260867</v>
      </c>
      <c r="H66" s="189">
        <v>295.64999999999998</v>
      </c>
      <c r="I66" s="189">
        <v>174.22</v>
      </c>
      <c r="J66" s="189">
        <v>4.6875</v>
      </c>
      <c r="K66" s="189">
        <v>250.87807325639622</v>
      </c>
      <c r="L66" s="189">
        <v>40</v>
      </c>
      <c r="M66" s="189">
        <v>34.166482233987402</v>
      </c>
      <c r="N66" s="189">
        <v>75.872534142639992</v>
      </c>
      <c r="O66" s="189">
        <v>10.264279335098612</v>
      </c>
      <c r="P66" s="189">
        <v>84.08601496617257</v>
      </c>
      <c r="Q66" s="189">
        <v>9.1578626760830257</v>
      </c>
      <c r="R66" s="189">
        <v>6.5080600000000004E-3</v>
      </c>
      <c r="S66" s="189">
        <v>1.6599999999999966</v>
      </c>
      <c r="T66" s="189">
        <v>-2.325147619047605</v>
      </c>
      <c r="U66" s="189">
        <v>510.83673469387753</v>
      </c>
      <c r="V66" s="189">
        <v>2.1</v>
      </c>
      <c r="W66" s="189">
        <v>12.74</v>
      </c>
      <c r="X66" s="189">
        <v>2.4830000000000041</v>
      </c>
      <c r="Y66" s="189">
        <v>47.484999999999999</v>
      </c>
      <c r="Z66" s="189">
        <v>3.3500000000000014</v>
      </c>
      <c r="AA66" s="189">
        <v>82.308449999999993</v>
      </c>
      <c r="AB66" s="189">
        <v>-66</v>
      </c>
      <c r="AC66" s="189">
        <v>-42.808516666666662</v>
      </c>
    </row>
    <row r="67" spans="1:29" x14ac:dyDescent="0.3">
      <c r="A67" s="193" t="s">
        <v>259</v>
      </c>
      <c r="B67" s="191">
        <v>14</v>
      </c>
      <c r="C67" s="191">
        <v>1</v>
      </c>
      <c r="D67" s="192">
        <v>15</v>
      </c>
      <c r="E67" s="195" t="s">
        <v>257</v>
      </c>
      <c r="F67" s="189">
        <v>0.63625236666666685</v>
      </c>
      <c r="G67" s="189">
        <v>-13.772900000000003</v>
      </c>
      <c r="H67" s="191">
        <v>270.48</v>
      </c>
      <c r="I67" s="191">
        <v>136.9</v>
      </c>
      <c r="J67" s="189">
        <v>9.2307692307692317</v>
      </c>
      <c r="K67" s="189">
        <v>205.12820512820514</v>
      </c>
      <c r="L67" s="189">
        <v>35</v>
      </c>
      <c r="M67" s="189">
        <v>72.4957623723095</v>
      </c>
      <c r="N67" s="189">
        <v>63.613231552163199</v>
      </c>
      <c r="O67" s="189">
        <v>21.135374522770867</v>
      </c>
      <c r="P67" s="189">
        <v>71.663255293104697</v>
      </c>
      <c r="Q67" s="189">
        <v>17.381992389587598</v>
      </c>
      <c r="R67" s="189">
        <v>7.1128600000000004E-3</v>
      </c>
      <c r="S67" s="189">
        <f>83.36-78.37</f>
        <v>4.9899999999999949</v>
      </c>
      <c r="T67" s="189">
        <v>-4.2658967741935401</v>
      </c>
      <c r="U67" s="189">
        <f>(R67/W67)*1000000</f>
        <v>366.64226804123712</v>
      </c>
      <c r="V67" s="193">
        <v>1.5</v>
      </c>
      <c r="W67" s="189">
        <v>19.399999999999999</v>
      </c>
      <c r="X67" s="189">
        <v>3.8000000000000114</v>
      </c>
      <c r="Y67" s="189">
        <v>77.936335</v>
      </c>
      <c r="Z67" s="189">
        <v>1.7740000000000009</v>
      </c>
      <c r="AA67" s="189">
        <v>80.550126666666657</v>
      </c>
      <c r="AB67" s="191">
        <v>-66.2</v>
      </c>
      <c r="AC67" s="204">
        <v>-43.041990000000006</v>
      </c>
    </row>
    <row r="68" spans="1:29" x14ac:dyDescent="0.3">
      <c r="A68" s="193" t="s">
        <v>260</v>
      </c>
      <c r="B68" s="191">
        <v>14</v>
      </c>
      <c r="C68" s="191">
        <v>1</v>
      </c>
      <c r="D68" s="192">
        <v>15</v>
      </c>
      <c r="E68" s="195" t="s">
        <v>257</v>
      </c>
      <c r="F68" s="189">
        <v>0.63048936666666677</v>
      </c>
      <c r="G68" s="189">
        <v>-15.296675862068962</v>
      </c>
      <c r="H68" s="191">
        <v>254.55</v>
      </c>
      <c r="I68" s="191">
        <v>126.38</v>
      </c>
      <c r="J68" s="189">
        <v>16</v>
      </c>
      <c r="K68" s="189">
        <v>211.10407430863438</v>
      </c>
      <c r="L68" s="189">
        <v>42</v>
      </c>
      <c r="M68" s="189">
        <v>88.353171058861818</v>
      </c>
      <c r="N68" s="189">
        <v>78.67820613689986</v>
      </c>
      <c r="O68" s="189">
        <v>33.044561760836864</v>
      </c>
      <c r="P68" s="189">
        <v>86.156719878966626</v>
      </c>
      <c r="Q68" s="189">
        <v>28.704062551234948</v>
      </c>
      <c r="R68" s="189">
        <v>6.2213199999999998E-3</v>
      </c>
      <c r="S68" s="189">
        <f>90.9-80.1</f>
        <v>10.800000000000011</v>
      </c>
      <c r="T68" s="189">
        <v>-10.566302150537636</v>
      </c>
      <c r="U68" s="189">
        <f>(R68/W68)*1000000</f>
        <v>280.23963963963962</v>
      </c>
      <c r="V68" s="193">
        <v>0.9</v>
      </c>
      <c r="W68" s="189">
        <v>22.2</v>
      </c>
      <c r="X68" s="189">
        <v>3.5</v>
      </c>
      <c r="Y68" s="189">
        <v>73.684209999999993</v>
      </c>
      <c r="Z68" s="189">
        <v>1.5700000000000003</v>
      </c>
      <c r="AA68" s="189">
        <v>75.402829999999994</v>
      </c>
      <c r="AB68" s="191">
        <v>-67.3</v>
      </c>
      <c r="AC68" s="205">
        <v>-39.689126666666674</v>
      </c>
    </row>
    <row r="69" spans="1:29" x14ac:dyDescent="0.3">
      <c r="A69" s="193" t="s">
        <v>261</v>
      </c>
      <c r="B69" s="191">
        <v>14</v>
      </c>
      <c r="C69" s="191">
        <v>1</v>
      </c>
      <c r="D69" s="192">
        <v>15</v>
      </c>
      <c r="E69" s="195" t="s">
        <v>257</v>
      </c>
      <c r="F69" s="189">
        <v>0.51430034482758602</v>
      </c>
      <c r="G69" s="189">
        <v>-18.327989285714292</v>
      </c>
      <c r="H69" s="191">
        <v>270.10000000000002</v>
      </c>
      <c r="I69" s="191">
        <v>166.4</v>
      </c>
      <c r="J69" s="189">
        <v>10</v>
      </c>
      <c r="K69" s="189">
        <v>218.05494984736228</v>
      </c>
      <c r="L69" s="189">
        <v>34</v>
      </c>
      <c r="M69" s="189">
        <v>126.05842006473955</v>
      </c>
      <c r="N69" s="189">
        <v>59.105148058395947</v>
      </c>
      <c r="O69" s="189">
        <v>24.444382076662251</v>
      </c>
      <c r="P69" s="189">
        <v>72.017951249520365</v>
      </c>
      <c r="Q69" s="189">
        <v>15.610786515591517</v>
      </c>
      <c r="R69" s="189">
        <v>6.32323E-3</v>
      </c>
      <c r="S69" s="189">
        <f>78.5-73.4</f>
        <v>5.0999999999999943</v>
      </c>
      <c r="T69" s="189">
        <v>-4.2658989247312</v>
      </c>
      <c r="U69" s="189">
        <f>(R69/W69)*1000000</f>
        <v>881.90097629009756</v>
      </c>
      <c r="V69" s="193">
        <v>2.5</v>
      </c>
      <c r="W69" s="189">
        <v>7.17</v>
      </c>
      <c r="X69" s="189">
        <v>2.1500000000000057</v>
      </c>
      <c r="Y69" s="189">
        <v>69.8</v>
      </c>
      <c r="Z69" s="189">
        <v>3.1799999999999997</v>
      </c>
      <c r="AA69" s="191">
        <v>73.793613793103461</v>
      </c>
      <c r="AB69" s="191">
        <v>-64.7</v>
      </c>
      <c r="AC69" s="205">
        <v>-39.190886206896558</v>
      </c>
    </row>
    <row r="70" spans="1:29" x14ac:dyDescent="0.3">
      <c r="A70" s="193" t="s">
        <v>262</v>
      </c>
      <c r="B70" s="191">
        <v>14</v>
      </c>
      <c r="C70" s="191">
        <v>1</v>
      </c>
      <c r="D70" s="192">
        <v>15</v>
      </c>
      <c r="E70" s="195" t="s">
        <v>257</v>
      </c>
      <c r="F70" s="189">
        <v>0.64149563636363638</v>
      </c>
      <c r="G70" s="189">
        <v>-14.698354545454544</v>
      </c>
      <c r="H70" s="191">
        <v>235.9</v>
      </c>
      <c r="I70" s="191">
        <v>122.2</v>
      </c>
      <c r="J70" s="189">
        <v>11.666666666666668</v>
      </c>
      <c r="K70" s="189">
        <v>188.00526414739653</v>
      </c>
      <c r="L70" s="189">
        <v>38</v>
      </c>
      <c r="M70" s="189">
        <v>116.86089146887596</v>
      </c>
      <c r="N70" s="189">
        <v>73.072707343806769</v>
      </c>
      <c r="O70" s="189">
        <v>24.470005563062642</v>
      </c>
      <c r="P70" s="189">
        <v>77.723145340651584</v>
      </c>
      <c r="Q70" s="189">
        <v>18.797638446589826</v>
      </c>
      <c r="R70" s="189">
        <v>7.0988900000000001E-3</v>
      </c>
      <c r="S70" s="189">
        <f>68.13-67.25</f>
        <v>0.87999999999999545</v>
      </c>
      <c r="T70" s="189">
        <v>-1.3782129032258188</v>
      </c>
      <c r="U70" s="189">
        <f>(R70/W70)*1000000</f>
        <v>910.11410256410261</v>
      </c>
      <c r="V70" s="193">
        <v>2.2999999999999998</v>
      </c>
      <c r="W70" s="189">
        <v>7.8</v>
      </c>
      <c r="X70" s="189">
        <v>3.9599999999999937</v>
      </c>
      <c r="Y70" s="189">
        <v>53.553215000000002</v>
      </c>
      <c r="Z70" s="189">
        <v>0.8300000000000054</v>
      </c>
      <c r="AA70" s="189">
        <v>71.161445454545458</v>
      </c>
      <c r="AB70" s="191">
        <v>-67.8</v>
      </c>
      <c r="AC70" s="205">
        <v>-44.527927272727268</v>
      </c>
    </row>
    <row r="88" spans="1:29" x14ac:dyDescent="0.3">
      <c r="A88" s="197"/>
      <c r="B88" s="197"/>
      <c r="C88" s="197"/>
      <c r="D88" s="197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197"/>
      <c r="P88" s="197"/>
      <c r="Q88" s="197"/>
      <c r="R88" s="197"/>
      <c r="S88" s="197"/>
      <c r="U88" s="197"/>
      <c r="V88" s="197"/>
      <c r="W88" s="197"/>
      <c r="X88" s="197"/>
      <c r="Y88" s="197"/>
      <c r="Z88" s="197"/>
      <c r="AA88" s="197"/>
      <c r="AB88" s="197"/>
      <c r="AC88" s="197"/>
    </row>
    <row r="89" spans="1:29" x14ac:dyDescent="0.3">
      <c r="A89" s="197"/>
      <c r="B89" s="197"/>
      <c r="C89" s="197"/>
      <c r="D89" s="197"/>
      <c r="E89" s="197"/>
      <c r="F89" s="197"/>
      <c r="G89" s="197"/>
      <c r="H89" s="197"/>
      <c r="I89" s="197"/>
      <c r="J89" s="197"/>
      <c r="K89" s="197"/>
      <c r="L89" s="197"/>
      <c r="M89" s="197"/>
      <c r="N89" s="197"/>
      <c r="O89" s="197"/>
      <c r="P89" s="197"/>
      <c r="Q89" s="197"/>
      <c r="R89" s="197"/>
      <c r="S89" s="197"/>
      <c r="U89" s="197"/>
      <c r="V89" s="197"/>
      <c r="W89" s="197"/>
      <c r="X89" s="197"/>
      <c r="Y89" s="197"/>
      <c r="Z89" s="197"/>
      <c r="AA89" s="197"/>
      <c r="AB89" s="197"/>
      <c r="AC89" s="197"/>
    </row>
    <row r="90" spans="1:29" x14ac:dyDescent="0.3">
      <c r="A90" s="197"/>
      <c r="B90" s="197"/>
      <c r="C90" s="197"/>
      <c r="D90" s="197"/>
      <c r="E90" s="197"/>
      <c r="F90" s="197"/>
      <c r="G90" s="197"/>
      <c r="H90" s="197"/>
      <c r="I90" s="197"/>
      <c r="J90" s="197"/>
      <c r="K90" s="197"/>
      <c r="L90" s="197"/>
      <c r="M90" s="197"/>
      <c r="N90" s="197"/>
      <c r="O90" s="197"/>
      <c r="P90" s="197"/>
      <c r="Q90" s="197"/>
      <c r="R90" s="197"/>
      <c r="S90" s="197"/>
      <c r="U90" s="197"/>
      <c r="V90" s="197"/>
      <c r="W90" s="197"/>
      <c r="X90" s="197"/>
      <c r="Y90" s="197"/>
      <c r="Z90" s="197"/>
      <c r="AA90" s="197"/>
      <c r="AB90" s="197"/>
      <c r="AC90" s="197"/>
    </row>
    <row r="91" spans="1:29" x14ac:dyDescent="0.3">
      <c r="A91" s="197"/>
      <c r="B91" s="197"/>
      <c r="C91" s="197"/>
      <c r="D91" s="197"/>
      <c r="E91" s="197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197"/>
      <c r="Q91" s="197"/>
      <c r="R91" s="197"/>
      <c r="S91" s="197"/>
      <c r="U91" s="197"/>
      <c r="V91" s="197"/>
      <c r="W91" s="197"/>
      <c r="X91" s="197"/>
      <c r="Y91" s="197"/>
      <c r="Z91" s="197"/>
      <c r="AA91" s="197"/>
      <c r="AB91" s="197"/>
      <c r="AC91" s="197"/>
    </row>
    <row r="92" spans="1:29" x14ac:dyDescent="0.3">
      <c r="A92" s="197"/>
      <c r="B92" s="197"/>
      <c r="C92" s="197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U92" s="197"/>
      <c r="V92" s="197"/>
      <c r="W92" s="197"/>
      <c r="X92" s="197"/>
      <c r="Y92" s="197"/>
      <c r="Z92" s="197"/>
      <c r="AA92" s="197"/>
      <c r="AB92" s="197"/>
      <c r="AC92" s="197"/>
    </row>
    <row r="93" spans="1:29" x14ac:dyDescent="0.3">
      <c r="A93" s="197"/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  <c r="R93" s="197"/>
      <c r="S93" s="197"/>
      <c r="U93" s="197"/>
      <c r="V93" s="197"/>
      <c r="W93" s="197"/>
      <c r="X93" s="197"/>
      <c r="Y93" s="197"/>
      <c r="Z93" s="197"/>
      <c r="AA93" s="197"/>
      <c r="AB93" s="197"/>
      <c r="AC93" s="197"/>
    </row>
    <row r="94" spans="1:29" x14ac:dyDescent="0.3">
      <c r="A94" s="197"/>
      <c r="B94" s="197"/>
      <c r="C94" s="197"/>
      <c r="D94" s="197"/>
      <c r="E94" s="197"/>
      <c r="F94" s="197"/>
      <c r="G94" s="197"/>
      <c r="H94" s="197"/>
      <c r="I94" s="197"/>
      <c r="J94" s="197"/>
      <c r="K94" s="197"/>
      <c r="L94" s="197"/>
      <c r="M94" s="197"/>
      <c r="N94" s="197"/>
      <c r="O94" s="197"/>
      <c r="P94" s="197"/>
      <c r="Q94" s="197"/>
      <c r="R94" s="197"/>
      <c r="S94" s="197"/>
      <c r="U94" s="197"/>
      <c r="V94" s="197"/>
      <c r="W94" s="197"/>
      <c r="X94" s="197"/>
      <c r="Y94" s="197"/>
      <c r="Z94" s="197"/>
      <c r="AA94" s="197"/>
      <c r="AB94" s="197"/>
      <c r="AC94" s="197"/>
    </row>
    <row r="95" spans="1:29" x14ac:dyDescent="0.3">
      <c r="A95" s="197"/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7"/>
      <c r="M95" s="197"/>
      <c r="N95" s="197"/>
      <c r="O95" s="197"/>
      <c r="P95" s="197"/>
      <c r="Q95" s="197"/>
      <c r="R95" s="197"/>
      <c r="S95" s="197"/>
      <c r="U95" s="197"/>
      <c r="V95" s="197"/>
      <c r="W95" s="197"/>
      <c r="X95" s="197"/>
      <c r="Y95" s="197"/>
      <c r="Z95" s="197"/>
      <c r="AA95" s="197"/>
      <c r="AB95" s="197"/>
      <c r="AC95" s="197"/>
    </row>
    <row r="118" spans="1:29" x14ac:dyDescent="0.3">
      <c r="A118" s="189"/>
      <c r="B118" s="189"/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U118" s="189"/>
      <c r="V118" s="189"/>
      <c r="W118" s="189"/>
      <c r="X118" s="189"/>
      <c r="Y118" s="189"/>
      <c r="Z118" s="189"/>
      <c r="AA118" s="189"/>
      <c r="AB118" s="189"/>
      <c r="AC118" s="189"/>
    </row>
    <row r="119" spans="1:29" x14ac:dyDescent="0.3">
      <c r="A119" s="189"/>
      <c r="B119" s="189"/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U119" s="189"/>
      <c r="V119" s="189"/>
      <c r="W119" s="189"/>
      <c r="X119" s="189"/>
      <c r="Y119" s="189"/>
      <c r="Z119" s="189"/>
      <c r="AA119" s="189"/>
      <c r="AB119" s="189"/>
      <c r="AC119" s="189"/>
    </row>
    <row r="120" spans="1:29" x14ac:dyDescent="0.3">
      <c r="A120" s="189"/>
      <c r="B120" s="189"/>
      <c r="C120" s="189"/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  <c r="S120" s="189"/>
      <c r="U120" s="189"/>
      <c r="V120" s="189"/>
      <c r="W120" s="189"/>
      <c r="X120" s="189"/>
      <c r="Y120" s="189"/>
      <c r="Z120" s="189"/>
      <c r="AA120" s="189"/>
      <c r="AB120" s="189"/>
      <c r="AC120" s="189"/>
    </row>
    <row r="121" spans="1:29" x14ac:dyDescent="0.3">
      <c r="A121" s="189"/>
      <c r="B121" s="189"/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U121" s="189"/>
      <c r="V121" s="189"/>
      <c r="W121" s="189"/>
      <c r="X121" s="189"/>
      <c r="Y121" s="189"/>
      <c r="Z121" s="189"/>
      <c r="AA121" s="189"/>
      <c r="AB121" s="189"/>
      <c r="AC121" s="189"/>
    </row>
    <row r="122" spans="1:29" x14ac:dyDescent="0.3">
      <c r="A122" s="189"/>
      <c r="B122" s="189"/>
      <c r="C122" s="189"/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N122" s="189"/>
      <c r="O122" s="189"/>
      <c r="P122" s="189"/>
      <c r="Q122" s="189"/>
      <c r="R122" s="189"/>
      <c r="S122" s="189"/>
      <c r="U122" s="189"/>
      <c r="V122" s="189"/>
      <c r="W122" s="189"/>
      <c r="X122" s="189"/>
      <c r="Y122" s="189"/>
      <c r="Z122" s="189"/>
      <c r="AA122" s="189"/>
      <c r="AB122" s="189"/>
      <c r="AC122" s="189"/>
    </row>
    <row r="123" spans="1:29" x14ac:dyDescent="0.3">
      <c r="A123" s="189"/>
      <c r="B123" s="189"/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  <c r="S123" s="189"/>
      <c r="U123" s="189"/>
      <c r="V123" s="189"/>
      <c r="W123" s="189"/>
      <c r="X123" s="189"/>
      <c r="Y123" s="189"/>
      <c r="Z123" s="189"/>
      <c r="AA123" s="189"/>
      <c r="AB123" s="189"/>
      <c r="AC123" s="189"/>
    </row>
    <row r="124" spans="1:29" x14ac:dyDescent="0.3">
      <c r="A124" s="189"/>
      <c r="B124" s="189"/>
      <c r="C124" s="189"/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N124" s="189"/>
      <c r="O124" s="189"/>
      <c r="P124" s="189"/>
      <c r="Q124" s="189"/>
      <c r="R124" s="189"/>
      <c r="S124" s="189"/>
      <c r="U124" s="189"/>
      <c r="V124" s="189"/>
      <c r="W124" s="189"/>
      <c r="X124" s="189"/>
      <c r="Y124" s="189"/>
      <c r="Z124" s="189"/>
      <c r="AA124" s="189"/>
      <c r="AB124" s="189"/>
      <c r="AC124" s="189"/>
    </row>
    <row r="125" spans="1:29" x14ac:dyDescent="0.3">
      <c r="A125" s="190"/>
      <c r="B125" s="191"/>
      <c r="C125" s="191"/>
      <c r="D125" s="192"/>
      <c r="E125" s="193"/>
      <c r="F125" s="191"/>
      <c r="G125" s="191"/>
      <c r="H125" s="191"/>
      <c r="I125" s="191"/>
      <c r="J125" s="189"/>
      <c r="K125" s="191"/>
      <c r="L125" s="191"/>
      <c r="M125" s="189"/>
      <c r="N125" s="191"/>
      <c r="O125" s="189"/>
      <c r="P125" s="191"/>
      <c r="Q125" s="189"/>
      <c r="R125" s="194"/>
      <c r="S125" s="191"/>
      <c r="U125" s="191"/>
      <c r="V125" s="193"/>
      <c r="W125" s="191"/>
      <c r="X125" s="191"/>
      <c r="Y125" s="191"/>
      <c r="Z125" s="191"/>
      <c r="AA125" s="191"/>
      <c r="AB125" s="191"/>
      <c r="AC125" s="191"/>
    </row>
    <row r="126" spans="1:29" x14ac:dyDescent="0.3">
      <c r="A126" s="190"/>
      <c r="B126" s="191"/>
      <c r="C126" s="191"/>
      <c r="D126" s="192"/>
      <c r="E126" s="193"/>
      <c r="F126" s="191"/>
      <c r="G126" s="191"/>
      <c r="H126" s="191"/>
      <c r="I126" s="191"/>
      <c r="J126" s="189"/>
      <c r="K126" s="191"/>
      <c r="L126" s="191"/>
      <c r="M126" s="189"/>
      <c r="N126" s="191"/>
      <c r="O126" s="189"/>
      <c r="P126" s="191"/>
      <c r="Q126" s="189"/>
      <c r="R126" s="191"/>
      <c r="S126" s="191"/>
      <c r="U126" s="191"/>
      <c r="V126" s="193"/>
      <c r="W126" s="191"/>
      <c r="X126" s="191"/>
      <c r="Y126" s="191"/>
      <c r="Z126" s="191"/>
      <c r="AA126" s="191"/>
      <c r="AB126" s="191"/>
      <c r="AC126" s="191"/>
    </row>
    <row r="127" spans="1:29" x14ac:dyDescent="0.3">
      <c r="A127" s="190"/>
      <c r="B127" s="191"/>
      <c r="C127" s="191"/>
      <c r="D127" s="192"/>
      <c r="E127" s="193"/>
      <c r="F127" s="191"/>
      <c r="G127" s="191"/>
      <c r="H127" s="191"/>
      <c r="I127" s="191"/>
      <c r="J127" s="189"/>
      <c r="K127" s="191"/>
      <c r="L127" s="191"/>
      <c r="M127" s="189"/>
      <c r="N127" s="191"/>
      <c r="O127" s="189"/>
      <c r="P127" s="191"/>
      <c r="Q127" s="189"/>
      <c r="R127" s="191"/>
      <c r="S127" s="191"/>
      <c r="U127" s="191"/>
      <c r="V127" s="193"/>
      <c r="W127" s="191"/>
      <c r="X127" s="191"/>
      <c r="Y127" s="191"/>
      <c r="Z127" s="191"/>
      <c r="AA127" s="191"/>
      <c r="AB127" s="191"/>
      <c r="AC127" s="191"/>
    </row>
    <row r="128" spans="1:29" x14ac:dyDescent="0.3">
      <c r="A128" s="193"/>
      <c r="B128" s="191"/>
      <c r="C128" s="191"/>
      <c r="D128" s="192"/>
      <c r="E128" s="193"/>
      <c r="F128" s="191"/>
      <c r="G128" s="191"/>
      <c r="H128" s="191"/>
      <c r="I128" s="191"/>
      <c r="J128" s="189"/>
      <c r="K128" s="191"/>
      <c r="L128" s="191"/>
      <c r="M128" s="189"/>
      <c r="N128" s="191"/>
      <c r="O128" s="189"/>
      <c r="P128" s="191"/>
      <c r="Q128" s="189"/>
      <c r="R128" s="191"/>
      <c r="S128" s="191"/>
      <c r="U128" s="191"/>
      <c r="V128" s="193"/>
      <c r="W128" s="191"/>
      <c r="X128" s="191"/>
      <c r="Y128" s="191"/>
      <c r="Z128" s="191"/>
      <c r="AA128" s="191"/>
      <c r="AB128" s="191"/>
      <c r="AC128" s="191"/>
    </row>
    <row r="129" spans="1:29" x14ac:dyDescent="0.3">
      <c r="A129" s="193"/>
      <c r="B129" s="191"/>
      <c r="C129" s="191"/>
      <c r="D129" s="192"/>
      <c r="E129" s="193"/>
      <c r="F129" s="191"/>
      <c r="G129" s="191"/>
      <c r="H129" s="191"/>
      <c r="I129" s="191"/>
      <c r="J129" s="189"/>
      <c r="K129" s="191"/>
      <c r="L129" s="191"/>
      <c r="M129" s="189"/>
      <c r="N129" s="191"/>
      <c r="O129" s="189"/>
      <c r="P129" s="191"/>
      <c r="Q129" s="189"/>
      <c r="R129" s="191"/>
      <c r="S129" s="191"/>
      <c r="U129" s="191"/>
      <c r="V129" s="193"/>
      <c r="W129" s="191"/>
      <c r="X129" s="191"/>
      <c r="Y129" s="191"/>
      <c r="Z129" s="191"/>
      <c r="AA129" s="191"/>
      <c r="AB129" s="191"/>
      <c r="AC129" s="191"/>
    </row>
    <row r="130" spans="1:29" x14ac:dyDescent="0.3">
      <c r="A130" s="193"/>
      <c r="B130" s="191"/>
      <c r="C130" s="191"/>
      <c r="D130" s="192"/>
      <c r="E130" s="193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U130" s="191"/>
      <c r="V130" s="193"/>
      <c r="W130" s="191"/>
      <c r="X130" s="191"/>
      <c r="Y130" s="191"/>
      <c r="Z130" s="191"/>
      <c r="AA130" s="191"/>
      <c r="AB130" s="191"/>
      <c r="AC130" s="191"/>
    </row>
    <row r="131" spans="1:29" x14ac:dyDescent="0.3">
      <c r="A131" s="193"/>
      <c r="B131" s="191"/>
      <c r="C131" s="191"/>
      <c r="D131" s="192"/>
      <c r="E131" s="193"/>
      <c r="F131" s="191"/>
      <c r="G131" s="191"/>
      <c r="H131" s="191"/>
      <c r="I131" s="191"/>
      <c r="J131" s="189"/>
      <c r="K131" s="191"/>
      <c r="L131" s="191"/>
      <c r="M131" s="189"/>
      <c r="N131" s="191"/>
      <c r="O131" s="189"/>
      <c r="P131" s="191"/>
      <c r="Q131" s="189"/>
      <c r="R131" s="191"/>
      <c r="S131" s="191"/>
      <c r="U131" s="191"/>
      <c r="V131" s="193"/>
      <c r="W131" s="191"/>
      <c r="X131" s="191"/>
      <c r="Y131" s="191"/>
      <c r="Z131" s="191"/>
      <c r="AA131" s="191"/>
      <c r="AB131" s="191"/>
      <c r="AC131" s="191"/>
    </row>
    <row r="132" spans="1:29" x14ac:dyDescent="0.3">
      <c r="A132" s="193"/>
      <c r="B132" s="191"/>
      <c r="C132" s="191"/>
      <c r="D132" s="192"/>
      <c r="E132" s="193"/>
      <c r="F132" s="191"/>
      <c r="G132" s="191"/>
      <c r="H132" s="191"/>
      <c r="I132" s="191"/>
      <c r="J132" s="189"/>
      <c r="K132" s="191"/>
      <c r="L132" s="191"/>
      <c r="M132" s="189"/>
      <c r="N132" s="191"/>
      <c r="O132" s="189"/>
      <c r="P132" s="191"/>
      <c r="Q132" s="189"/>
      <c r="R132" s="191"/>
      <c r="S132" s="191"/>
      <c r="U132" s="191"/>
      <c r="V132" s="193"/>
      <c r="W132" s="191"/>
      <c r="X132" s="191"/>
      <c r="Y132" s="191"/>
      <c r="Z132" s="191"/>
      <c r="AA132" s="191"/>
      <c r="AB132" s="191"/>
      <c r="AC132" s="191"/>
    </row>
    <row r="133" spans="1:29" x14ac:dyDescent="0.3">
      <c r="A133" s="193"/>
      <c r="B133" s="191"/>
      <c r="C133" s="191"/>
      <c r="D133" s="192"/>
      <c r="E133" s="193"/>
      <c r="F133" s="19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U133" s="191"/>
      <c r="V133" s="193"/>
      <c r="W133" s="191"/>
      <c r="X133" s="191"/>
      <c r="Y133" s="191"/>
      <c r="Z133" s="191"/>
      <c r="AA133" s="191"/>
      <c r="AB133" s="191"/>
      <c r="AC133" s="191"/>
    </row>
    <row r="138" spans="1:29" x14ac:dyDescent="0.3">
      <c r="A138" s="193"/>
      <c r="B138" s="191"/>
      <c r="C138" s="191"/>
      <c r="D138" s="196"/>
      <c r="E138" s="193"/>
      <c r="F138" s="189"/>
      <c r="G138" s="189"/>
      <c r="H138" s="189"/>
      <c r="I138" s="189"/>
      <c r="J138" s="189"/>
      <c r="K138" s="189"/>
      <c r="L138" s="189"/>
      <c r="M138" s="189"/>
      <c r="N138" s="189"/>
      <c r="O138" s="189"/>
      <c r="P138" s="189"/>
      <c r="Q138" s="189"/>
      <c r="R138" s="189"/>
      <c r="S138" s="189"/>
      <c r="U138" s="189"/>
      <c r="V138" s="193"/>
      <c r="W138" s="189"/>
      <c r="X138" s="189"/>
      <c r="Y138" s="189"/>
      <c r="Z138" s="189"/>
      <c r="AA138" s="189"/>
      <c r="AB138" s="191"/>
      <c r="AC138" s="205"/>
    </row>
    <row r="139" spans="1:29" ht="15" thickBot="1" x14ac:dyDescent="0.35">
      <c r="A139" s="193"/>
      <c r="B139" s="191"/>
      <c r="C139" s="191"/>
      <c r="D139" s="196"/>
      <c r="E139" s="193"/>
      <c r="F139" s="189"/>
      <c r="G139" s="189"/>
      <c r="H139" s="191"/>
      <c r="I139" s="191"/>
      <c r="J139" s="189"/>
      <c r="K139" s="189"/>
      <c r="L139" s="189"/>
      <c r="M139" s="189"/>
      <c r="N139" s="189"/>
      <c r="O139" s="189"/>
      <c r="P139" s="189"/>
      <c r="Q139" s="189"/>
      <c r="R139" s="189"/>
      <c r="S139" s="189"/>
      <c r="U139" s="189"/>
      <c r="V139" s="193"/>
      <c r="W139" s="189"/>
      <c r="X139" s="189"/>
      <c r="Y139" s="189"/>
      <c r="Z139" s="189"/>
      <c r="AA139" s="189"/>
      <c r="AB139" s="191"/>
      <c r="AC139" s="206"/>
    </row>
    <row r="140" spans="1:29" x14ac:dyDescent="0.3">
      <c r="A140" s="62"/>
      <c r="B140" s="53"/>
      <c r="C140" s="53"/>
      <c r="D140" s="61"/>
      <c r="E140" s="62"/>
    </row>
    <row r="141" spans="1:29" x14ac:dyDescent="0.3">
      <c r="D141" s="61"/>
    </row>
    <row r="151" spans="4:5" x14ac:dyDescent="0.3">
      <c r="D151" s="53"/>
      <c r="E151" s="53"/>
    </row>
    <row r="152" spans="4:5" x14ac:dyDescent="0.3">
      <c r="D152" s="53"/>
      <c r="E152" s="5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6"/>
  <sheetViews>
    <sheetView topLeftCell="A31" workbookViewId="0">
      <selection activeCell="B23" sqref="B23:D23"/>
    </sheetView>
  </sheetViews>
  <sheetFormatPr defaultRowHeight="14.4" x14ac:dyDescent="0.3"/>
  <cols>
    <col min="29" max="29" width="8.88671875" style="201"/>
  </cols>
  <sheetData>
    <row r="1" spans="1:29" s="103" customFormat="1" ht="15" thickBot="1" x14ac:dyDescent="0.35">
      <c r="A1" s="2" t="s">
        <v>1</v>
      </c>
      <c r="B1" s="103" t="s">
        <v>234</v>
      </c>
      <c r="C1" s="2" t="s">
        <v>9</v>
      </c>
      <c r="D1" s="2" t="s">
        <v>2</v>
      </c>
      <c r="E1" s="2" t="s">
        <v>240</v>
      </c>
      <c r="F1" s="2" t="s">
        <v>6</v>
      </c>
      <c r="G1" s="2" t="s">
        <v>7</v>
      </c>
      <c r="H1" s="5" t="s">
        <v>241</v>
      </c>
      <c r="I1" s="5" t="s">
        <v>242</v>
      </c>
      <c r="J1" s="5" t="s">
        <v>243</v>
      </c>
      <c r="K1" s="2" t="s">
        <v>83</v>
      </c>
      <c r="L1" s="2" t="s">
        <v>5</v>
      </c>
      <c r="M1" s="2" t="s">
        <v>12</v>
      </c>
      <c r="N1" s="2" t="s">
        <v>13</v>
      </c>
      <c r="O1" s="3" t="s">
        <v>244</v>
      </c>
      <c r="P1" s="3" t="s">
        <v>245</v>
      </c>
      <c r="Q1" s="3" t="s">
        <v>246</v>
      </c>
      <c r="R1" s="3" t="s">
        <v>247</v>
      </c>
      <c r="S1" s="3" t="s">
        <v>18</v>
      </c>
      <c r="T1" s="4" t="s">
        <v>248</v>
      </c>
      <c r="U1" s="2" t="s">
        <v>3</v>
      </c>
      <c r="V1" s="2" t="s">
        <v>249</v>
      </c>
      <c r="W1" s="5" t="s">
        <v>250</v>
      </c>
      <c r="X1" s="5" t="s">
        <v>353</v>
      </c>
      <c r="Y1" s="5" t="s">
        <v>251</v>
      </c>
      <c r="Z1" s="5" t="s">
        <v>252</v>
      </c>
      <c r="AA1" s="5" t="s">
        <v>20</v>
      </c>
      <c r="AB1" s="5" t="s">
        <v>354</v>
      </c>
      <c r="AC1" s="5" t="s">
        <v>356</v>
      </c>
    </row>
    <row r="2" spans="1:29" s="103" customFormat="1" ht="15" thickBot="1" x14ac:dyDescent="0.35">
      <c r="A2" s="103" t="s">
        <v>30</v>
      </c>
      <c r="B2" s="103">
        <v>3</v>
      </c>
      <c r="C2" s="103">
        <v>2</v>
      </c>
      <c r="D2" s="103">
        <v>3</v>
      </c>
      <c r="E2" s="103" t="s">
        <v>254</v>
      </c>
      <c r="F2" s="103">
        <v>1.4358890909090911</v>
      </c>
      <c r="G2" s="103">
        <v>-7.8094600000000014</v>
      </c>
      <c r="H2" s="103">
        <v>93</v>
      </c>
      <c r="I2" s="103">
        <v>48.1</v>
      </c>
      <c r="J2" s="103">
        <v>34.285714285714285</v>
      </c>
      <c r="K2" s="103">
        <v>102.63779123473267</v>
      </c>
      <c r="L2" s="103">
        <v>25</v>
      </c>
      <c r="M2" s="103">
        <v>172.83982627878282</v>
      </c>
      <c r="N2" s="103">
        <v>45.777065690089444</v>
      </c>
      <c r="O2" s="103">
        <v>71.600813090149316</v>
      </c>
      <c r="P2" s="103">
        <v>50.066064513770904</v>
      </c>
      <c r="Q2" s="103">
        <v>65.818856974088334</v>
      </c>
      <c r="R2" s="103">
        <v>1.7831300000000001E-2</v>
      </c>
      <c r="S2" s="103">
        <v>1.5</v>
      </c>
      <c r="T2" s="103">
        <v>209.78</v>
      </c>
      <c r="U2" s="103">
        <v>0.15</v>
      </c>
      <c r="V2" s="103">
        <v>85</v>
      </c>
      <c r="W2" s="103">
        <v>4.8500000000000085</v>
      </c>
      <c r="X2" s="103">
        <v>64.245000000000005</v>
      </c>
      <c r="Y2" s="103">
        <v>1.0000000000000001E-5</v>
      </c>
      <c r="Z2" s="103">
        <v>53.383559090909102</v>
      </c>
      <c r="AA2" s="103">
        <v>-66.3</v>
      </c>
      <c r="AC2" s="200">
        <v>-33.13098636363636</v>
      </c>
    </row>
    <row r="3" spans="1:29" s="103" customFormat="1" x14ac:dyDescent="0.3">
      <c r="A3" s="103" t="s">
        <v>33</v>
      </c>
      <c r="B3" s="103">
        <v>3</v>
      </c>
      <c r="C3" s="103">
        <v>2</v>
      </c>
      <c r="D3" s="103">
        <v>3</v>
      </c>
      <c r="E3" s="103" t="s">
        <v>254</v>
      </c>
      <c r="F3" s="103">
        <v>1.0472443333333332</v>
      </c>
      <c r="G3" s="103">
        <v>-6.9874517241379301</v>
      </c>
      <c r="H3" s="103">
        <v>143.30000000000001</v>
      </c>
      <c r="I3" s="103">
        <v>74.5</v>
      </c>
      <c r="J3" s="103">
        <v>15.454545454545455</v>
      </c>
      <c r="K3" s="103">
        <v>112.04481792717073</v>
      </c>
      <c r="L3" s="103">
        <v>24</v>
      </c>
      <c r="M3" s="103">
        <v>92.214796550053876</v>
      </c>
      <c r="N3" s="103">
        <v>44.939780693870311</v>
      </c>
      <c r="O3" s="103">
        <v>29.53707288819966</v>
      </c>
      <c r="P3" s="103">
        <v>49.337156470038387</v>
      </c>
      <c r="Q3" s="103">
        <v>25.765695733953411</v>
      </c>
      <c r="R3" s="103">
        <v>1.03569E-2</v>
      </c>
      <c r="S3" s="103">
        <v>1.1700000000000017</v>
      </c>
      <c r="T3" s="103">
        <v>217.58193277310923</v>
      </c>
      <c r="U3" s="103">
        <v>0.43</v>
      </c>
      <c r="V3" s="103">
        <v>47.6</v>
      </c>
      <c r="W3" s="103">
        <v>4.8900000000000006</v>
      </c>
      <c r="X3" s="103">
        <v>54.36</v>
      </c>
      <c r="Y3" s="103">
        <v>1.0000000000000001E-5</v>
      </c>
      <c r="Z3" s="103">
        <v>64.790856666666656</v>
      </c>
      <c r="AA3" s="103">
        <v>-66.099999999999994</v>
      </c>
      <c r="AB3" s="103">
        <v>-0.98217471264367051</v>
      </c>
      <c r="AC3" s="201">
        <v>-42.195643330000003</v>
      </c>
    </row>
    <row r="4" spans="1:29" s="103" customFormat="1" x14ac:dyDescent="0.3">
      <c r="A4" s="103" t="s">
        <v>35</v>
      </c>
      <c r="B4" s="103">
        <v>3</v>
      </c>
      <c r="C4" s="103">
        <v>2</v>
      </c>
      <c r="D4" s="103">
        <v>3</v>
      </c>
      <c r="E4" s="103" t="s">
        <v>254</v>
      </c>
      <c r="F4" s="103">
        <v>1.2507579999999996</v>
      </c>
      <c r="G4" s="103">
        <v>-3.1778999999999984</v>
      </c>
      <c r="H4" s="103">
        <v>98.6</v>
      </c>
      <c r="I4" s="103">
        <v>55</v>
      </c>
      <c r="J4" s="103">
        <v>28.333333333333332</v>
      </c>
      <c r="K4" s="103">
        <v>110.90163025396478</v>
      </c>
      <c r="L4" s="103">
        <v>21</v>
      </c>
      <c r="M4" s="103">
        <v>166.57421218663774</v>
      </c>
      <c r="N4" s="103">
        <v>41.701417848206809</v>
      </c>
      <c r="O4" s="103">
        <v>58.105359002158444</v>
      </c>
      <c r="P4" s="103">
        <v>44.032842462630597</v>
      </c>
      <c r="Q4" s="103">
        <v>62.816280028495441</v>
      </c>
      <c r="R4" s="103">
        <v>6.1029400000000003E-3</v>
      </c>
      <c r="S4" s="103">
        <v>1E-4</v>
      </c>
      <c r="T4" s="103">
        <v>117.81737451737452</v>
      </c>
      <c r="U4" s="103">
        <v>0.9</v>
      </c>
      <c r="V4" s="103">
        <v>51.8</v>
      </c>
      <c r="W4" s="103">
        <v>2.0889999999999986</v>
      </c>
      <c r="X4" s="103">
        <v>62.637365000000003</v>
      </c>
      <c r="Y4" s="103">
        <v>1.0000000000000001E-5</v>
      </c>
      <c r="Z4" s="103">
        <v>50.626626666666667</v>
      </c>
      <c r="AA4" s="103">
        <v>-72</v>
      </c>
      <c r="AB4" s="103">
        <f>(Y31-Y4)/(Z31-Z4)</f>
        <v>0.10055559035903326</v>
      </c>
      <c r="AC4" s="201">
        <v>-21.903483333333334</v>
      </c>
    </row>
    <row r="5" spans="1:29" s="103" customFormat="1" x14ac:dyDescent="0.3">
      <c r="A5" s="103" t="s">
        <v>37</v>
      </c>
      <c r="B5" s="103">
        <v>3</v>
      </c>
      <c r="C5" s="103">
        <v>2</v>
      </c>
      <c r="D5" s="103">
        <v>3</v>
      </c>
      <c r="E5" s="103" t="s">
        <v>254</v>
      </c>
      <c r="F5" s="103">
        <v>1.1589092000000001</v>
      </c>
      <c r="G5" s="103">
        <v>-11.591570833333334</v>
      </c>
      <c r="H5" s="103">
        <v>175.8</v>
      </c>
      <c r="I5" s="103">
        <v>75.5</v>
      </c>
      <c r="J5" s="103">
        <v>13.029851672562543</v>
      </c>
      <c r="K5" s="103">
        <v>110.21712774165096</v>
      </c>
      <c r="L5" s="103">
        <v>23</v>
      </c>
      <c r="M5" s="103">
        <v>190.79118268664479</v>
      </c>
      <c r="N5" s="103">
        <v>44.089766765133731</v>
      </c>
      <c r="O5" s="103">
        <v>59.442830078058805</v>
      </c>
      <c r="P5" s="103">
        <v>47.009370733252446</v>
      </c>
      <c r="Q5" s="103">
        <v>47.413919200919246</v>
      </c>
      <c r="R5" s="103">
        <v>2.5238300000000002E-2</v>
      </c>
      <c r="S5" s="103">
        <v>18.699999999999989</v>
      </c>
      <c r="T5" s="103">
        <v>156.85705407085146</v>
      </c>
      <c r="U5" s="103">
        <v>0.12</v>
      </c>
      <c r="V5" s="103">
        <v>160.9</v>
      </c>
      <c r="W5" s="103">
        <v>9.9399999999999977</v>
      </c>
      <c r="X5" s="103">
        <v>113</v>
      </c>
      <c r="Y5" s="103">
        <v>1.0000000000000001E-5</v>
      </c>
      <c r="Z5" s="103">
        <v>76.433104</v>
      </c>
      <c r="AA5" s="103">
        <v>-68</v>
      </c>
      <c r="AB5" s="103">
        <v>-27.465820833333364</v>
      </c>
      <c r="AC5" s="201">
        <v>-50.200203999999992</v>
      </c>
    </row>
    <row r="6" spans="1:29" s="103" customFormat="1" x14ac:dyDescent="0.3">
      <c r="A6" s="103" t="s">
        <v>39</v>
      </c>
      <c r="B6" s="103">
        <v>3</v>
      </c>
      <c r="C6" s="103">
        <v>2</v>
      </c>
      <c r="D6" s="103">
        <v>3</v>
      </c>
      <c r="E6" s="103" t="s">
        <v>254</v>
      </c>
      <c r="F6" s="103">
        <v>0.78696290000000013</v>
      </c>
      <c r="G6" s="103">
        <v>-16.174316666666673</v>
      </c>
      <c r="H6" s="103">
        <v>147.19999999999999</v>
      </c>
      <c r="I6" s="103">
        <v>91.8</v>
      </c>
      <c r="J6" s="103">
        <v>36.666666666666664</v>
      </c>
      <c r="K6" s="103">
        <v>42.74417610600554</v>
      </c>
      <c r="L6" s="103">
        <v>16</v>
      </c>
      <c r="M6" s="103">
        <v>91.551124469211729</v>
      </c>
      <c r="N6" s="103">
        <v>32.621105855488473</v>
      </c>
      <c r="O6" s="103">
        <v>65.630454844507298</v>
      </c>
      <c r="P6" s="103">
        <v>33.772148991559966</v>
      </c>
      <c r="Q6" s="103">
        <v>67.844474162050943</v>
      </c>
      <c r="R6" s="103">
        <v>2.2071400000000001E-2</v>
      </c>
      <c r="S6" s="103">
        <v>16.099999999999994</v>
      </c>
      <c r="T6" s="103">
        <v>246.33258928571433</v>
      </c>
      <c r="U6" s="103">
        <v>0.2</v>
      </c>
      <c r="V6" s="103">
        <v>89.6</v>
      </c>
      <c r="W6" s="103">
        <v>6.5300000000000011</v>
      </c>
      <c r="X6" s="103">
        <v>76.02</v>
      </c>
      <c r="Y6" s="103">
        <v>0.78600000000000136</v>
      </c>
      <c r="Z6" s="103">
        <v>58.83789666666668</v>
      </c>
      <c r="AA6" s="103">
        <v>-73</v>
      </c>
      <c r="AB6" s="103">
        <v>-20.49037380952382</v>
      </c>
      <c r="AC6" s="201">
        <v>-48.687733333333327</v>
      </c>
    </row>
    <row r="7" spans="1:29" s="103" customFormat="1" x14ac:dyDescent="0.3">
      <c r="A7" s="103" t="s">
        <v>41</v>
      </c>
      <c r="B7" s="103">
        <v>3</v>
      </c>
      <c r="C7" s="103">
        <v>2</v>
      </c>
      <c r="D7" s="103">
        <v>2</v>
      </c>
      <c r="E7" s="103" t="s">
        <v>254</v>
      </c>
      <c r="F7" s="103">
        <v>1.4000260000000002</v>
      </c>
      <c r="G7" s="103">
        <v>-12.82754583333333</v>
      </c>
      <c r="H7" s="103">
        <v>81.099999999999994</v>
      </c>
      <c r="I7" s="103">
        <v>48.4</v>
      </c>
      <c r="J7" s="103">
        <v>31.111111111111111</v>
      </c>
      <c r="K7" s="103">
        <v>78.204426370532531</v>
      </c>
      <c r="L7" s="103">
        <v>18</v>
      </c>
      <c r="M7" s="103">
        <v>146.45045631070948</v>
      </c>
      <c r="N7" s="103">
        <v>35.737259666928779</v>
      </c>
      <c r="O7" s="103">
        <v>55.332610478661039</v>
      </c>
      <c r="P7" s="103">
        <v>37.590771422035807</v>
      </c>
      <c r="Q7" s="103">
        <v>48.983887883387276</v>
      </c>
      <c r="R7" s="103">
        <v>1.7332699999999999E-2</v>
      </c>
      <c r="S7" s="103">
        <v>14.400000000000006</v>
      </c>
      <c r="T7" s="103">
        <v>147.13667232597621</v>
      </c>
      <c r="U7" s="103">
        <v>0.22500000000000001</v>
      </c>
      <c r="V7" s="103">
        <v>117.8</v>
      </c>
      <c r="W7" s="103">
        <v>4.1670000000000016</v>
      </c>
      <c r="X7" s="103">
        <v>78.669484999999995</v>
      </c>
      <c r="Y7" s="103">
        <v>1.0000000000000001E-5</v>
      </c>
      <c r="Z7" s="103">
        <v>47.026376000000006</v>
      </c>
      <c r="AA7" s="103">
        <v>-60</v>
      </c>
      <c r="AB7" s="103">
        <v>-10.74473125000001</v>
      </c>
      <c r="AC7" s="201">
        <v>-19.418948000000004</v>
      </c>
    </row>
    <row r="8" spans="1:29" s="103" customFormat="1" x14ac:dyDescent="0.3">
      <c r="A8" s="103" t="s">
        <v>43</v>
      </c>
      <c r="B8" s="103">
        <v>3</v>
      </c>
      <c r="C8" s="103">
        <v>2</v>
      </c>
      <c r="D8" s="103">
        <v>2</v>
      </c>
      <c r="E8" s="103" t="s">
        <v>254</v>
      </c>
      <c r="F8" s="103">
        <v>1.3265130000000001</v>
      </c>
      <c r="G8" s="103">
        <v>-5.9461157894736854</v>
      </c>
      <c r="H8" s="103">
        <v>128.1</v>
      </c>
      <c r="I8" s="103">
        <v>57.6</v>
      </c>
      <c r="J8" s="103">
        <v>40</v>
      </c>
      <c r="K8" s="103">
        <v>90.637179370978075</v>
      </c>
      <c r="L8" s="103">
        <v>17</v>
      </c>
      <c r="M8" s="103">
        <v>254.44496906677338</v>
      </c>
      <c r="N8" s="103">
        <v>31.769228325444001</v>
      </c>
      <c r="O8" s="103">
        <v>82.524023628216725</v>
      </c>
      <c r="P8" s="103">
        <v>36.203422211125364</v>
      </c>
      <c r="Q8" s="103">
        <v>63.842235168499698</v>
      </c>
      <c r="R8" s="103">
        <v>1.4704200000000001E-2</v>
      </c>
      <c r="S8" s="103">
        <v>10.060000000000002</v>
      </c>
      <c r="T8" s="103">
        <v>189.24324324324326</v>
      </c>
      <c r="U8" s="103">
        <v>0.193</v>
      </c>
      <c r="V8" s="103">
        <v>77.7</v>
      </c>
      <c r="W8" s="103">
        <v>3.8799999999999955</v>
      </c>
      <c r="X8" s="103">
        <v>75.190010000000001</v>
      </c>
      <c r="Y8" s="103">
        <v>0.42999999999999972</v>
      </c>
      <c r="Z8" s="103">
        <v>64.730820000000008</v>
      </c>
      <c r="AA8" s="103">
        <v>-64.599999999999994</v>
      </c>
      <c r="AB8" s="103">
        <v>2.9919196078431436</v>
      </c>
      <c r="AC8" s="201">
        <v>-39.520254999999999</v>
      </c>
    </row>
    <row r="9" spans="1:29" s="103" customFormat="1" x14ac:dyDescent="0.3">
      <c r="A9" s="103" t="s">
        <v>45</v>
      </c>
      <c r="B9" s="103">
        <v>3</v>
      </c>
      <c r="C9" s="103">
        <v>2</v>
      </c>
      <c r="D9" s="103">
        <v>3</v>
      </c>
      <c r="E9" s="103" t="s">
        <v>254</v>
      </c>
      <c r="F9" s="103">
        <v>1.4607985185185184</v>
      </c>
      <c r="G9" s="103">
        <v>-8.9745423076923068</v>
      </c>
      <c r="H9" s="103">
        <v>89.2</v>
      </c>
      <c r="I9" s="103">
        <v>48</v>
      </c>
      <c r="J9" s="103">
        <v>32</v>
      </c>
      <c r="K9" s="103">
        <v>67.226890756302524</v>
      </c>
      <c r="L9" s="103">
        <v>13</v>
      </c>
      <c r="M9" s="103">
        <v>227.72860958831171</v>
      </c>
      <c r="N9" s="103">
        <v>29.792939073439648</v>
      </c>
      <c r="O9" s="103">
        <v>73.301080146631165</v>
      </c>
      <c r="P9" s="103">
        <v>30.471434164217531</v>
      </c>
      <c r="Q9" s="103">
        <v>68.043744534315891</v>
      </c>
      <c r="R9" s="103">
        <v>1.64937E-2</v>
      </c>
      <c r="S9" s="103">
        <v>7.9000000000000057</v>
      </c>
      <c r="T9" s="103">
        <v>241.84310850439883</v>
      </c>
      <c r="U9" s="103">
        <v>0.37</v>
      </c>
      <c r="V9" s="103">
        <v>68.2</v>
      </c>
      <c r="W9" s="103">
        <v>3.2499999999999929</v>
      </c>
      <c r="X9" s="103">
        <v>82.601534999999998</v>
      </c>
      <c r="Y9" s="103">
        <v>1.5</v>
      </c>
      <c r="Z9" s="103">
        <v>53.335685185185184</v>
      </c>
      <c r="AA9" s="103">
        <v>-65</v>
      </c>
      <c r="AB9" s="103">
        <v>-6.802876041666658</v>
      </c>
      <c r="AC9" s="201">
        <v>-26.247370370370366</v>
      </c>
    </row>
    <row r="10" spans="1:29" s="103" customFormat="1" x14ac:dyDescent="0.3">
      <c r="A10" s="103" t="s">
        <v>47</v>
      </c>
      <c r="B10" s="103">
        <v>3</v>
      </c>
      <c r="C10" s="103">
        <v>2</v>
      </c>
      <c r="D10" s="103">
        <v>2</v>
      </c>
      <c r="E10" s="103" t="s">
        <v>254</v>
      </c>
      <c r="F10" s="103">
        <v>0.80528522222222232</v>
      </c>
      <c r="G10" s="103">
        <v>-16.350655555555552</v>
      </c>
      <c r="H10" s="103">
        <v>242.83</v>
      </c>
      <c r="I10" s="103">
        <v>108.28</v>
      </c>
      <c r="J10" s="103">
        <v>20.512820512820515</v>
      </c>
      <c r="K10" s="103">
        <v>117.564072419469</v>
      </c>
      <c r="L10" s="103">
        <v>27</v>
      </c>
      <c r="M10" s="103">
        <v>80.207995611616411</v>
      </c>
      <c r="N10" s="103">
        <v>51.816156277527391</v>
      </c>
      <c r="O10" s="103">
        <v>37.894910448061282</v>
      </c>
      <c r="P10" s="103">
        <v>54.507303433487827</v>
      </c>
      <c r="Q10" s="103">
        <v>32.050578331655522</v>
      </c>
      <c r="R10" s="103">
        <v>9.3377300000000007E-3</v>
      </c>
      <c r="S10" s="103">
        <v>7.789999999999992</v>
      </c>
      <c r="T10" s="103">
        <v>133.39614285714288</v>
      </c>
      <c r="U10" s="103">
        <v>0.35</v>
      </c>
      <c r="V10" s="103">
        <v>70</v>
      </c>
      <c r="W10" s="103">
        <v>7.2740000000000009</v>
      </c>
      <c r="X10" s="103">
        <v>65.582104999999999</v>
      </c>
      <c r="Y10" s="103">
        <v>0.27499999999999858</v>
      </c>
      <c r="Z10" s="103">
        <v>75.873488888888886</v>
      </c>
      <c r="AA10" s="103">
        <v>-64.87</v>
      </c>
      <c r="AB10" s="103">
        <v>-9.2188520833333296</v>
      </c>
      <c r="AC10" s="201">
        <v>-41.64631111111111</v>
      </c>
    </row>
    <row r="11" spans="1:29" s="103" customFormat="1" x14ac:dyDescent="0.3">
      <c r="A11" s="103" t="s">
        <v>49</v>
      </c>
      <c r="B11" s="103">
        <v>3</v>
      </c>
      <c r="C11" s="103">
        <v>2</v>
      </c>
      <c r="D11" s="103">
        <v>2</v>
      </c>
      <c r="E11" s="103" t="s">
        <v>254</v>
      </c>
      <c r="F11" s="103">
        <v>0.91917976470588258</v>
      </c>
      <c r="G11" s="103">
        <v>-12.113676470588233</v>
      </c>
      <c r="H11" s="103">
        <v>158.69999999999999</v>
      </c>
      <c r="I11" s="103">
        <v>90</v>
      </c>
      <c r="J11" s="103">
        <v>32</v>
      </c>
      <c r="K11" s="103">
        <v>132.27513227513222</v>
      </c>
      <c r="L11" s="103">
        <v>31</v>
      </c>
      <c r="M11" s="103">
        <v>146.60873092477297</v>
      </c>
      <c r="N11" s="103">
        <v>54.996425232359918</v>
      </c>
      <c r="O11" s="103">
        <v>60.768832035746527</v>
      </c>
      <c r="P11" s="103">
        <v>62.257869837245941</v>
      </c>
      <c r="Q11" s="103">
        <v>52.289326759343112</v>
      </c>
      <c r="R11" s="103">
        <v>1.29012E-2</v>
      </c>
      <c r="S11" s="103">
        <v>4.0499999999999972</v>
      </c>
      <c r="T11" s="103">
        <v>224.75958188153311</v>
      </c>
      <c r="U11" s="103">
        <v>0.67</v>
      </c>
      <c r="V11" s="103">
        <v>57.4</v>
      </c>
      <c r="W11" s="103">
        <v>5.0900000000000034</v>
      </c>
      <c r="X11" s="103">
        <v>66.226915000000005</v>
      </c>
      <c r="Y11" s="103">
        <v>1.0000000000000001E-5</v>
      </c>
      <c r="Z11" s="103">
        <v>65.368652941176492</v>
      </c>
      <c r="AA11" s="103">
        <v>-68.2</v>
      </c>
      <c r="AB11" s="103">
        <v>-2.7338666666666773</v>
      </c>
      <c r="AC11" s="201">
        <v>-37.306841176470591</v>
      </c>
    </row>
    <row r="12" spans="1:29" s="103" customFormat="1" x14ac:dyDescent="0.3">
      <c r="A12" s="103" t="s">
        <v>52</v>
      </c>
      <c r="B12" s="103">
        <v>3</v>
      </c>
      <c r="C12" s="103">
        <v>2</v>
      </c>
      <c r="D12" s="103">
        <v>2</v>
      </c>
      <c r="E12" s="103" t="s">
        <v>254</v>
      </c>
      <c r="F12" s="103">
        <v>0.7873917241379309</v>
      </c>
      <c r="G12" s="103">
        <v>-15.096734482758624</v>
      </c>
      <c r="H12" s="103">
        <v>244.67</v>
      </c>
      <c r="I12" s="103">
        <v>114.75</v>
      </c>
      <c r="J12" s="103">
        <v>50</v>
      </c>
      <c r="K12" s="103">
        <v>139.0047261606897</v>
      </c>
      <c r="L12" s="103">
        <v>33</v>
      </c>
      <c r="M12" s="103">
        <v>85.430664010955908</v>
      </c>
      <c r="N12" s="103">
        <v>63.271116735210576</v>
      </c>
      <c r="O12" s="103">
        <v>74.568502447441347</v>
      </c>
      <c r="P12" s="103">
        <v>67.771236789718856</v>
      </c>
      <c r="Q12" s="103">
        <v>77.319395547671533</v>
      </c>
      <c r="R12" s="103">
        <v>1.1332E-2</v>
      </c>
      <c r="S12" s="103">
        <v>4.7399999999999949</v>
      </c>
      <c r="T12" s="103">
        <v>226.64000000000001</v>
      </c>
      <c r="U12" s="103">
        <v>0.49</v>
      </c>
      <c r="V12" s="103">
        <v>50</v>
      </c>
      <c r="W12" s="103">
        <v>6.7019999999999982</v>
      </c>
      <c r="X12" s="103">
        <v>56.111409999999999</v>
      </c>
      <c r="Y12" s="103">
        <v>1.0000000000000001E-5</v>
      </c>
      <c r="Z12" s="103">
        <v>73.839920689655173</v>
      </c>
      <c r="AA12" s="103">
        <v>-64.599999999999994</v>
      </c>
      <c r="AB12" s="103">
        <v>-4.9591062499999934</v>
      </c>
      <c r="AC12" s="201">
        <v>-40.733603448275865</v>
      </c>
    </row>
    <row r="13" spans="1:29" s="103" customFormat="1" x14ac:dyDescent="0.3">
      <c r="A13" s="103" t="s">
        <v>54</v>
      </c>
      <c r="B13" s="103">
        <v>3</v>
      </c>
      <c r="C13" s="103">
        <v>2</v>
      </c>
      <c r="D13" s="103">
        <v>2</v>
      </c>
      <c r="E13" s="103" t="s">
        <v>254</v>
      </c>
      <c r="F13" s="103">
        <v>0.96135249999999994</v>
      </c>
      <c r="G13" s="103">
        <v>-10.653427272727273</v>
      </c>
      <c r="H13" s="103">
        <v>139.80000000000001</v>
      </c>
      <c r="I13" s="103">
        <v>85.1</v>
      </c>
      <c r="J13" s="103">
        <v>20</v>
      </c>
      <c r="K13" s="103">
        <v>108.18998160770319</v>
      </c>
      <c r="L13" s="103">
        <v>28</v>
      </c>
      <c r="M13" s="103">
        <v>86.086095413210728</v>
      </c>
      <c r="N13" s="103">
        <v>50.942435048395325</v>
      </c>
      <c r="O13" s="103">
        <v>38.273365243423299</v>
      </c>
      <c r="P13" s="103">
        <v>55.721003397224052</v>
      </c>
      <c r="Q13" s="103">
        <v>33.919961181954775</v>
      </c>
      <c r="R13" s="103">
        <v>1.6192600000000001E-2</v>
      </c>
      <c r="S13" s="103">
        <v>2.6299999999999955</v>
      </c>
      <c r="T13" s="103">
        <v>289.15357142857147</v>
      </c>
      <c r="U13" s="103">
        <v>0.37</v>
      </c>
      <c r="V13" s="103">
        <v>56</v>
      </c>
      <c r="W13" s="103">
        <v>4.0869999999999891</v>
      </c>
      <c r="X13" s="103">
        <v>73.680000000000007</v>
      </c>
      <c r="Y13" s="103">
        <v>1.0000000000000001E-5</v>
      </c>
      <c r="Z13" s="103">
        <v>55.225727272727269</v>
      </c>
      <c r="AA13" s="103">
        <v>-66.7</v>
      </c>
      <c r="AB13" s="103">
        <v>-3.1153364583333363</v>
      </c>
      <c r="AC13" s="201">
        <v>-32.276499999999999</v>
      </c>
    </row>
    <row r="14" spans="1:29" s="103" customFormat="1" x14ac:dyDescent="0.3">
      <c r="A14" s="103" t="s">
        <v>57</v>
      </c>
      <c r="B14" s="103">
        <v>3</v>
      </c>
      <c r="C14" s="103">
        <v>2</v>
      </c>
      <c r="D14" s="103">
        <v>3</v>
      </c>
      <c r="E14" s="103" t="s">
        <v>254</v>
      </c>
      <c r="F14" s="103">
        <v>0.97377523333333349</v>
      </c>
      <c r="G14" s="103">
        <v>-9.1808929580032093</v>
      </c>
      <c r="H14" s="103">
        <v>130.5</v>
      </c>
      <c r="I14" s="103">
        <v>79.7</v>
      </c>
      <c r="J14" s="103">
        <v>20</v>
      </c>
      <c r="K14" s="103">
        <v>119.58861516383648</v>
      </c>
      <c r="L14" s="103">
        <v>28</v>
      </c>
      <c r="M14" s="103">
        <v>113.77190648768541</v>
      </c>
      <c r="N14" s="103">
        <v>51.538421893521566</v>
      </c>
      <c r="O14" s="103">
        <v>41.625570338561033</v>
      </c>
      <c r="P14" s="103">
        <v>55.724852305077142</v>
      </c>
      <c r="Q14" s="103">
        <v>36.632997111516389</v>
      </c>
      <c r="R14" s="103">
        <v>1.30648E-2</v>
      </c>
      <c r="S14" s="103">
        <v>2.3900000000000006</v>
      </c>
      <c r="T14" s="103">
        <v>287.13846153846151</v>
      </c>
      <c r="U14" s="103">
        <v>0.45</v>
      </c>
      <c r="V14" s="103">
        <v>45.5</v>
      </c>
      <c r="W14" s="103">
        <v>5.0999999999999943</v>
      </c>
      <c r="X14" s="103">
        <v>84.922084999999996</v>
      </c>
      <c r="Y14" s="103">
        <v>1.0000000000000001E-5</v>
      </c>
      <c r="Z14" s="103">
        <v>59.936526666666651</v>
      </c>
      <c r="AA14" s="103">
        <v>-64.8</v>
      </c>
      <c r="AB14" s="103">
        <v>-1.3987218750000086</v>
      </c>
      <c r="AC14" s="201">
        <v>-35.300703333333324</v>
      </c>
    </row>
    <row r="15" spans="1:29" s="103" customFormat="1" x14ac:dyDescent="0.3">
      <c r="A15" s="103" t="s">
        <v>60</v>
      </c>
      <c r="B15" s="103">
        <v>3</v>
      </c>
      <c r="C15" s="103">
        <v>2</v>
      </c>
      <c r="D15" s="103">
        <v>3</v>
      </c>
      <c r="E15" s="103" t="s">
        <v>254</v>
      </c>
      <c r="F15" s="103">
        <v>1.0570581818181817</v>
      </c>
      <c r="G15" s="103">
        <v>-13.49432272727273</v>
      </c>
      <c r="H15" s="103">
        <v>123</v>
      </c>
      <c r="I15" s="103">
        <v>70.3</v>
      </c>
      <c r="J15" s="103">
        <v>36</v>
      </c>
      <c r="K15" s="103">
        <v>95.147478591817148</v>
      </c>
      <c r="L15" s="103">
        <v>26</v>
      </c>
      <c r="M15" s="103">
        <v>159.77354461153524</v>
      </c>
      <c r="N15" s="103">
        <v>47.438330170777895</v>
      </c>
      <c r="O15" s="103">
        <v>77.371654471361467</v>
      </c>
      <c r="P15" s="103">
        <v>51.906628279548833</v>
      </c>
      <c r="Q15" s="103">
        <v>69.715274361404894</v>
      </c>
      <c r="R15" s="103">
        <v>1.6072199999999998E-2</v>
      </c>
      <c r="S15" s="103">
        <v>15.199999999999989</v>
      </c>
      <c r="T15" s="103">
        <v>163.83486238532112</v>
      </c>
      <c r="U15" s="103">
        <v>0.25</v>
      </c>
      <c r="V15" s="103">
        <v>98.1</v>
      </c>
      <c r="W15" s="103">
        <v>4.5570000000000022</v>
      </c>
      <c r="X15" s="103">
        <v>94.92698</v>
      </c>
      <c r="Y15" s="103">
        <v>1.0000000000000001E-5</v>
      </c>
      <c r="Z15" s="103">
        <v>66.716977272727277</v>
      </c>
      <c r="AA15" s="103">
        <v>-66.716977272727306</v>
      </c>
      <c r="AB15" s="103">
        <v>-11.189779166666666</v>
      </c>
      <c r="AC15" s="201">
        <v>-38.743454545454547</v>
      </c>
    </row>
    <row r="16" spans="1:29" s="103" customFormat="1" x14ac:dyDescent="0.3">
      <c r="A16" s="103" t="s">
        <v>63</v>
      </c>
      <c r="B16" s="103">
        <v>3</v>
      </c>
      <c r="C16" s="103">
        <v>2</v>
      </c>
      <c r="D16" s="103">
        <v>3</v>
      </c>
      <c r="E16" s="103" t="s">
        <v>254</v>
      </c>
      <c r="F16" s="103">
        <v>1.0664890909090909</v>
      </c>
      <c r="G16" s="103">
        <v>-6.7471590909090926</v>
      </c>
      <c r="H16" s="103">
        <v>134.30000000000001</v>
      </c>
      <c r="I16" s="103">
        <v>68.099999999999994</v>
      </c>
      <c r="J16" s="103">
        <v>21.25</v>
      </c>
      <c r="K16" s="103">
        <v>130.0052002080082</v>
      </c>
      <c r="L16" s="103">
        <v>28</v>
      </c>
      <c r="M16" s="103">
        <v>113.75089352122228</v>
      </c>
      <c r="N16" s="103">
        <v>53.14343412871338</v>
      </c>
      <c r="O16" s="103">
        <v>43.538633562945535</v>
      </c>
      <c r="P16" s="103">
        <v>57.172885213390423</v>
      </c>
      <c r="Q16" s="103">
        <v>42.107213386725384</v>
      </c>
      <c r="R16" s="103">
        <v>1.6740999999999999E-2</v>
      </c>
      <c r="S16" s="103">
        <v>1E-4</v>
      </c>
      <c r="T16" s="103">
        <v>215.56785990213751</v>
      </c>
      <c r="U16" s="103">
        <v>0.2</v>
      </c>
      <c r="V16" s="103">
        <v>77.66</v>
      </c>
      <c r="W16" s="103">
        <v>8.2999999999999972</v>
      </c>
      <c r="X16" s="103">
        <v>131.48515</v>
      </c>
      <c r="Y16" s="103">
        <v>0.67999999999999972</v>
      </c>
      <c r="Z16" s="103">
        <v>63.92876363636362</v>
      </c>
      <c r="AA16" s="103">
        <v>-66.819999999999993</v>
      </c>
      <c r="AB16" s="103">
        <v>0.49108850574712787</v>
      </c>
      <c r="AC16" s="201">
        <v>-43.684522727272721</v>
      </c>
    </row>
    <row r="17" spans="1:29" s="103" customFormat="1" ht="15" thickBot="1" x14ac:dyDescent="0.35">
      <c r="A17" s="103" t="s">
        <v>66</v>
      </c>
      <c r="B17" s="103">
        <v>3</v>
      </c>
      <c r="C17" s="103">
        <v>2</v>
      </c>
      <c r="D17" s="103">
        <v>3</v>
      </c>
      <c r="E17" s="103" t="s">
        <v>254</v>
      </c>
      <c r="F17" s="103">
        <v>0.73556913636363641</v>
      </c>
      <c r="G17" s="103">
        <v>-11.876895454545455</v>
      </c>
      <c r="H17" s="103">
        <v>225.83</v>
      </c>
      <c r="I17" s="103">
        <v>112.53</v>
      </c>
      <c r="J17" s="103">
        <v>18.18181818181818</v>
      </c>
      <c r="K17" s="103">
        <v>118.45534233593965</v>
      </c>
      <c r="L17" s="103">
        <v>27</v>
      </c>
      <c r="M17" s="103">
        <v>95.092073652603872</v>
      </c>
      <c r="N17" s="103">
        <v>55.524708495280429</v>
      </c>
      <c r="O17" s="103">
        <v>32.178374933567333</v>
      </c>
      <c r="P17" s="103">
        <v>55.295349871239971</v>
      </c>
      <c r="Q17" s="103">
        <v>37.892692813085901</v>
      </c>
      <c r="R17" s="103">
        <v>1.46721E-2</v>
      </c>
      <c r="S17" s="103">
        <v>6.9300000000000068</v>
      </c>
      <c r="T17" s="103">
        <v>338.84757505773678</v>
      </c>
      <c r="U17" s="103">
        <v>0.4</v>
      </c>
      <c r="V17" s="103">
        <v>43.3</v>
      </c>
      <c r="W17" s="103">
        <v>5.25</v>
      </c>
      <c r="X17" s="103">
        <v>80.538619999999995</v>
      </c>
      <c r="Y17" s="103">
        <v>0.90999999999999659</v>
      </c>
      <c r="Z17" s="103">
        <v>73.730463636363638</v>
      </c>
      <c r="AA17" s="103">
        <v>-64.349999999999994</v>
      </c>
      <c r="AB17" s="103">
        <v>-5.8228942528735672</v>
      </c>
      <c r="AC17" s="201">
        <v>-39.966922727272731</v>
      </c>
    </row>
    <row r="18" spans="1:29" s="103" customFormat="1" ht="15" thickBot="1" x14ac:dyDescent="0.35">
      <c r="A18" s="103" t="s">
        <v>69</v>
      </c>
      <c r="B18" s="103">
        <v>3</v>
      </c>
      <c r="C18" s="103">
        <v>2</v>
      </c>
      <c r="D18" s="103">
        <v>3</v>
      </c>
      <c r="E18" s="103" t="s">
        <v>254</v>
      </c>
      <c r="F18" s="103">
        <v>0.82643472727272738</v>
      </c>
      <c r="G18" s="103">
        <v>-17.600322727272726</v>
      </c>
      <c r="H18" s="103">
        <v>188.42</v>
      </c>
      <c r="I18" s="103">
        <v>88.5</v>
      </c>
      <c r="J18" s="103">
        <v>22.727272727272727</v>
      </c>
      <c r="K18" s="103">
        <v>127.92631444288125</v>
      </c>
      <c r="L18" s="103">
        <v>32</v>
      </c>
      <c r="M18" s="103">
        <v>98.815956310326015</v>
      </c>
      <c r="N18" s="103">
        <v>59.63740458015257</v>
      </c>
      <c r="O18" s="103">
        <v>44.979572641845891</v>
      </c>
      <c r="P18" s="103">
        <v>63.558136743248845</v>
      </c>
      <c r="Q18" s="103">
        <v>38.8244591656822</v>
      </c>
      <c r="R18" s="103">
        <v>1.08548E-2</v>
      </c>
      <c r="S18" s="103">
        <v>6.1099999999999994</v>
      </c>
      <c r="T18" s="103">
        <v>201.7620817843866</v>
      </c>
      <c r="U18" s="103">
        <v>0.53</v>
      </c>
      <c r="V18" s="103">
        <v>53.8</v>
      </c>
      <c r="W18" s="103">
        <v>4.9470000000000027</v>
      </c>
      <c r="X18" s="103">
        <v>60.02</v>
      </c>
      <c r="Y18" s="103">
        <v>1.0000000000000001E-5</v>
      </c>
      <c r="Z18" s="103">
        <v>70.520581818181824</v>
      </c>
      <c r="AA18" s="103">
        <v>-70.520581818181796</v>
      </c>
      <c r="AB18" s="103">
        <v>-5.4721172413793031</v>
      </c>
      <c r="AC18" s="200">
        <v>-39.966922727272731</v>
      </c>
    </row>
    <row r="19" spans="1:29" s="198" customFormat="1" ht="15" thickBot="1" x14ac:dyDescent="0.35">
      <c r="A19" s="198" t="s">
        <v>95</v>
      </c>
      <c r="B19" s="198">
        <v>7</v>
      </c>
      <c r="C19" s="198">
        <v>2</v>
      </c>
      <c r="D19" s="198">
        <v>7</v>
      </c>
      <c r="E19" s="198" t="s">
        <v>256</v>
      </c>
      <c r="F19" s="198">
        <v>0.72852476666666677</v>
      </c>
      <c r="G19" s="198">
        <v>-17.29837666666667</v>
      </c>
      <c r="H19" s="198">
        <v>221.8</v>
      </c>
      <c r="I19" s="198">
        <v>115.64</v>
      </c>
      <c r="J19" s="198">
        <v>27.5</v>
      </c>
      <c r="K19" s="198">
        <v>180.53800324968361</v>
      </c>
      <c r="L19" s="198">
        <v>39</v>
      </c>
      <c r="M19" s="198">
        <v>188.69350118010291</v>
      </c>
      <c r="N19" s="198">
        <v>73.69739848183319</v>
      </c>
      <c r="O19" s="198">
        <v>56.757161461970554</v>
      </c>
      <c r="P19" s="198">
        <v>80.778548212989222</v>
      </c>
      <c r="Q19" s="198">
        <v>44.550940601829687</v>
      </c>
      <c r="R19" s="198">
        <v>1.17E-2</v>
      </c>
      <c r="S19" s="198">
        <v>2.6600000000000108</v>
      </c>
      <c r="T19" s="198">
        <v>292.04368174726989</v>
      </c>
      <c r="U19" s="198">
        <v>0.54</v>
      </c>
      <c r="V19" s="198">
        <v>40.0625</v>
      </c>
      <c r="Z19" s="198">
        <v>77.099999999999994</v>
      </c>
      <c r="AA19" s="198">
        <v>-64</v>
      </c>
      <c r="AB19" s="198">
        <v>-2.288817708333335</v>
      </c>
      <c r="AC19" s="203">
        <v>-36.394756666666666</v>
      </c>
    </row>
    <row r="20" spans="1:29" s="197" customFormat="1" x14ac:dyDescent="0.3">
      <c r="A20" s="197" t="s">
        <v>97</v>
      </c>
      <c r="B20" s="197">
        <v>7</v>
      </c>
      <c r="C20" s="197">
        <v>2</v>
      </c>
      <c r="D20" s="197">
        <v>7</v>
      </c>
      <c r="E20" s="197" t="s">
        <v>256</v>
      </c>
      <c r="F20" s="197">
        <v>0.76785043333333336</v>
      </c>
      <c r="G20" s="197">
        <v>-13.92721666666667</v>
      </c>
      <c r="H20" s="197">
        <v>231.33</v>
      </c>
      <c r="I20" s="197">
        <v>107.7</v>
      </c>
      <c r="J20" s="197">
        <v>15.555555555555555</v>
      </c>
      <c r="K20" s="197">
        <v>183.2172957127153</v>
      </c>
      <c r="L20" s="197">
        <v>26</v>
      </c>
      <c r="M20" s="197">
        <v>114.59361751595532</v>
      </c>
      <c r="N20" s="197">
        <v>54.02485143165859</v>
      </c>
      <c r="O20" s="197">
        <v>33.007538558362164</v>
      </c>
      <c r="P20" s="197">
        <v>57.700861530634434</v>
      </c>
      <c r="Q20" s="197">
        <v>24.780131736410336</v>
      </c>
      <c r="R20" s="197">
        <v>1.18701E-2</v>
      </c>
      <c r="S20" s="197">
        <v>3.0999999999999943</v>
      </c>
      <c r="T20" s="197">
        <v>239.49760403530894</v>
      </c>
      <c r="U20" s="197">
        <v>0.42</v>
      </c>
      <c r="V20" s="197">
        <v>49.5625</v>
      </c>
      <c r="Z20" s="197">
        <v>80.5</v>
      </c>
      <c r="AA20" s="197">
        <v>-65</v>
      </c>
      <c r="AB20" s="197">
        <v>-3.3537552083333275</v>
      </c>
      <c r="AC20" s="197">
        <v>-39.009599999999999</v>
      </c>
    </row>
    <row r="21" spans="1:29" s="197" customFormat="1" x14ac:dyDescent="0.3">
      <c r="A21" s="197" t="s">
        <v>99</v>
      </c>
      <c r="B21" s="197">
        <v>7</v>
      </c>
      <c r="C21" s="197">
        <v>2</v>
      </c>
      <c r="D21" s="197">
        <v>7</v>
      </c>
      <c r="E21" s="197" t="s">
        <v>256</v>
      </c>
      <c r="F21" s="197">
        <v>0.86486243333333312</v>
      </c>
      <c r="G21" s="197">
        <v>-18.934626666666659</v>
      </c>
      <c r="H21" s="197">
        <v>180.7</v>
      </c>
      <c r="I21" s="197">
        <v>87.9</v>
      </c>
      <c r="J21" s="197">
        <v>15.65217391304348</v>
      </c>
      <c r="K21" s="197">
        <v>150.3759398496239</v>
      </c>
      <c r="L21" s="197">
        <v>25</v>
      </c>
      <c r="M21" s="197">
        <v>98.195388400995199</v>
      </c>
      <c r="N21" s="197">
        <v>53.89</v>
      </c>
      <c r="O21" s="197">
        <v>30.22682040081289</v>
      </c>
      <c r="P21" s="197">
        <v>57.853002438777942</v>
      </c>
      <c r="Q21" s="197">
        <v>25.401948851858794</v>
      </c>
      <c r="R21" s="197">
        <v>1.2354499999999999E-2</v>
      </c>
      <c r="S21" s="197">
        <v>1.0000000000000001E-5</v>
      </c>
      <c r="T21" s="197">
        <v>234.20853080568719</v>
      </c>
      <c r="U21" s="197">
        <v>0.4</v>
      </c>
      <c r="V21" s="197">
        <v>52.75</v>
      </c>
      <c r="Z21" s="197">
        <v>72.5</v>
      </c>
      <c r="AA21" s="197">
        <v>-64.5</v>
      </c>
      <c r="AB21" s="197">
        <v>5.2181283950616999</v>
      </c>
      <c r="AC21" s="197">
        <v>-21.799723333333329</v>
      </c>
    </row>
    <row r="22" spans="1:29" s="197" customFormat="1" x14ac:dyDescent="0.3">
      <c r="A22" s="197" t="s">
        <v>101</v>
      </c>
      <c r="B22" s="197">
        <v>7</v>
      </c>
      <c r="C22" s="197">
        <v>2</v>
      </c>
      <c r="D22" s="197">
        <v>7</v>
      </c>
      <c r="E22" s="197" t="s">
        <v>256</v>
      </c>
      <c r="F22" s="197">
        <v>0.58078639534883736</v>
      </c>
      <c r="G22" s="197">
        <v>-18.061081395348829</v>
      </c>
      <c r="H22" s="197">
        <v>333.92</v>
      </c>
      <c r="I22" s="197">
        <v>163.19999999999999</v>
      </c>
      <c r="J22" s="197">
        <v>13.461538461538462</v>
      </c>
      <c r="K22" s="197">
        <v>175.43859649122751</v>
      </c>
      <c r="L22" s="197">
        <v>41</v>
      </c>
      <c r="M22" s="197">
        <v>60.243240097915617</v>
      </c>
      <c r="N22" s="197">
        <v>80.276149955848155</v>
      </c>
      <c r="O22" s="197">
        <v>25.503106126382363</v>
      </c>
      <c r="P22" s="197">
        <v>82.820069210880348</v>
      </c>
      <c r="Q22" s="197">
        <v>22.465448417811601</v>
      </c>
      <c r="R22" s="197">
        <v>1.28363E-2</v>
      </c>
      <c r="S22" s="197">
        <v>2.5600000000000023</v>
      </c>
      <c r="T22" s="197">
        <v>593.07190297429975</v>
      </c>
      <c r="U22" s="197">
        <v>0.8</v>
      </c>
      <c r="V22" s="197">
        <v>21.643750000000001</v>
      </c>
      <c r="Z22" s="197">
        <v>80.2</v>
      </c>
      <c r="AA22" s="197">
        <v>-65</v>
      </c>
      <c r="AB22" s="197">
        <v>-3.658827956989239</v>
      </c>
      <c r="AC22" s="197">
        <v>-40.877586046511624</v>
      </c>
    </row>
    <row r="23" spans="1:29" s="197" customFormat="1" x14ac:dyDescent="0.3">
      <c r="A23" s="197" t="s">
        <v>104</v>
      </c>
      <c r="B23" s="197">
        <v>7</v>
      </c>
      <c r="C23" s="197">
        <v>2</v>
      </c>
      <c r="D23" s="197">
        <v>7</v>
      </c>
      <c r="E23" s="197" t="s">
        <v>256</v>
      </c>
      <c r="F23" s="197">
        <v>0.67242964102564085</v>
      </c>
      <c r="G23" s="197">
        <v>-14.020871794871789</v>
      </c>
      <c r="H23" s="197">
        <v>204.8</v>
      </c>
      <c r="I23" s="197">
        <v>105.6</v>
      </c>
      <c r="J23" s="197">
        <v>15.454545454545453</v>
      </c>
      <c r="K23" s="197">
        <v>185.56318426424161</v>
      </c>
      <c r="L23" s="197">
        <v>34</v>
      </c>
      <c r="M23" s="197">
        <v>136.07609055434267</v>
      </c>
      <c r="N23" s="197">
        <v>67.006164567140274</v>
      </c>
      <c r="O23" s="197">
        <v>33.521363215097374</v>
      </c>
      <c r="P23" s="197">
        <v>67.006164567140274</v>
      </c>
      <c r="Q23" s="197">
        <v>28.822095302577118</v>
      </c>
      <c r="R23" s="197">
        <v>1.1466499999999999E-2</v>
      </c>
      <c r="S23" s="197">
        <v>1.0000000000000001E-5</v>
      </c>
      <c r="T23" s="197">
        <v>597.60260586319214</v>
      </c>
      <c r="U23" s="197">
        <v>1.3</v>
      </c>
      <c r="V23" s="197">
        <v>19.1875</v>
      </c>
      <c r="Z23" s="197">
        <v>65.400000000000006</v>
      </c>
      <c r="AA23" s="197">
        <v>-62</v>
      </c>
      <c r="AB23" s="197">
        <v>3.5253057471264477</v>
      </c>
      <c r="AC23" s="197">
        <v>-15.201274358974359</v>
      </c>
    </row>
    <row r="24" spans="1:29" s="197" customFormat="1" x14ac:dyDescent="0.3">
      <c r="A24" s="197" t="s">
        <v>108</v>
      </c>
      <c r="B24" s="197">
        <v>7</v>
      </c>
      <c r="C24" s="197">
        <v>2</v>
      </c>
      <c r="D24" s="197">
        <v>6</v>
      </c>
      <c r="E24" s="197" t="s">
        <v>256</v>
      </c>
      <c r="F24" s="197">
        <v>0.71984819999999994</v>
      </c>
      <c r="G24" s="197">
        <v>-8.6685266666666685</v>
      </c>
      <c r="H24" s="197">
        <v>170</v>
      </c>
      <c r="I24" s="197">
        <v>102.4</v>
      </c>
      <c r="J24" s="197">
        <v>15.600000000000062</v>
      </c>
      <c r="K24" s="197">
        <v>216.73168617251821</v>
      </c>
      <c r="L24" s="197">
        <v>46</v>
      </c>
      <c r="M24" s="197">
        <v>77.113743673654596</v>
      </c>
      <c r="N24" s="197">
        <v>97.751710654936829</v>
      </c>
      <c r="O24" s="197">
        <v>30.674949015894903</v>
      </c>
      <c r="P24" s="197">
        <v>93.552364752586897</v>
      </c>
      <c r="Q24" s="197">
        <v>26.489868525839825</v>
      </c>
      <c r="R24" s="197">
        <v>1.5702600000000001E-2</v>
      </c>
      <c r="S24" s="197">
        <v>0.53000000000000114</v>
      </c>
      <c r="T24" s="197">
        <v>596.91518175338558</v>
      </c>
      <c r="U24" s="197">
        <v>1.1000000000000001</v>
      </c>
      <c r="V24" s="197">
        <v>26.306249999999999</v>
      </c>
      <c r="Z24" s="197">
        <v>66.900000000000006</v>
      </c>
      <c r="AA24" s="197">
        <v>-62</v>
      </c>
      <c r="AB24" s="197">
        <v>-0.38147023809523362</v>
      </c>
      <c r="AC24" s="197">
        <v>-27.40020333333333</v>
      </c>
    </row>
    <row r="25" spans="1:29" s="197" customFormat="1" x14ac:dyDescent="0.3">
      <c r="A25" s="197" t="s">
        <v>114</v>
      </c>
      <c r="B25" s="197">
        <v>7</v>
      </c>
      <c r="C25" s="197">
        <v>2</v>
      </c>
      <c r="D25" s="197">
        <v>7</v>
      </c>
      <c r="E25" s="197" t="s">
        <v>256</v>
      </c>
      <c r="F25" s="197">
        <v>0.95615986666666664</v>
      </c>
      <c r="G25" s="197">
        <v>-14.080819999999999</v>
      </c>
      <c r="H25" s="197">
        <v>137.5</v>
      </c>
      <c r="I25" s="197">
        <v>77.400000000000006</v>
      </c>
      <c r="J25" s="197">
        <v>19.047619047619047</v>
      </c>
      <c r="K25" s="197">
        <v>163.61256544502629</v>
      </c>
      <c r="L25" s="197">
        <v>35</v>
      </c>
      <c r="M25" s="197">
        <v>63.545220995432544</v>
      </c>
      <c r="N25" s="197">
        <v>65.997888067582139</v>
      </c>
      <c r="O25" s="197">
        <v>35.881975621343663</v>
      </c>
      <c r="P25" s="197">
        <v>71.917693251181731</v>
      </c>
      <c r="Q25" s="197">
        <v>31.62501734827423</v>
      </c>
      <c r="R25" s="197">
        <v>1.6097299999999998E-2</v>
      </c>
      <c r="S25" s="197">
        <v>3.269999999999996</v>
      </c>
      <c r="T25" s="197">
        <v>415.59294320137695</v>
      </c>
      <c r="U25" s="197">
        <v>0.4</v>
      </c>
      <c r="V25" s="197">
        <v>38.733333333333327</v>
      </c>
      <c r="Z25" s="197">
        <v>64.7</v>
      </c>
      <c r="AA25" s="197">
        <v>-60</v>
      </c>
      <c r="AB25" s="197">
        <v>-2.9790964285714336</v>
      </c>
      <c r="AC25" s="197">
        <v>-23.12621333333334</v>
      </c>
    </row>
    <row r="26" spans="1:29" s="197" customFormat="1" x14ac:dyDescent="0.3">
      <c r="A26" s="197" t="s">
        <v>116</v>
      </c>
      <c r="B26" s="197">
        <v>7</v>
      </c>
      <c r="C26" s="197">
        <v>2</v>
      </c>
      <c r="D26" s="197">
        <v>7</v>
      </c>
      <c r="E26" s="197" t="s">
        <v>256</v>
      </c>
      <c r="F26" s="197">
        <v>1.2990516666666669</v>
      </c>
      <c r="G26" s="197">
        <v>-16.77653333333333</v>
      </c>
      <c r="H26" s="197">
        <v>102.3</v>
      </c>
      <c r="I26" s="197">
        <v>49.8</v>
      </c>
      <c r="J26" s="197">
        <v>15.714285714285714</v>
      </c>
      <c r="K26" s="197">
        <v>114.968958381237</v>
      </c>
      <c r="L26" s="197">
        <v>26</v>
      </c>
      <c r="M26" s="197">
        <v>71.061736718958855</v>
      </c>
      <c r="N26" s="197">
        <v>51.075131518463643</v>
      </c>
      <c r="O26" s="197">
        <v>27.880335760043426</v>
      </c>
      <c r="P26" s="197">
        <v>52.784731460426613</v>
      </c>
      <c r="Q26" s="197">
        <v>24.939096556705302</v>
      </c>
      <c r="R26" s="197">
        <v>2.0426300000000001E-2</v>
      </c>
      <c r="S26" s="197">
        <v>4.9899999999999807</v>
      </c>
      <c r="T26" s="197">
        <v>169.5597675705589</v>
      </c>
      <c r="U26" s="197">
        <v>0.2</v>
      </c>
      <c r="V26" s="197">
        <v>120.4666666666667</v>
      </c>
      <c r="Z26" s="197">
        <v>56.900000000000006</v>
      </c>
      <c r="AA26" s="197">
        <v>-67</v>
      </c>
      <c r="AB26" s="197">
        <v>-7.2594833333333506</v>
      </c>
      <c r="AC26" s="197">
        <v>-14.419556666666665</v>
      </c>
    </row>
    <row r="27" spans="1:29" s="197" customFormat="1" x14ac:dyDescent="0.3">
      <c r="A27" s="197" t="s">
        <v>118</v>
      </c>
      <c r="B27" s="197">
        <v>7</v>
      </c>
      <c r="C27" s="197">
        <v>2</v>
      </c>
      <c r="D27" s="197">
        <v>7</v>
      </c>
      <c r="E27" s="197" t="s">
        <v>256</v>
      </c>
      <c r="F27" s="197">
        <v>1.0104812999999999</v>
      </c>
      <c r="G27" s="197">
        <v>-10.576370000000001</v>
      </c>
      <c r="H27" s="197">
        <v>182.3</v>
      </c>
      <c r="I27" s="197">
        <v>74.599999999999994</v>
      </c>
      <c r="J27" s="197">
        <v>25.714285714285715</v>
      </c>
      <c r="K27" s="197">
        <v>164.7717910693685</v>
      </c>
      <c r="L27" s="197">
        <v>27</v>
      </c>
      <c r="M27" s="197">
        <v>137.39369542876432</v>
      </c>
      <c r="N27" s="197">
        <v>47.621315300728547</v>
      </c>
      <c r="O27" s="197">
        <v>50.029453974476226</v>
      </c>
      <c r="P27" s="197">
        <v>55.92547027312304</v>
      </c>
      <c r="Q27" s="197">
        <v>43.411458259252882</v>
      </c>
      <c r="R27" s="197">
        <v>1.3561699999999999E-2</v>
      </c>
      <c r="S27" s="197">
        <v>4.9339999999999975</v>
      </c>
      <c r="T27" s="197">
        <v>316.86214953271025</v>
      </c>
      <c r="U27" s="197">
        <v>0.35</v>
      </c>
      <c r="V27" s="197">
        <v>42.8</v>
      </c>
      <c r="Z27" s="197">
        <v>76.099999999999994</v>
      </c>
      <c r="AA27" s="197">
        <v>-62</v>
      </c>
      <c r="AB27" s="197">
        <v>-4.6454533333333288</v>
      </c>
      <c r="AC27" s="197">
        <v>-42.39298666666668</v>
      </c>
    </row>
    <row r="28" spans="1:29" s="197" customFormat="1" x14ac:dyDescent="0.3">
      <c r="A28" s="197" t="s">
        <v>120</v>
      </c>
      <c r="B28" s="197">
        <v>7</v>
      </c>
      <c r="C28" s="197">
        <v>2</v>
      </c>
      <c r="D28" s="197">
        <v>6</v>
      </c>
      <c r="E28" s="197" t="s">
        <v>256</v>
      </c>
      <c r="F28" s="197">
        <v>1.1067776666666671</v>
      </c>
      <c r="G28" s="197">
        <v>-5.6448852272727272</v>
      </c>
      <c r="H28" s="197">
        <v>159.9</v>
      </c>
      <c r="I28" s="197">
        <v>81.099999999999994</v>
      </c>
      <c r="J28" s="197">
        <v>14.615384615384617</v>
      </c>
      <c r="K28" s="197">
        <v>114.2074006395614</v>
      </c>
      <c r="L28" s="197">
        <v>23</v>
      </c>
      <c r="M28" s="197">
        <v>82.23745434577809</v>
      </c>
      <c r="N28" s="197">
        <v>41.946308724832363</v>
      </c>
      <c r="O28" s="197">
        <v>30.681951089650415</v>
      </c>
      <c r="P28" s="197">
        <v>46.880569057845719</v>
      </c>
      <c r="Q28" s="197">
        <v>25.439276808248259</v>
      </c>
      <c r="R28" s="197">
        <v>1.7289599999999999E-2</v>
      </c>
      <c r="S28" s="197">
        <v>9.4200000000000017</v>
      </c>
      <c r="T28" s="197">
        <v>212.57704918032783</v>
      </c>
      <c r="U28" s="197">
        <v>0.2</v>
      </c>
      <c r="V28" s="197">
        <v>81.333333333333343</v>
      </c>
      <c r="Z28" s="197">
        <v>81.5</v>
      </c>
      <c r="AA28" s="197">
        <v>-60</v>
      </c>
      <c r="AB28" s="197">
        <v>-7.6622096774193338</v>
      </c>
      <c r="AC28" s="197">
        <v>-32.253006666666664</v>
      </c>
    </row>
    <row r="29" spans="1:29" s="197" customFormat="1" x14ac:dyDescent="0.3">
      <c r="A29" s="197" t="s">
        <v>122</v>
      </c>
      <c r="B29" s="197">
        <v>7</v>
      </c>
      <c r="C29" s="197">
        <v>2</v>
      </c>
      <c r="D29" s="197">
        <v>6</v>
      </c>
      <c r="E29" s="197" t="s">
        <v>256</v>
      </c>
      <c r="F29" s="197">
        <v>0.89301147999999986</v>
      </c>
      <c r="G29" s="197">
        <v>-3.147071232876713</v>
      </c>
      <c r="H29" s="197">
        <v>148.4</v>
      </c>
      <c r="I29" s="197">
        <v>73.3</v>
      </c>
      <c r="J29" s="197">
        <v>22</v>
      </c>
      <c r="K29" s="197">
        <v>98.54158454867958</v>
      </c>
      <c r="L29" s="197">
        <v>19</v>
      </c>
      <c r="M29" s="197">
        <v>67.214819689174846</v>
      </c>
      <c r="N29" s="197">
        <v>35.560613064969118</v>
      </c>
      <c r="O29" s="197">
        <v>40.711251975333091</v>
      </c>
      <c r="P29" s="197">
        <v>39.691355721737629</v>
      </c>
      <c r="Q29" s="197">
        <v>37.671143427174215</v>
      </c>
      <c r="R29" s="197">
        <v>7.0925600000000004E-3</v>
      </c>
      <c r="S29" s="197">
        <v>1.4249999999999972</v>
      </c>
      <c r="T29" s="197">
        <v>340.98846153846154</v>
      </c>
      <c r="U29" s="197">
        <v>1.25</v>
      </c>
      <c r="V29" s="197">
        <v>20.8</v>
      </c>
      <c r="Z29" s="197">
        <v>69</v>
      </c>
      <c r="AA29" s="197">
        <v>-67</v>
      </c>
      <c r="AB29" s="197">
        <v>-1.0008451612903202</v>
      </c>
      <c r="AC29" s="197">
        <v>-40.038456000000004</v>
      </c>
    </row>
    <row r="30" spans="1:29" s="197" customFormat="1" x14ac:dyDescent="0.3">
      <c r="A30" s="197" t="s">
        <v>124</v>
      </c>
      <c r="B30" s="197">
        <v>7</v>
      </c>
      <c r="C30" s="197">
        <v>2</v>
      </c>
      <c r="E30" s="197" t="s">
        <v>256</v>
      </c>
      <c r="F30" s="197">
        <v>1.5</v>
      </c>
      <c r="G30" s="197">
        <v>-24.305566666666664</v>
      </c>
      <c r="H30" s="197">
        <v>173.6</v>
      </c>
      <c r="I30" s="197">
        <v>51.7</v>
      </c>
      <c r="J30" s="197">
        <v>36</v>
      </c>
      <c r="K30" s="197">
        <v>116.85</v>
      </c>
      <c r="L30" s="197">
        <v>20</v>
      </c>
      <c r="M30" s="197">
        <v>75.227112261535126</v>
      </c>
      <c r="N30" s="197">
        <v>41.088000000000001</v>
      </c>
      <c r="O30" s="197">
        <v>70.831387354964249</v>
      </c>
      <c r="P30" s="197">
        <v>41.17591389968139</v>
      </c>
      <c r="Q30" s="197">
        <v>66.623105304993118</v>
      </c>
      <c r="R30" s="197">
        <v>3.8369E-2</v>
      </c>
      <c r="S30" s="197">
        <v>1.7999999999999972</v>
      </c>
      <c r="T30" s="197">
        <v>201.94210526315791</v>
      </c>
      <c r="U30" s="197">
        <v>0.1</v>
      </c>
      <c r="V30" s="197">
        <v>190</v>
      </c>
      <c r="W30" s="197">
        <v>12.479999999999997</v>
      </c>
      <c r="X30" s="197">
        <v>137</v>
      </c>
      <c r="Y30" s="197">
        <v>1.0000000000000001E-5</v>
      </c>
      <c r="Z30" s="197">
        <v>80.5</v>
      </c>
      <c r="AA30" s="197">
        <v>-67.5</v>
      </c>
      <c r="AB30" s="197">
        <v>-6.8664541666666548</v>
      </c>
      <c r="AC30" s="197">
        <v>-50.130200000000002</v>
      </c>
    </row>
    <row r="31" spans="1:29" s="197" customFormat="1" x14ac:dyDescent="0.3">
      <c r="A31" s="197" t="s">
        <v>126</v>
      </c>
      <c r="B31" s="197">
        <v>7</v>
      </c>
      <c r="C31" s="197">
        <v>2</v>
      </c>
      <c r="D31" s="197">
        <v>7</v>
      </c>
      <c r="E31" s="197" t="s">
        <v>256</v>
      </c>
      <c r="F31" s="197">
        <v>0.90130440909090903</v>
      </c>
      <c r="G31" s="197">
        <v>-11.599450000000003</v>
      </c>
      <c r="H31" s="197">
        <v>184.3</v>
      </c>
      <c r="I31" s="197">
        <v>79.8</v>
      </c>
      <c r="J31" s="197">
        <v>22.222222222222225</v>
      </c>
      <c r="K31" s="197">
        <v>141.26289023873468</v>
      </c>
      <c r="L31" s="197">
        <v>23</v>
      </c>
      <c r="M31" s="197">
        <v>143.5779682518349</v>
      </c>
      <c r="N31" s="197">
        <v>52.350539210553933</v>
      </c>
      <c r="O31" s="197">
        <v>45.32681599830358</v>
      </c>
      <c r="P31" s="197">
        <v>48.678110694203731</v>
      </c>
      <c r="Q31" s="197">
        <v>39.339279575535457</v>
      </c>
      <c r="R31" s="197">
        <v>7.8779000000000002E-3</v>
      </c>
      <c r="S31" s="197">
        <v>3.4699999999999989</v>
      </c>
      <c r="T31" s="197">
        <v>177.4301801801802</v>
      </c>
      <c r="U31" s="197">
        <v>0.83</v>
      </c>
      <c r="V31" s="197">
        <v>44.4</v>
      </c>
      <c r="W31" s="197">
        <v>3.3999999999999915</v>
      </c>
      <c r="X31" s="197">
        <v>45.784999999999997</v>
      </c>
      <c r="Y31" s="197">
        <v>2.2899999999999991</v>
      </c>
      <c r="Z31" s="197">
        <v>73.400000000000006</v>
      </c>
      <c r="AA31" s="197">
        <v>-65</v>
      </c>
      <c r="AB31" s="197">
        <v>-2.8876838709677446</v>
      </c>
      <c r="AC31" s="197">
        <v>-37.600436363636362</v>
      </c>
    </row>
    <row r="32" spans="1:29" s="197" customFormat="1" x14ac:dyDescent="0.3">
      <c r="A32" s="197" t="s">
        <v>128</v>
      </c>
      <c r="B32" s="197">
        <v>7</v>
      </c>
      <c r="C32" s="197">
        <v>2</v>
      </c>
      <c r="D32" s="197">
        <v>7</v>
      </c>
      <c r="E32" s="197" t="s">
        <v>256</v>
      </c>
      <c r="F32" s="197">
        <v>1.1050270000000002</v>
      </c>
      <c r="G32" s="197">
        <v>-12.4587915</v>
      </c>
      <c r="H32" s="197">
        <v>142.44</v>
      </c>
      <c r="I32" s="197">
        <v>72.28</v>
      </c>
      <c r="J32" s="197">
        <v>26.666666666666668</v>
      </c>
      <c r="K32" s="197">
        <v>109.22992900054614</v>
      </c>
      <c r="L32" s="197">
        <v>23</v>
      </c>
      <c r="M32" s="197">
        <v>133.67994067747441</v>
      </c>
      <c r="N32" s="197">
        <v>39.3391030684501</v>
      </c>
      <c r="O32" s="197">
        <v>53.641356440739443</v>
      </c>
      <c r="P32" s="197">
        <v>47.551293926584236</v>
      </c>
      <c r="Q32" s="197">
        <v>45.242874094748146</v>
      </c>
      <c r="R32" s="197">
        <v>1.46975E-2</v>
      </c>
      <c r="S32" s="197">
        <v>1.2399999999999949</v>
      </c>
      <c r="T32" s="197">
        <v>460.7366771159875</v>
      </c>
      <c r="U32" s="197">
        <v>1.2</v>
      </c>
      <c r="V32" s="197">
        <v>31.9</v>
      </c>
      <c r="W32" s="197">
        <v>0.50999999999999801</v>
      </c>
      <c r="X32" s="197">
        <v>16.649999999999999</v>
      </c>
      <c r="Y32" s="197">
        <v>2.4750000000000014</v>
      </c>
      <c r="Z32" s="197">
        <v>68.829340000000002</v>
      </c>
      <c r="AA32" s="197">
        <v>-68.900000000000006</v>
      </c>
      <c r="AB32" s="197">
        <v>-0.32814516129031324</v>
      </c>
      <c r="AC32" s="197">
        <v>-37.600436363636362</v>
      </c>
    </row>
    <row r="33" spans="1:29" s="197" customFormat="1" x14ac:dyDescent="0.3">
      <c r="A33" s="197" t="s">
        <v>130</v>
      </c>
      <c r="B33" s="197">
        <v>7</v>
      </c>
      <c r="C33" s="197">
        <v>2</v>
      </c>
      <c r="D33" s="197">
        <v>6</v>
      </c>
      <c r="E33" s="197" t="s">
        <v>256</v>
      </c>
      <c r="F33" s="197">
        <v>0.846531148148148</v>
      </c>
      <c r="G33" s="197">
        <v>-13.262718518518518</v>
      </c>
      <c r="H33" s="197">
        <v>171.3</v>
      </c>
      <c r="I33" s="197">
        <v>89.4</v>
      </c>
      <c r="J33" s="197">
        <v>10</v>
      </c>
      <c r="K33" s="197">
        <v>143.51320321469538</v>
      </c>
      <c r="L33" s="197">
        <v>31</v>
      </c>
      <c r="M33" s="197">
        <v>50.179780371946407</v>
      </c>
      <c r="N33" s="197">
        <v>61.57256326580881</v>
      </c>
      <c r="O33" s="197">
        <v>20.818327162915494</v>
      </c>
      <c r="P33" s="197">
        <v>64.662820911261292</v>
      </c>
      <c r="Q33" s="197">
        <v>19.413446343700667</v>
      </c>
      <c r="R33" s="197">
        <v>1.37374E-2</v>
      </c>
      <c r="S33" s="197">
        <v>1.6300000000000097</v>
      </c>
      <c r="T33" s="197">
        <v>416.28484848484851</v>
      </c>
      <c r="U33" s="197">
        <v>0.46400000000000002</v>
      </c>
      <c r="V33" s="197">
        <v>33</v>
      </c>
      <c r="W33" s="197">
        <v>5.3400000000000034</v>
      </c>
      <c r="X33" s="197">
        <v>67.23</v>
      </c>
      <c r="Y33" s="197">
        <v>0.84899999999999665</v>
      </c>
      <c r="Z33" s="197">
        <v>64.163762962962949</v>
      </c>
      <c r="AA33" s="197">
        <v>-62.8</v>
      </c>
      <c r="AB33" s="197">
        <v>-1.9688752688172062</v>
      </c>
      <c r="AC33" s="197">
        <v>-36.460596296296302</v>
      </c>
    </row>
    <row r="34" spans="1:29" s="197" customFormat="1" x14ac:dyDescent="0.3">
      <c r="A34" s="197" t="s">
        <v>132</v>
      </c>
      <c r="B34" s="197">
        <v>7</v>
      </c>
      <c r="C34" s="197">
        <v>2</v>
      </c>
      <c r="D34" s="197">
        <v>6</v>
      </c>
      <c r="E34" s="197" t="s">
        <v>256</v>
      </c>
      <c r="F34" s="197">
        <v>1.1858865517241381</v>
      </c>
      <c r="G34" s="197">
        <v>-6.0382689655172408</v>
      </c>
      <c r="H34" s="197">
        <v>150.4</v>
      </c>
      <c r="I34" s="197">
        <v>61.6</v>
      </c>
      <c r="J34" s="197">
        <v>22</v>
      </c>
      <c r="K34" s="197">
        <v>87.519691930684502</v>
      </c>
      <c r="L34" s="197">
        <v>17</v>
      </c>
      <c r="M34" s="197">
        <v>152.2585688050498</v>
      </c>
      <c r="N34" s="197">
        <v>31.213908917813743</v>
      </c>
      <c r="O34" s="197">
        <v>45.917628188302146</v>
      </c>
      <c r="P34" s="197">
        <v>35.312593030162773</v>
      </c>
      <c r="Q34" s="197">
        <v>38.423185378136623</v>
      </c>
      <c r="R34" s="197">
        <v>1.6027799999999998E-2</v>
      </c>
      <c r="S34" s="197">
        <v>1.6799999999999926</v>
      </c>
      <c r="T34" s="197">
        <v>361.80135440180584</v>
      </c>
      <c r="U34" s="197">
        <v>0.55000000000000004</v>
      </c>
      <c r="V34" s="197">
        <v>44.3</v>
      </c>
      <c r="W34" s="197">
        <v>1.1700000000000017</v>
      </c>
      <c r="X34" s="197">
        <v>52.54</v>
      </c>
      <c r="Y34" s="197">
        <v>1.3299999999999983</v>
      </c>
      <c r="Z34" s="197">
        <v>66.244193103448282</v>
      </c>
      <c r="AA34" s="197">
        <v>-68.5</v>
      </c>
      <c r="AB34" s="197">
        <v>-2.2040472222222323</v>
      </c>
      <c r="AC34" s="197">
        <v>-35.880255172413797</v>
      </c>
    </row>
    <row r="35" spans="1:29" s="197" customFormat="1" x14ac:dyDescent="0.3">
      <c r="A35" s="197" t="s">
        <v>134</v>
      </c>
      <c r="B35" s="197">
        <v>7</v>
      </c>
      <c r="C35" s="197">
        <v>2</v>
      </c>
      <c r="D35" s="197">
        <v>6</v>
      </c>
      <c r="E35" s="197" t="s">
        <v>256</v>
      </c>
      <c r="F35" s="197">
        <v>0.91222379310344814</v>
      </c>
      <c r="G35" s="197">
        <v>-14.086500000000001</v>
      </c>
      <c r="H35" s="197">
        <v>211</v>
      </c>
      <c r="I35" s="197">
        <v>87.9</v>
      </c>
      <c r="J35" s="197">
        <v>20</v>
      </c>
      <c r="K35" s="197">
        <v>100.90817356205856</v>
      </c>
      <c r="L35" s="197">
        <v>21</v>
      </c>
      <c r="M35" s="197">
        <v>98.291111882695006</v>
      </c>
      <c r="N35" s="197">
        <v>40.746475429875453</v>
      </c>
      <c r="O35" s="197">
        <v>35.209879244806388</v>
      </c>
      <c r="P35" s="197">
        <v>42.106713529987445</v>
      </c>
      <c r="Q35" s="197">
        <v>32.656087778006849</v>
      </c>
      <c r="R35" s="197">
        <v>1.41853E-2</v>
      </c>
      <c r="S35" s="197">
        <v>2</v>
      </c>
      <c r="T35" s="197">
        <v>257.91454545454548</v>
      </c>
      <c r="U35" s="197">
        <v>0.4</v>
      </c>
      <c r="V35" s="197">
        <v>55</v>
      </c>
      <c r="W35" s="197">
        <v>4.25</v>
      </c>
      <c r="X35" s="197">
        <v>62.534999999999997</v>
      </c>
      <c r="Y35" s="197">
        <v>0.62599999999999767</v>
      </c>
      <c r="Z35" s="197">
        <v>73.446337931034492</v>
      </c>
      <c r="AA35" s="197">
        <v>-70.53</v>
      </c>
      <c r="AB35" s="197">
        <v>-2.2313935483871026</v>
      </c>
      <c r="AC35" s="197">
        <v>-43.673806896551724</v>
      </c>
    </row>
    <row r="36" spans="1:29" s="197" customFormat="1" x14ac:dyDescent="0.3">
      <c r="A36" s="197" t="s">
        <v>136</v>
      </c>
      <c r="B36" s="197">
        <v>7</v>
      </c>
      <c r="C36" s="197">
        <v>2</v>
      </c>
      <c r="D36" s="197">
        <v>7</v>
      </c>
      <c r="E36" s="197" t="s">
        <v>256</v>
      </c>
      <c r="F36" s="197">
        <v>0.7313647692307691</v>
      </c>
      <c r="G36" s="197">
        <v>-18.95608846153846</v>
      </c>
      <c r="H36" s="197">
        <v>163.1</v>
      </c>
      <c r="I36" s="197">
        <v>102.3</v>
      </c>
      <c r="J36" s="197">
        <v>9.6666666666666679</v>
      </c>
      <c r="K36" s="197">
        <v>179.6622349982033</v>
      </c>
      <c r="L36" s="197">
        <v>45</v>
      </c>
      <c r="M36" s="197">
        <v>50.730857651674732</v>
      </c>
      <c r="N36" s="197">
        <v>80.860354168350767</v>
      </c>
      <c r="O36" s="197">
        <v>20.565838759174135</v>
      </c>
      <c r="P36" s="197">
        <v>93.249035243560101</v>
      </c>
      <c r="Q36" s="197">
        <v>17.064734906420021</v>
      </c>
      <c r="R36" s="197">
        <v>1.3153099999999999E-2</v>
      </c>
      <c r="S36" s="197">
        <v>3.9669999999999987</v>
      </c>
      <c r="T36" s="197">
        <v>448.91126279863477</v>
      </c>
      <c r="U36" s="197">
        <v>0.76</v>
      </c>
      <c r="V36" s="197">
        <v>29.3</v>
      </c>
      <c r="W36" s="197">
        <v>5.820999999999998</v>
      </c>
      <c r="X36" s="197">
        <v>55</v>
      </c>
      <c r="Y36" s="197">
        <v>2.8800000000000026</v>
      </c>
      <c r="Z36" s="197">
        <v>62.619723076923066</v>
      </c>
      <c r="AA36" s="197">
        <v>-66.099999999999994</v>
      </c>
      <c r="AB36" s="197">
        <v>-4.0033806451612808</v>
      </c>
      <c r="AC36" s="197">
        <v>-35.050623076923081</v>
      </c>
    </row>
    <row r="37" spans="1:29" s="197" customFormat="1" x14ac:dyDescent="0.3">
      <c r="A37" s="197" t="s">
        <v>138</v>
      </c>
      <c r="B37" s="197">
        <v>7</v>
      </c>
      <c r="C37" s="197">
        <v>2</v>
      </c>
      <c r="D37" s="197">
        <v>7</v>
      </c>
      <c r="E37" s="197" t="s">
        <v>256</v>
      </c>
      <c r="F37" s="197">
        <v>0.70781695000000011</v>
      </c>
      <c r="G37" s="197">
        <v>-17.611694999999997</v>
      </c>
      <c r="H37" s="197">
        <v>202.8</v>
      </c>
      <c r="I37" s="197">
        <v>116.7</v>
      </c>
      <c r="J37" s="197">
        <v>15</v>
      </c>
      <c r="K37" s="197">
        <v>146.77821811243174</v>
      </c>
      <c r="L37" s="197">
        <v>33</v>
      </c>
      <c r="M37" s="197">
        <v>67.635110006901414</v>
      </c>
      <c r="N37" s="197">
        <v>59.241706161137458</v>
      </c>
      <c r="O37" s="197">
        <v>23.691243514909221</v>
      </c>
      <c r="P37" s="197">
        <v>65.428318405240162</v>
      </c>
      <c r="Q37" s="197">
        <v>18.801289918898618</v>
      </c>
      <c r="R37" s="197">
        <v>1.4778700000000001E-2</v>
      </c>
      <c r="S37" s="197">
        <v>3.9599999999999937</v>
      </c>
      <c r="T37" s="197">
        <v>613.22406639004146</v>
      </c>
      <c r="U37" s="197">
        <v>0.75</v>
      </c>
      <c r="V37" s="197">
        <v>24.1</v>
      </c>
      <c r="W37" s="197">
        <v>4.8799999999999955</v>
      </c>
      <c r="X37" s="197">
        <v>80.405000000000001</v>
      </c>
      <c r="Y37" s="197">
        <v>2.3170000000000002</v>
      </c>
      <c r="Z37" s="197">
        <v>70.703130000000002</v>
      </c>
      <c r="AA37" s="197">
        <v>-66.8</v>
      </c>
      <c r="AB37" s="197">
        <v>-2.0345053763440819</v>
      </c>
      <c r="AC37" s="197">
        <v>-40.225225000000002</v>
      </c>
    </row>
    <row r="38" spans="1:29" s="197" customFormat="1" x14ac:dyDescent="0.3">
      <c r="A38" s="197" t="s">
        <v>140</v>
      </c>
      <c r="B38" s="197">
        <v>7</v>
      </c>
      <c r="C38" s="197">
        <v>2</v>
      </c>
      <c r="D38" s="197">
        <v>7</v>
      </c>
      <c r="E38" s="197" t="s">
        <v>256</v>
      </c>
      <c r="F38" s="197">
        <v>0.76865976923076929</v>
      </c>
      <c r="G38" s="197">
        <v>-12.634261538461541</v>
      </c>
      <c r="H38" s="197">
        <v>172.2</v>
      </c>
      <c r="I38" s="197">
        <v>100.7</v>
      </c>
      <c r="J38" s="197">
        <v>9</v>
      </c>
      <c r="K38" s="197">
        <v>179.9532121648366</v>
      </c>
      <c r="L38" s="197">
        <v>35</v>
      </c>
      <c r="M38" s="197">
        <v>55.735142364164311</v>
      </c>
      <c r="N38" s="197">
        <v>62.640942119769711</v>
      </c>
      <c r="O38" s="197">
        <v>19.140205596151642</v>
      </c>
      <c r="P38" s="197">
        <v>72.293411299425642</v>
      </c>
      <c r="Q38" s="197">
        <v>15.049868747388709</v>
      </c>
      <c r="R38" s="197">
        <v>9.0756499999999993E-3</v>
      </c>
      <c r="S38" s="197">
        <v>3.2480000000000047</v>
      </c>
      <c r="T38" s="197">
        <v>336.13518518518515</v>
      </c>
      <c r="U38" s="197">
        <v>1.2</v>
      </c>
      <c r="V38" s="197">
        <v>27</v>
      </c>
      <c r="W38" s="197">
        <v>3.9499999999999886</v>
      </c>
      <c r="X38" s="197">
        <v>52.922939999999997</v>
      </c>
      <c r="Y38" s="197">
        <v>0.7120000000000033</v>
      </c>
      <c r="Z38" s="197">
        <v>64.040000000000006</v>
      </c>
      <c r="AA38" s="197">
        <v>-66.7</v>
      </c>
      <c r="AB38" s="197">
        <v>-1.3782129032257959</v>
      </c>
      <c r="AC38" s="197">
        <v>-28.71938461538462</v>
      </c>
    </row>
    <row r="39" spans="1:29" s="197" customFormat="1" x14ac:dyDescent="0.3">
      <c r="A39" s="197" t="s">
        <v>142</v>
      </c>
      <c r="B39" s="197">
        <v>7</v>
      </c>
      <c r="C39" s="197">
        <v>2</v>
      </c>
      <c r="D39" s="197">
        <v>7</v>
      </c>
      <c r="E39" s="197" t="s">
        <v>256</v>
      </c>
      <c r="F39" s="197">
        <v>0.62497059999999982</v>
      </c>
      <c r="G39" s="197">
        <v>-16.642243333333326</v>
      </c>
      <c r="H39" s="197">
        <v>230</v>
      </c>
      <c r="I39" s="197">
        <v>138.85</v>
      </c>
      <c r="J39" s="197">
        <v>16.81818181818182</v>
      </c>
      <c r="K39" s="197">
        <v>171.26220243192333</v>
      </c>
      <c r="L39" s="197">
        <v>41</v>
      </c>
      <c r="M39" s="197">
        <v>72.813287069925792</v>
      </c>
      <c r="N39" s="197">
        <v>74.766355140186917</v>
      </c>
      <c r="O39" s="197">
        <v>31.297069825088599</v>
      </c>
      <c r="P39" s="197">
        <v>82.505880236834841</v>
      </c>
      <c r="Q39" s="197">
        <v>27.098237610032491</v>
      </c>
      <c r="R39" s="197">
        <v>8.9782100000000004E-3</v>
      </c>
      <c r="S39" s="197">
        <v>3.7800000000000011</v>
      </c>
      <c r="T39" s="197">
        <v>280.56906250000003</v>
      </c>
      <c r="U39" s="197">
        <v>1</v>
      </c>
      <c r="V39" s="197">
        <v>32</v>
      </c>
      <c r="W39" s="197">
        <v>4.1539999999999964</v>
      </c>
      <c r="X39" s="197">
        <v>57.832054999999997</v>
      </c>
      <c r="Y39" s="197">
        <v>1.9399999999999977</v>
      </c>
      <c r="Z39" s="197">
        <v>73.073319999999981</v>
      </c>
      <c r="AA39" s="197">
        <v>-62</v>
      </c>
      <c r="AB39" s="197">
        <v>-4.1346397849462475</v>
      </c>
      <c r="AC39" s="197">
        <v>-37.066653333333321</v>
      </c>
    </row>
    <row r="40" spans="1:29" s="197" customFormat="1" x14ac:dyDescent="0.3">
      <c r="A40" s="197" t="s">
        <v>144</v>
      </c>
      <c r="B40" s="197">
        <v>7</v>
      </c>
      <c r="C40" s="197">
        <v>2</v>
      </c>
      <c r="D40" s="197">
        <v>7</v>
      </c>
      <c r="E40" s="197" t="s">
        <v>256</v>
      </c>
      <c r="F40" s="197">
        <v>0.57466417241379308</v>
      </c>
      <c r="G40" s="197">
        <v>-19.090928571428574</v>
      </c>
      <c r="H40" s="197">
        <v>211.98</v>
      </c>
      <c r="I40" s="197">
        <v>125.05</v>
      </c>
      <c r="J40" s="197">
        <v>15</v>
      </c>
      <c r="K40" s="197">
        <v>174.42874585731715</v>
      </c>
      <c r="L40" s="197">
        <v>37</v>
      </c>
      <c r="M40" s="197">
        <v>72.195945144452693</v>
      </c>
      <c r="N40" s="197">
        <v>68.027210884353536</v>
      </c>
      <c r="O40" s="197">
        <v>29.435247020831131</v>
      </c>
      <c r="P40" s="197">
        <v>77.02566730350236</v>
      </c>
      <c r="Q40" s="197">
        <v>26.197686808003684</v>
      </c>
      <c r="R40" s="197">
        <v>1.1724699999999999E-2</v>
      </c>
      <c r="S40" s="197">
        <v>1.0000000000000001E-5</v>
      </c>
      <c r="T40" s="197">
        <v>468.988</v>
      </c>
      <c r="U40" s="197">
        <v>1.23</v>
      </c>
      <c r="V40" s="197">
        <v>25</v>
      </c>
      <c r="W40" s="197">
        <v>2.6820000000000022</v>
      </c>
      <c r="X40" s="197">
        <v>48.101732499999997</v>
      </c>
      <c r="Y40" s="197">
        <v>0.74000000000000199</v>
      </c>
      <c r="Z40" s="197">
        <v>59.869175862068971</v>
      </c>
      <c r="AA40" s="197">
        <v>-67.599999999999994</v>
      </c>
      <c r="AB40" s="197">
        <v>-0.72191935483871061</v>
      </c>
      <c r="AC40" s="197">
        <v>-26.748120689655167</v>
      </c>
    </row>
    <row r="41" spans="1:29" s="197" customFormat="1" x14ac:dyDescent="0.3">
      <c r="A41" s="197" t="s">
        <v>146</v>
      </c>
      <c r="B41" s="197">
        <v>7</v>
      </c>
      <c r="C41" s="197">
        <v>2</v>
      </c>
      <c r="D41" s="197">
        <v>7</v>
      </c>
      <c r="E41" s="197" t="s">
        <v>256</v>
      </c>
      <c r="F41" s="197">
        <v>0.74995249999999991</v>
      </c>
      <c r="G41" s="197">
        <v>-16.506030434782609</v>
      </c>
      <c r="H41" s="197">
        <v>213.02</v>
      </c>
      <c r="I41" s="197">
        <v>117.6</v>
      </c>
      <c r="J41" s="197">
        <v>7.7272727272727275</v>
      </c>
      <c r="K41" s="197">
        <v>139.23698134224475</v>
      </c>
      <c r="L41" s="197">
        <v>24</v>
      </c>
      <c r="M41" s="197">
        <v>58.350436087672911</v>
      </c>
      <c r="N41" s="197">
        <v>44.953922229714536</v>
      </c>
      <c r="O41" s="197">
        <v>16.113315160868567</v>
      </c>
      <c r="P41" s="197">
        <v>49.415556925242349</v>
      </c>
      <c r="Q41" s="197">
        <v>12.371105793786462</v>
      </c>
      <c r="R41" s="197">
        <v>8.3253300000000006E-3</v>
      </c>
      <c r="S41" s="197">
        <v>1.1499999999999915</v>
      </c>
      <c r="T41" s="197">
        <v>237.86657142857143</v>
      </c>
      <c r="U41" s="197">
        <v>0.96</v>
      </c>
      <c r="V41" s="197">
        <v>35</v>
      </c>
      <c r="W41" s="197">
        <v>5.509999999999998</v>
      </c>
      <c r="X41" s="197">
        <v>67.772390000000001</v>
      </c>
      <c r="Y41" s="197">
        <v>1.5500000000000043</v>
      </c>
      <c r="Z41" s="197">
        <v>69.806420833333348</v>
      </c>
      <c r="AA41" s="197">
        <v>-69.8</v>
      </c>
      <c r="AB41" s="197">
        <v>-0.7875505376344083</v>
      </c>
      <c r="AC41" s="197">
        <v>-28.192926086956515</v>
      </c>
    </row>
    <row r="42" spans="1:29" s="197" customFormat="1" x14ac:dyDescent="0.3">
      <c r="A42" s="197" t="s">
        <v>147</v>
      </c>
      <c r="B42" s="197">
        <v>7</v>
      </c>
      <c r="C42" s="197">
        <v>2</v>
      </c>
      <c r="D42" s="197">
        <v>7</v>
      </c>
      <c r="E42" s="197" t="s">
        <v>256</v>
      </c>
      <c r="F42" s="197">
        <v>0.92443805263157885</v>
      </c>
      <c r="G42" s="197">
        <v>-9.142431578947372</v>
      </c>
      <c r="H42" s="197">
        <v>144.30000000000001</v>
      </c>
      <c r="I42" s="197">
        <v>76.7</v>
      </c>
      <c r="J42" s="197">
        <v>9</v>
      </c>
      <c r="K42" s="197">
        <v>181.38944313440942</v>
      </c>
      <c r="L42" s="197">
        <v>35</v>
      </c>
      <c r="M42" s="197">
        <v>56.268428862500656</v>
      </c>
      <c r="N42" s="197">
        <v>61.293288384921645</v>
      </c>
      <c r="O42" s="197">
        <v>19.050051427851958</v>
      </c>
      <c r="P42" s="197">
        <v>72.895466206472776</v>
      </c>
      <c r="Q42" s="197">
        <v>15.074794975631205</v>
      </c>
      <c r="R42" s="197">
        <v>6.3354300000000004E-3</v>
      </c>
      <c r="S42" s="197">
        <v>0.26999999999999602</v>
      </c>
      <c r="T42" s="197">
        <v>211.88729096989968</v>
      </c>
      <c r="U42" s="197">
        <v>0.56000000000000005</v>
      </c>
      <c r="V42" s="197">
        <v>29.9</v>
      </c>
      <c r="W42" s="197">
        <v>6.402000000000001</v>
      </c>
      <c r="X42" s="197">
        <v>64.417180000000002</v>
      </c>
      <c r="Y42" s="197">
        <v>1E-3</v>
      </c>
      <c r="Z42" s="197">
        <v>59.384</v>
      </c>
      <c r="AA42" s="197">
        <v>-62</v>
      </c>
      <c r="AB42" s="197">
        <v>-1.2469548387096889</v>
      </c>
      <c r="AC42" s="197">
        <v>-36.421921052631589</v>
      </c>
    </row>
    <row r="43" spans="1:29" s="197" customFormat="1" x14ac:dyDescent="0.3">
      <c r="A43" s="197" t="s">
        <v>149</v>
      </c>
      <c r="B43" s="197">
        <v>7</v>
      </c>
      <c r="C43" s="197">
        <v>2</v>
      </c>
      <c r="D43" s="197">
        <v>7</v>
      </c>
      <c r="E43" s="197" t="s">
        <v>256</v>
      </c>
      <c r="F43" s="197">
        <v>0.68345956521739126</v>
      </c>
      <c r="G43" s="197">
        <v>-12.180482608695652</v>
      </c>
      <c r="H43" s="197">
        <v>192.6</v>
      </c>
      <c r="I43" s="197">
        <v>109.01</v>
      </c>
      <c r="J43" s="197">
        <v>12.272727272727272</v>
      </c>
      <c r="K43" s="197">
        <v>197.90223629527026</v>
      </c>
      <c r="L43" s="197">
        <v>40</v>
      </c>
      <c r="M43" s="197">
        <v>81.478522771509162</v>
      </c>
      <c r="N43" s="197">
        <v>74.682598954443691</v>
      </c>
      <c r="O43" s="197">
        <v>25.655119270524022</v>
      </c>
      <c r="P43" s="197">
        <v>82.969632894976627</v>
      </c>
      <c r="Q43" s="197">
        <v>20.16338496630495</v>
      </c>
      <c r="R43" s="197">
        <v>6.2374800000000001E-3</v>
      </c>
      <c r="S43" s="197">
        <v>1.4500000000000028</v>
      </c>
      <c r="T43" s="197">
        <v>239.90307692307692</v>
      </c>
      <c r="U43" s="197">
        <v>1.35</v>
      </c>
      <c r="V43" s="197">
        <v>26</v>
      </c>
      <c r="W43" s="197">
        <v>3.5999999999999943</v>
      </c>
      <c r="X43" s="197">
        <v>40.18</v>
      </c>
      <c r="Y43" s="197">
        <v>0.39999999999999858</v>
      </c>
      <c r="Z43" s="197">
        <v>62.038252173913051</v>
      </c>
      <c r="AA43" s="197">
        <v>-66.900000000000006</v>
      </c>
      <c r="AB43" s="197">
        <v>-0.78755053763439309</v>
      </c>
      <c r="AC43" s="197">
        <v>-26.077943478260863</v>
      </c>
    </row>
    <row r="44" spans="1:29" s="197" customFormat="1" x14ac:dyDescent="0.3">
      <c r="A44" s="197" t="s">
        <v>151</v>
      </c>
      <c r="B44" s="197">
        <v>7</v>
      </c>
      <c r="C44" s="197">
        <v>2</v>
      </c>
      <c r="D44" s="197">
        <v>7</v>
      </c>
      <c r="E44" s="197" t="s">
        <v>256</v>
      </c>
      <c r="F44" s="197">
        <v>0.65189900000000001</v>
      </c>
      <c r="G44" s="197">
        <v>-12.240079999999999</v>
      </c>
      <c r="H44" s="197">
        <v>215.4</v>
      </c>
      <c r="I44" s="197">
        <v>128.5</v>
      </c>
      <c r="J44" s="197">
        <v>9.0625</v>
      </c>
      <c r="K44" s="197">
        <v>190.47619047619048</v>
      </c>
      <c r="L44" s="197">
        <v>41</v>
      </c>
      <c r="M44" s="197">
        <v>53.698150525263614</v>
      </c>
      <c r="N44" s="197">
        <v>72.098053352559461</v>
      </c>
      <c r="O44" s="197">
        <v>17.30683446919544</v>
      </c>
      <c r="P44" s="197">
        <v>84.764428086311355</v>
      </c>
      <c r="Q44" s="197">
        <v>16.243345578663767</v>
      </c>
      <c r="R44" s="197">
        <v>8.7574699999999998E-3</v>
      </c>
      <c r="S44" s="197">
        <v>1.5999999999999943</v>
      </c>
      <c r="T44" s="197">
        <v>398.06681818181818</v>
      </c>
      <c r="U44" s="197">
        <v>2.2000000000000002</v>
      </c>
      <c r="V44" s="197">
        <v>22</v>
      </c>
      <c r="W44" s="197">
        <v>1.769999999999996</v>
      </c>
      <c r="X44" s="197">
        <v>31.605562500000001</v>
      </c>
      <c r="Y44" s="197">
        <v>0.28999999999999915</v>
      </c>
      <c r="Z44" s="197">
        <v>60.722345833333321</v>
      </c>
      <c r="AA44" s="197">
        <v>-65</v>
      </c>
      <c r="AB44" s="197">
        <v>-1.5751000000000022</v>
      </c>
      <c r="AC44" s="197">
        <v>-31.925596551724144</v>
      </c>
    </row>
    <row r="45" spans="1:29" s="197" customFormat="1" x14ac:dyDescent="0.3">
      <c r="A45" s="197" t="s">
        <v>153</v>
      </c>
      <c r="B45" s="197">
        <v>7</v>
      </c>
      <c r="C45" s="197">
        <v>2</v>
      </c>
      <c r="D45" s="197">
        <v>7</v>
      </c>
      <c r="E45" s="197" t="s">
        <v>256</v>
      </c>
      <c r="F45" s="197">
        <v>0.66099196551724138</v>
      </c>
      <c r="G45" s="197">
        <v>-13.404593103448274</v>
      </c>
      <c r="H45" s="197">
        <v>207.8</v>
      </c>
      <c r="I45" s="197">
        <v>122.7</v>
      </c>
      <c r="J45" s="197">
        <v>11.875</v>
      </c>
      <c r="K45" s="197">
        <v>189.75332068311158</v>
      </c>
      <c r="L45" s="197">
        <v>42</v>
      </c>
      <c r="M45" s="197">
        <v>55.34476854072313</v>
      </c>
      <c r="N45" s="197">
        <v>74.305245950364267</v>
      </c>
      <c r="O45" s="197">
        <v>23.059143031994068</v>
      </c>
      <c r="P45" s="197">
        <v>87.167654575923464</v>
      </c>
      <c r="Q45" s="197">
        <v>18.979536031945678</v>
      </c>
      <c r="R45" s="197">
        <v>7.3898999999999996E-3</v>
      </c>
      <c r="S45" s="197">
        <v>2.25</v>
      </c>
      <c r="T45" s="197">
        <v>207.58146067415728</v>
      </c>
      <c r="U45" s="197">
        <v>0.86</v>
      </c>
      <c r="V45" s="197">
        <v>35.6</v>
      </c>
      <c r="W45" s="197">
        <v>4.0310000000000059</v>
      </c>
      <c r="X45" s="197">
        <v>41.884999999999998</v>
      </c>
      <c r="Y45" s="197">
        <v>1</v>
      </c>
      <c r="Z45" s="197">
        <v>68.224675862068949</v>
      </c>
      <c r="AA45" s="197">
        <v>-62.92</v>
      </c>
      <c r="AB45" s="197">
        <v>-1.4438430107526792</v>
      </c>
    </row>
    <row r="46" spans="1:29" s="197" customFormat="1" x14ac:dyDescent="0.3">
      <c r="A46" s="197" t="s">
        <v>155</v>
      </c>
      <c r="B46" s="197">
        <v>7</v>
      </c>
      <c r="C46" s="197">
        <v>2</v>
      </c>
      <c r="D46" s="197">
        <v>7</v>
      </c>
      <c r="E46" s="197" t="s">
        <v>256</v>
      </c>
      <c r="F46" s="197">
        <v>0.55044696551724137</v>
      </c>
      <c r="G46" s="197">
        <v>-22.618786551724131</v>
      </c>
      <c r="H46" s="197">
        <v>200.32</v>
      </c>
      <c r="I46" s="197">
        <v>115.51</v>
      </c>
      <c r="J46" s="197">
        <v>23.333333333333336</v>
      </c>
      <c r="K46" s="197">
        <v>158.12776723592631</v>
      </c>
      <c r="L46" s="197">
        <v>30</v>
      </c>
      <c r="M46" s="197">
        <v>118.69421706919501</v>
      </c>
      <c r="N46" s="197">
        <v>57.234432234432298</v>
      </c>
      <c r="O46" s="197">
        <v>46.017947666259253</v>
      </c>
      <c r="P46" s="197">
        <v>63.920945877186107</v>
      </c>
      <c r="Q46" s="197">
        <v>39.553724394040103</v>
      </c>
      <c r="R46" s="197">
        <v>9.7110700000000005E-3</v>
      </c>
      <c r="S46" s="197">
        <v>1.5</v>
      </c>
      <c r="T46" s="197">
        <v>353.12981818181817</v>
      </c>
      <c r="U46" s="197">
        <v>1.32</v>
      </c>
      <c r="V46" s="197">
        <v>27.5</v>
      </c>
      <c r="W46" s="197">
        <v>1.7800000000000011</v>
      </c>
      <c r="X46" s="197">
        <v>47.975000000000001</v>
      </c>
      <c r="Y46" s="197">
        <v>2.3200000000000003</v>
      </c>
      <c r="Z46" s="197">
        <v>52.824872413793102</v>
      </c>
      <c r="AA46" s="197">
        <v>-66.599999999999994</v>
      </c>
      <c r="AB46" s="197">
        <v>-0.70425128205126963</v>
      </c>
      <c r="AC46" s="197">
        <v>-36.890489655172424</v>
      </c>
    </row>
    <row r="47" spans="1:29" s="197" customFormat="1" x14ac:dyDescent="0.3">
      <c r="A47" s="197" t="s">
        <v>157</v>
      </c>
      <c r="B47" s="197">
        <v>7</v>
      </c>
      <c r="C47" s="197">
        <v>2</v>
      </c>
      <c r="D47" s="197">
        <v>7</v>
      </c>
      <c r="E47" s="197" t="s">
        <v>256</v>
      </c>
      <c r="F47" s="197">
        <v>0.6181389310344827</v>
      </c>
      <c r="G47" s="197">
        <v>-15.681831034482759</v>
      </c>
      <c r="H47" s="197">
        <v>246.29</v>
      </c>
      <c r="I47" s="197">
        <v>140.27000000000001</v>
      </c>
      <c r="J47" s="197">
        <v>9.0625</v>
      </c>
      <c r="K47" s="197">
        <v>181.68604651162821</v>
      </c>
      <c r="L47" s="197">
        <v>36</v>
      </c>
      <c r="M47" s="197">
        <v>52.341560185067607</v>
      </c>
      <c r="N47" s="197">
        <v>65.526505471463352</v>
      </c>
      <c r="O47" s="197">
        <v>18.395313687905411</v>
      </c>
      <c r="P47" s="197">
        <v>75.196980990571248</v>
      </c>
      <c r="Q47" s="197">
        <v>15.254162637434955</v>
      </c>
      <c r="R47" s="197">
        <v>1.24464E-2</v>
      </c>
      <c r="S47" s="197">
        <v>1.1499999999999915</v>
      </c>
      <c r="T47" s="197">
        <v>412.13245033112588</v>
      </c>
      <c r="U47" s="197">
        <v>0.86</v>
      </c>
      <c r="V47" s="197">
        <v>30.2</v>
      </c>
      <c r="W47" s="197">
        <v>5.8900000000000006</v>
      </c>
      <c r="X47" s="197">
        <v>59.204999999999998</v>
      </c>
      <c r="Y47" s="197">
        <v>0.55999999999999517</v>
      </c>
      <c r="Z47" s="197">
        <v>72.694972413793096</v>
      </c>
      <c r="AA47" s="197">
        <v>-64.849999999999994</v>
      </c>
      <c r="AB47" s="197">
        <v>-1.0955025641025555</v>
      </c>
      <c r="AC47" s="197">
        <v>-35.122344444444437</v>
      </c>
    </row>
    <row r="48" spans="1:29" s="197" customFormat="1" x14ac:dyDescent="0.3">
      <c r="A48" s="197" t="s">
        <v>158</v>
      </c>
      <c r="B48" s="197">
        <v>7</v>
      </c>
      <c r="C48" s="197">
        <v>2</v>
      </c>
      <c r="D48" s="197">
        <v>7</v>
      </c>
      <c r="E48" s="197" t="s">
        <v>256</v>
      </c>
      <c r="F48" s="197">
        <v>0.61669329629629621</v>
      </c>
      <c r="G48" s="197">
        <v>-18.373840740740743</v>
      </c>
      <c r="H48" s="197">
        <v>244.75</v>
      </c>
      <c r="I48" s="197">
        <v>131.16</v>
      </c>
      <c r="J48" s="197">
        <v>8.75</v>
      </c>
      <c r="K48" s="197">
        <v>218.15008726003475</v>
      </c>
      <c r="L48" s="197">
        <v>46</v>
      </c>
      <c r="M48" s="197">
        <v>43.265862750178535</v>
      </c>
      <c r="N48" s="197">
        <v>85.859019489997905</v>
      </c>
      <c r="O48" s="197">
        <v>16.868665621909784</v>
      </c>
      <c r="P48" s="197">
        <v>92.679732741662932</v>
      </c>
      <c r="Q48" s="197">
        <v>15.2076983955331</v>
      </c>
      <c r="R48" s="197">
        <v>1.42121E-2</v>
      </c>
      <c r="S48" s="197">
        <v>2.0900000000000034</v>
      </c>
      <c r="T48" s="197">
        <v>498.67017543859646</v>
      </c>
      <c r="U48" s="197">
        <v>0.78500000000000003</v>
      </c>
      <c r="V48" s="197">
        <v>28.5</v>
      </c>
      <c r="W48" s="197">
        <v>6.0100000000000051</v>
      </c>
      <c r="X48" s="197">
        <v>49.905000000000001</v>
      </c>
      <c r="Y48" s="197">
        <v>0.55099999999999483</v>
      </c>
      <c r="Z48" s="197">
        <v>67.925333333333327</v>
      </c>
      <c r="AA48" s="197">
        <v>-63.2</v>
      </c>
      <c r="AB48" s="197">
        <v>-2.3626516129032251</v>
      </c>
      <c r="AC48" s="198">
        <v>-32.842733333333335</v>
      </c>
    </row>
    <row r="49" spans="1:29" s="198" customFormat="1" x14ac:dyDescent="0.3">
      <c r="A49" s="198" t="s">
        <v>161</v>
      </c>
      <c r="B49" s="198">
        <v>14</v>
      </c>
      <c r="C49" s="198">
        <v>2</v>
      </c>
      <c r="D49" s="198">
        <v>16</v>
      </c>
      <c r="E49" s="198" t="s">
        <v>258</v>
      </c>
      <c r="F49" s="198">
        <v>0.59651900000000002</v>
      </c>
      <c r="G49" s="198">
        <v>-17.511536363636363</v>
      </c>
      <c r="H49" s="198">
        <v>212.5</v>
      </c>
      <c r="I49" s="198">
        <v>130.19</v>
      </c>
      <c r="J49" s="198">
        <v>11.428571428571429</v>
      </c>
      <c r="K49" s="198">
        <v>253.61399949277305</v>
      </c>
      <c r="L49" s="198">
        <v>58</v>
      </c>
      <c r="M49" s="198">
        <v>53.214708958908489</v>
      </c>
      <c r="N49" s="198">
        <v>112.08249271463765</v>
      </c>
      <c r="O49" s="198">
        <v>23.687254628078581</v>
      </c>
      <c r="P49" s="198">
        <v>119.97815459475405</v>
      </c>
      <c r="Q49" s="198">
        <v>21.600150464215464</v>
      </c>
      <c r="R49" s="198">
        <v>8.9700000000000005E-3</v>
      </c>
      <c r="S49" s="198">
        <v>6.2000000000000028</v>
      </c>
      <c r="T49" s="198">
        <v>338.4905660377359</v>
      </c>
      <c r="U49" s="198">
        <v>1.31</v>
      </c>
      <c r="V49" s="198">
        <v>26.5</v>
      </c>
      <c r="W49" s="198">
        <v>1.7199999999999989</v>
      </c>
      <c r="X49" s="198">
        <v>76.481480000000005</v>
      </c>
      <c r="Y49" s="198">
        <v>2.9600000000000009</v>
      </c>
      <c r="Z49" s="198">
        <v>63.711990476190479</v>
      </c>
      <c r="AA49" s="198">
        <v>-67.03</v>
      </c>
      <c r="AB49" s="198">
        <v>-5.3042452380952261</v>
      </c>
      <c r="AC49" s="189">
        <v>-35.380774999999993</v>
      </c>
    </row>
    <row r="50" spans="1:29" s="189" customFormat="1" x14ac:dyDescent="0.3">
      <c r="A50" s="189" t="s">
        <v>162</v>
      </c>
      <c r="B50" s="189">
        <v>14</v>
      </c>
      <c r="C50" s="189">
        <v>2</v>
      </c>
      <c r="D50" s="189">
        <v>16</v>
      </c>
      <c r="E50" s="189" t="s">
        <v>258</v>
      </c>
      <c r="F50" s="189">
        <v>0.43777560714285718</v>
      </c>
      <c r="G50" s="189">
        <v>-25.299067857142862</v>
      </c>
      <c r="H50" s="189">
        <v>284.10000000000002</v>
      </c>
      <c r="I50" s="189">
        <v>186.1</v>
      </c>
      <c r="J50" s="189">
        <v>11.111111111111111</v>
      </c>
      <c r="K50" s="189">
        <v>169.72165648336738</v>
      </c>
      <c r="L50" s="189">
        <v>24</v>
      </c>
      <c r="M50" s="189">
        <v>91.99585025232372</v>
      </c>
      <c r="N50" s="189">
        <v>49.385154822460308</v>
      </c>
      <c r="O50" s="189">
        <v>24.018593603208032</v>
      </c>
      <c r="P50" s="189">
        <v>51.909233718957637</v>
      </c>
      <c r="Q50" s="189">
        <v>21.055415018364858</v>
      </c>
      <c r="R50" s="189">
        <v>9.7796900000000006E-3</v>
      </c>
      <c r="S50" s="189">
        <v>10.13000000000001</v>
      </c>
      <c r="T50" s="189">
        <v>380.53268482490279</v>
      </c>
      <c r="U50" s="189">
        <v>0.7</v>
      </c>
      <c r="V50" s="189">
        <v>25.7</v>
      </c>
      <c r="W50" s="189">
        <v>4.3499999999999943</v>
      </c>
      <c r="X50" s="189">
        <v>56.937939999999998</v>
      </c>
      <c r="Y50" s="189">
        <v>3.3800000000000026</v>
      </c>
      <c r="Z50" s="189">
        <v>67.949571428571431</v>
      </c>
      <c r="AA50" s="189">
        <v>-65.39</v>
      </c>
      <c r="AB50" s="189">
        <v>-9.1552726190476115</v>
      </c>
      <c r="AC50" s="189">
        <v>-37.506111111111117</v>
      </c>
    </row>
    <row r="51" spans="1:29" s="189" customFormat="1" x14ac:dyDescent="0.3">
      <c r="A51" s="189" t="s">
        <v>163</v>
      </c>
      <c r="B51" s="189">
        <v>14</v>
      </c>
      <c r="C51" s="189">
        <v>2</v>
      </c>
      <c r="D51" s="189">
        <v>17</v>
      </c>
      <c r="E51" s="189" t="s">
        <v>258</v>
      </c>
      <c r="F51" s="189">
        <v>0.57406783333333322</v>
      </c>
      <c r="G51" s="189">
        <v>-18.7988</v>
      </c>
      <c r="H51" s="189">
        <v>262.49</v>
      </c>
      <c r="I51" s="189">
        <v>138.6</v>
      </c>
      <c r="J51" s="189">
        <v>10</v>
      </c>
      <c r="K51" s="189">
        <v>251.88916876574314</v>
      </c>
      <c r="L51" s="189">
        <v>46</v>
      </c>
      <c r="M51" s="189">
        <v>93.058193208000603</v>
      </c>
      <c r="N51" s="189">
        <v>79.113924050633003</v>
      </c>
      <c r="O51" s="189">
        <v>21.100695570663628</v>
      </c>
      <c r="P51" s="189">
        <v>96.082524103320608</v>
      </c>
      <c r="Q51" s="189">
        <v>17.727638398602288</v>
      </c>
      <c r="R51" s="189">
        <v>5.5132999999999996E-3</v>
      </c>
      <c r="S51" s="189">
        <v>5.5299999999999869</v>
      </c>
      <c r="T51" s="189">
        <v>334.13939393939393</v>
      </c>
      <c r="U51" s="189">
        <v>1.35</v>
      </c>
      <c r="V51" s="189">
        <v>16.5</v>
      </c>
      <c r="W51" s="189">
        <v>3.5899999999999892</v>
      </c>
      <c r="X51" s="189">
        <v>43.382353000000002</v>
      </c>
      <c r="Y51" s="189">
        <v>2.1199999999999974</v>
      </c>
      <c r="Z51" s="189">
        <v>68.433972222222224</v>
      </c>
      <c r="AA51" s="189">
        <v>-67</v>
      </c>
      <c r="AB51" s="189">
        <v>-4.5776369047618823</v>
      </c>
      <c r="AC51" s="189">
        <v>-24.240724</v>
      </c>
    </row>
    <row r="52" spans="1:29" s="189" customFormat="1" x14ac:dyDescent="0.3">
      <c r="A52" s="189" t="s">
        <v>164</v>
      </c>
      <c r="B52" s="189">
        <v>14</v>
      </c>
      <c r="C52" s="189">
        <v>2</v>
      </c>
      <c r="D52" s="189">
        <v>17</v>
      </c>
      <c r="E52" s="189" t="s">
        <v>258</v>
      </c>
      <c r="F52" s="189">
        <v>0.44420399999999999</v>
      </c>
      <c r="G52" s="189">
        <v>-28.691608333333335</v>
      </c>
      <c r="H52" s="189">
        <v>274</v>
      </c>
      <c r="I52" s="189">
        <v>172</v>
      </c>
      <c r="J52" s="189">
        <v>7.0454545454545459</v>
      </c>
      <c r="K52" s="189">
        <v>229.46305644791167</v>
      </c>
      <c r="L52" s="189">
        <v>36</v>
      </c>
      <c r="M52" s="189">
        <v>43.005378060065702</v>
      </c>
      <c r="N52" s="189">
        <v>66.666666666666671</v>
      </c>
      <c r="O52" s="189">
        <v>10.470319648969241</v>
      </c>
      <c r="P52" s="189">
        <v>74.976529857201697</v>
      </c>
      <c r="Q52" s="189">
        <v>11.301313830657529</v>
      </c>
      <c r="R52" s="189">
        <v>8.2363499999999999E-3</v>
      </c>
      <c r="S52" s="189">
        <v>2.4399999999999977</v>
      </c>
      <c r="T52" s="189">
        <v>410.79052369077306</v>
      </c>
      <c r="U52" s="189">
        <v>1.1000000000000001</v>
      </c>
      <c r="V52" s="189">
        <v>20.05</v>
      </c>
      <c r="W52" s="189">
        <v>3.4300000000000068</v>
      </c>
      <c r="X52" s="189">
        <v>35.347043499999998</v>
      </c>
      <c r="Y52" s="189">
        <v>2.9399999999999977</v>
      </c>
      <c r="Z52" s="189">
        <v>58.466788000000008</v>
      </c>
      <c r="AA52" s="189">
        <v>-65.95</v>
      </c>
      <c r="AB52" s="189">
        <v>-1.8165214285714184</v>
      </c>
      <c r="AC52" s="189">
        <v>-35.317564285714283</v>
      </c>
    </row>
    <row r="53" spans="1:29" s="189" customFormat="1" x14ac:dyDescent="0.3">
      <c r="A53" s="189" t="s">
        <v>166</v>
      </c>
      <c r="B53" s="189">
        <v>14</v>
      </c>
      <c r="C53" s="189">
        <v>2</v>
      </c>
      <c r="D53" s="189">
        <v>17</v>
      </c>
      <c r="E53" s="189" t="s">
        <v>258</v>
      </c>
      <c r="F53" s="189">
        <v>0.68177335714285714</v>
      </c>
      <c r="G53" s="189">
        <v>-16.775269230769233</v>
      </c>
      <c r="H53" s="189">
        <v>226.56</v>
      </c>
      <c r="I53" s="189">
        <v>123.29</v>
      </c>
      <c r="J53" s="189">
        <v>9.0909090909090899</v>
      </c>
      <c r="K53" s="189">
        <v>239.23444976076516</v>
      </c>
      <c r="L53" s="189">
        <v>45</v>
      </c>
      <c r="M53" s="189">
        <v>51.328463360674519</v>
      </c>
      <c r="N53" s="189">
        <v>81.947062197820372</v>
      </c>
      <c r="O53" s="189">
        <v>18.169736143577932</v>
      </c>
      <c r="P53" s="189">
        <v>90.770034366988256</v>
      </c>
      <c r="Q53" s="189">
        <v>16.696508715810143</v>
      </c>
      <c r="R53" s="189">
        <v>5.6049799999999999E-3</v>
      </c>
      <c r="S53" s="189">
        <v>7.1000000000000085</v>
      </c>
      <c r="T53" s="189">
        <v>214.75019157088121</v>
      </c>
      <c r="U53" s="189">
        <v>0.9</v>
      </c>
      <c r="V53" s="189">
        <v>26.1</v>
      </c>
      <c r="W53" s="189">
        <v>4.7959999999999923</v>
      </c>
      <c r="X53" s="189">
        <v>59.603614999999998</v>
      </c>
      <c r="Y53" s="189">
        <v>2.3400000000000034</v>
      </c>
      <c r="Z53" s="189">
        <v>67.073264285714274</v>
      </c>
      <c r="AA53" s="189">
        <v>-65.8</v>
      </c>
      <c r="AB53" s="189">
        <v>-5.2315845238095244</v>
      </c>
      <c r="AC53" s="189">
        <v>-42.878530434782604</v>
      </c>
    </row>
    <row r="54" spans="1:29" s="189" customFormat="1" x14ac:dyDescent="0.3">
      <c r="A54" s="189" t="s">
        <v>169</v>
      </c>
      <c r="B54" s="189">
        <v>14</v>
      </c>
      <c r="C54" s="189">
        <v>2</v>
      </c>
      <c r="D54" s="189">
        <v>19</v>
      </c>
      <c r="E54" s="189" t="s">
        <v>258</v>
      </c>
      <c r="F54" s="189">
        <v>0.43186160869565227</v>
      </c>
      <c r="G54" s="189">
        <v>-22.224743478260869</v>
      </c>
      <c r="H54" s="189">
        <v>334.1</v>
      </c>
      <c r="I54" s="189">
        <v>230.5</v>
      </c>
      <c r="J54" s="189">
        <v>11.25</v>
      </c>
      <c r="K54" s="189">
        <v>231.64234422052465</v>
      </c>
      <c r="L54" s="189">
        <v>59</v>
      </c>
      <c r="M54" s="189">
        <v>46.362468778572044</v>
      </c>
      <c r="N54" s="189">
        <v>109.03936321011827</v>
      </c>
      <c r="O54" s="189">
        <v>23.208798364452527</v>
      </c>
      <c r="P54" s="189">
        <v>121.4068249033804</v>
      </c>
      <c r="Q54" s="189">
        <v>20.665024458328702</v>
      </c>
      <c r="R54" s="189">
        <v>1.0199400000000001E-2</v>
      </c>
      <c r="S54" s="189">
        <v>10.900000000000006</v>
      </c>
      <c r="T54" s="189">
        <v>576.23728813559319</v>
      </c>
      <c r="U54" s="189">
        <v>0.77</v>
      </c>
      <c r="V54" s="189">
        <v>17.7</v>
      </c>
      <c r="W54" s="189">
        <v>5.5300000000000011</v>
      </c>
      <c r="X54" s="189">
        <v>50.24</v>
      </c>
      <c r="Y54" s="189">
        <v>4.7510000000000048</v>
      </c>
      <c r="Z54" s="189">
        <v>80.813199999999995</v>
      </c>
      <c r="AA54" s="189">
        <v>-66.650000000000006</v>
      </c>
      <c r="AB54" s="189">
        <v>-6.0308547619047568</v>
      </c>
      <c r="AC54" s="189">
        <v>-41.217300000000002</v>
      </c>
    </row>
    <row r="55" spans="1:29" s="189" customFormat="1" x14ac:dyDescent="0.3">
      <c r="A55" s="189" t="s">
        <v>171</v>
      </c>
      <c r="B55" s="189">
        <v>14</v>
      </c>
      <c r="C55" s="189">
        <v>2</v>
      </c>
      <c r="D55" s="189">
        <v>17</v>
      </c>
      <c r="E55" s="189" t="s">
        <v>258</v>
      </c>
      <c r="F55" s="189">
        <v>0.59243139130434763</v>
      </c>
      <c r="G55" s="189">
        <v>-15.402104347826089</v>
      </c>
      <c r="H55" s="189">
        <v>299.41000000000003</v>
      </c>
      <c r="I55" s="189">
        <v>164.6</v>
      </c>
      <c r="J55" s="189">
        <v>10</v>
      </c>
      <c r="K55" s="189">
        <v>227.94620469569179</v>
      </c>
      <c r="L55" s="189">
        <v>48</v>
      </c>
      <c r="M55" s="189">
        <v>55.737823576857991</v>
      </c>
      <c r="N55" s="189">
        <v>87.950747581354406</v>
      </c>
      <c r="O55" s="189">
        <v>21.413170029577945</v>
      </c>
      <c r="P55" s="189">
        <v>97.366213363995129</v>
      </c>
      <c r="Q55" s="189">
        <v>18.208945538663109</v>
      </c>
      <c r="R55" s="189">
        <v>8.0454299999999992E-3</v>
      </c>
      <c r="S55" s="189">
        <v>9.9399999999999977</v>
      </c>
      <c r="T55" s="189">
        <v>338.04327731092434</v>
      </c>
      <c r="U55" s="189">
        <v>0.73</v>
      </c>
      <c r="V55" s="189">
        <v>23.8</v>
      </c>
      <c r="W55" s="189">
        <v>5.4200000000000017</v>
      </c>
      <c r="X55" s="189">
        <v>76.037615000000002</v>
      </c>
      <c r="Y55" s="189">
        <v>3.269999999999996</v>
      </c>
      <c r="Z55" s="189">
        <v>83.244</v>
      </c>
      <c r="AA55" s="189">
        <v>-65.900000000000006</v>
      </c>
      <c r="AB55" s="189">
        <v>-6.2488369047618972</v>
      </c>
      <c r="AC55" s="189">
        <v>-27.137489655172406</v>
      </c>
    </row>
    <row r="56" spans="1:29" s="189" customFormat="1" x14ac:dyDescent="0.3">
      <c r="A56" s="189" t="s">
        <v>173</v>
      </c>
      <c r="B56" s="189">
        <v>14</v>
      </c>
      <c r="C56" s="189">
        <v>2</v>
      </c>
      <c r="D56" s="189">
        <v>16</v>
      </c>
      <c r="E56" s="189" t="s">
        <v>258</v>
      </c>
      <c r="F56" s="189">
        <v>0.73856293103448289</v>
      </c>
      <c r="G56" s="189">
        <v>-25.794727586206893</v>
      </c>
      <c r="H56" s="189">
        <v>220.4</v>
      </c>
      <c r="I56" s="189">
        <v>106.4</v>
      </c>
      <c r="J56" s="189">
        <v>13.75</v>
      </c>
      <c r="K56" s="189">
        <v>196.07843137254923</v>
      </c>
      <c r="L56" s="189">
        <v>35</v>
      </c>
      <c r="M56" s="189">
        <v>121.67772435398462</v>
      </c>
      <c r="N56" s="189">
        <v>63.19115323854642</v>
      </c>
      <c r="O56" s="189">
        <v>30.373679581801799</v>
      </c>
      <c r="P56" s="189">
        <v>74.048684506656841</v>
      </c>
      <c r="Q56" s="189">
        <v>24.669348332408177</v>
      </c>
      <c r="R56" s="189">
        <v>6.2831099999999997E-3</v>
      </c>
      <c r="S56" s="189">
        <v>6.2599999999999909</v>
      </c>
      <c r="T56" s="189">
        <v>187.5555223880597</v>
      </c>
      <c r="U56" s="189">
        <v>1.1499999999999999</v>
      </c>
      <c r="V56" s="189">
        <v>33.5</v>
      </c>
      <c r="W56" s="189">
        <v>1.7199999999999989</v>
      </c>
      <c r="X56" s="189">
        <v>50.01</v>
      </c>
      <c r="Y56" s="189">
        <v>3.9420000000000002</v>
      </c>
      <c r="Z56" s="189">
        <v>66.199996551724098</v>
      </c>
      <c r="AA56" s="189">
        <v>-66.41</v>
      </c>
      <c r="AB56" s="189">
        <v>-5.9581940476190551</v>
      </c>
      <c r="AC56" s="189">
        <v>-33.020000000000003</v>
      </c>
    </row>
    <row r="57" spans="1:29" s="189" customFormat="1" x14ac:dyDescent="0.3">
      <c r="A57" s="189" t="s">
        <v>175</v>
      </c>
      <c r="B57" s="189">
        <v>14</v>
      </c>
      <c r="C57" s="189">
        <v>2</v>
      </c>
      <c r="D57" s="189">
        <v>16</v>
      </c>
      <c r="E57" s="189" t="s">
        <v>258</v>
      </c>
      <c r="F57" s="189">
        <v>0.85713493333333324</v>
      </c>
      <c r="G57" s="189">
        <v>-17.887510344827586</v>
      </c>
      <c r="H57" s="189">
        <v>194.6</v>
      </c>
      <c r="I57" s="189">
        <v>93.4</v>
      </c>
      <c r="J57" s="189">
        <v>10.263157894736842</v>
      </c>
      <c r="K57" s="189">
        <v>171.90991920233861</v>
      </c>
      <c r="L57" s="189">
        <v>23</v>
      </c>
      <c r="M57" s="189">
        <v>135.44278908712351</v>
      </c>
      <c r="N57" s="189">
        <v>50.423557886244467</v>
      </c>
      <c r="O57" s="189">
        <v>29.549340170381178</v>
      </c>
      <c r="P57" s="189">
        <v>60.89460419231974</v>
      </c>
      <c r="Q57" s="189">
        <v>18.303816295001837</v>
      </c>
      <c r="R57" s="189">
        <v>4.8682300000000003E-3</v>
      </c>
      <c r="S57" s="189">
        <v>6.2099999999999937</v>
      </c>
      <c r="T57" s="189">
        <v>224.34239631336408</v>
      </c>
      <c r="U57" s="189">
        <v>1.85</v>
      </c>
      <c r="V57" s="189">
        <v>21.7</v>
      </c>
      <c r="W57" s="189">
        <v>2.8400000000000034</v>
      </c>
      <c r="X57" s="189">
        <v>60.221870000000003</v>
      </c>
      <c r="Y57" s="189">
        <v>4.4480000000000004</v>
      </c>
      <c r="Z57" s="189">
        <v>74.070233333333363</v>
      </c>
      <c r="AA57" s="189">
        <v>-71</v>
      </c>
      <c r="AB57" s="189">
        <v>-6.7816857142857447</v>
      </c>
      <c r="AC57" s="189">
        <v>-36.496976666666669</v>
      </c>
    </row>
    <row r="58" spans="1:29" s="189" customFormat="1" x14ac:dyDescent="0.3">
      <c r="A58" s="189" t="s">
        <v>177</v>
      </c>
      <c r="B58" s="189">
        <v>14</v>
      </c>
      <c r="C58" s="189">
        <v>2</v>
      </c>
      <c r="D58" s="189">
        <v>16</v>
      </c>
      <c r="E58" s="189" t="s">
        <v>258</v>
      </c>
      <c r="F58" s="189">
        <v>0.75680099999999972</v>
      </c>
      <c r="G58" s="189">
        <v>-20.943196666666665</v>
      </c>
      <c r="H58" s="189">
        <v>210</v>
      </c>
      <c r="I58" s="189">
        <v>118.55</v>
      </c>
      <c r="J58" s="189">
        <v>6.4285714285714288</v>
      </c>
      <c r="K58" s="189">
        <v>168.77637130801736</v>
      </c>
      <c r="L58" s="189">
        <v>28</v>
      </c>
      <c r="M58" s="189">
        <v>48.172235084595528</v>
      </c>
      <c r="N58" s="189">
        <v>44.873233116446102</v>
      </c>
      <c r="O58" s="189">
        <v>14.927138911801457</v>
      </c>
      <c r="P58" s="189">
        <v>60.149269283997398</v>
      </c>
      <c r="Q58" s="189">
        <v>11.259133899013337</v>
      </c>
      <c r="R58" s="189">
        <v>4.57487E-3</v>
      </c>
      <c r="S58" s="189">
        <v>4</v>
      </c>
      <c r="T58" s="189">
        <v>228.74350000000001</v>
      </c>
      <c r="U58" s="189">
        <v>1.3</v>
      </c>
      <c r="V58" s="189">
        <v>20</v>
      </c>
      <c r="W58" s="189">
        <v>2.8389999999999986</v>
      </c>
      <c r="X58" s="189">
        <v>47.608454000000002</v>
      </c>
      <c r="Y58" s="189">
        <v>3.7100000000000009</v>
      </c>
      <c r="Z58" s="189">
        <v>74.328620000000015</v>
      </c>
      <c r="AA58" s="189">
        <v>-68</v>
      </c>
      <c r="AB58" s="189">
        <v>-7.3629698412698232</v>
      </c>
      <c r="AC58" s="189">
        <v>-28.71938461538462</v>
      </c>
    </row>
    <row r="59" spans="1:29" s="189" customFormat="1" x14ac:dyDescent="0.3">
      <c r="A59" s="189" t="s">
        <v>179</v>
      </c>
      <c r="B59" s="189">
        <v>14</v>
      </c>
      <c r="C59" s="189">
        <v>2</v>
      </c>
      <c r="D59" s="189">
        <v>15</v>
      </c>
      <c r="E59" s="189" t="s">
        <v>258</v>
      </c>
      <c r="F59" s="189">
        <v>0.70381073333333333</v>
      </c>
      <c r="G59" s="189">
        <v>-11.985283333333333</v>
      </c>
      <c r="H59" s="189">
        <v>220.27</v>
      </c>
      <c r="I59" s="189">
        <v>132.97</v>
      </c>
      <c r="J59" s="189">
        <v>8.3333333333333339</v>
      </c>
      <c r="K59" s="189">
        <v>177.49378771742943</v>
      </c>
      <c r="L59" s="189">
        <v>34</v>
      </c>
      <c r="M59" s="189">
        <v>74.119227134199406</v>
      </c>
      <c r="N59" s="189">
        <v>64.226075786769229</v>
      </c>
      <c r="O59" s="189">
        <v>18.092506530282144</v>
      </c>
      <c r="P59" s="189">
        <v>71.517836829727472</v>
      </c>
      <c r="Q59" s="189">
        <v>14.338278770240885</v>
      </c>
      <c r="R59" s="189">
        <v>1.4364999999999999E-2</v>
      </c>
      <c r="S59" s="189">
        <v>6.1899999999999977</v>
      </c>
      <c r="T59" s="189">
        <v>389.29539295392954</v>
      </c>
      <c r="U59" s="189">
        <v>0.47599999999999998</v>
      </c>
      <c r="V59" s="189">
        <v>36.9</v>
      </c>
      <c r="W59" s="189">
        <v>2.480000000000004</v>
      </c>
      <c r="X59" s="189">
        <v>75.368650000000002</v>
      </c>
      <c r="Y59" s="189">
        <v>4.1199999999999974</v>
      </c>
      <c r="Z59" s="189">
        <v>64.039961538461526</v>
      </c>
      <c r="AA59" s="189">
        <v>-65</v>
      </c>
      <c r="AB59" s="189">
        <v>-4.456534920634911</v>
      </c>
      <c r="AC59" s="191">
        <v>-38.024917647058814</v>
      </c>
    </row>
    <row r="60" spans="1:29" s="191" customFormat="1" x14ac:dyDescent="0.3">
      <c r="A60" s="190" t="s">
        <v>181</v>
      </c>
      <c r="B60" s="191">
        <v>14</v>
      </c>
      <c r="C60" s="191">
        <v>2</v>
      </c>
      <c r="D60" s="192">
        <v>14</v>
      </c>
      <c r="E60" s="193" t="s">
        <v>258</v>
      </c>
      <c r="F60" s="191">
        <v>0.61288623529411768</v>
      </c>
      <c r="G60" s="191">
        <v>-13.384623529411764</v>
      </c>
      <c r="H60" s="191">
        <v>243.04</v>
      </c>
      <c r="I60" s="191">
        <v>150.34</v>
      </c>
      <c r="J60" s="189">
        <v>10.625</v>
      </c>
      <c r="K60" s="191">
        <v>234.7417840375592</v>
      </c>
      <c r="L60" s="191">
        <v>41</v>
      </c>
      <c r="M60" s="189">
        <v>88.765733098641689</v>
      </c>
      <c r="N60" s="191">
        <v>74.872716382150372</v>
      </c>
      <c r="O60" s="189">
        <v>22.704190251672731</v>
      </c>
      <c r="P60" s="191">
        <v>86.547394114663916</v>
      </c>
      <c r="Q60" s="189">
        <v>17.78801906339773</v>
      </c>
      <c r="R60" s="194">
        <v>9.2205900000000007E-3</v>
      </c>
      <c r="S60" s="191">
        <v>3</v>
      </c>
      <c r="T60" s="191">
        <v>397.43922413793103</v>
      </c>
      <c r="U60" s="193">
        <v>1.94</v>
      </c>
      <c r="V60" s="191">
        <v>23.2</v>
      </c>
      <c r="W60" s="191">
        <v>2.9200000000000017</v>
      </c>
      <c r="X60" s="191">
        <v>54.15</v>
      </c>
      <c r="Y60" s="191">
        <v>2.0700000000000003</v>
      </c>
      <c r="Z60" s="191">
        <v>76.477047058823516</v>
      </c>
      <c r="AA60" s="191">
        <v>-66.599999999999994</v>
      </c>
      <c r="AB60" s="191">
        <v>-2.2282666666666637</v>
      </c>
      <c r="AC60" s="191">
        <v>-38.294303448275869</v>
      </c>
    </row>
    <row r="61" spans="1:29" s="191" customFormat="1" x14ac:dyDescent="0.3">
      <c r="A61" s="190" t="s">
        <v>183</v>
      </c>
      <c r="B61" s="191">
        <v>14</v>
      </c>
      <c r="C61" s="191">
        <v>2</v>
      </c>
      <c r="D61" s="192">
        <v>14</v>
      </c>
      <c r="E61" s="193" t="s">
        <v>258</v>
      </c>
      <c r="F61" s="191">
        <v>0.71910734482758598</v>
      </c>
      <c r="G61" s="191">
        <v>-13.833927586206901</v>
      </c>
      <c r="H61" s="191">
        <v>208.05</v>
      </c>
      <c r="I61" s="191">
        <v>120.22</v>
      </c>
      <c r="J61" s="189">
        <v>9.375</v>
      </c>
      <c r="K61" s="191">
        <v>219.78021978021923</v>
      </c>
      <c r="L61" s="191">
        <v>37</v>
      </c>
      <c r="M61" s="189">
        <v>114.61022955817685</v>
      </c>
      <c r="N61" s="191">
        <v>65.312520410162477</v>
      </c>
      <c r="O61" s="189">
        <v>24.932693025657677</v>
      </c>
      <c r="P61" s="191">
        <v>81.784904598260766</v>
      </c>
      <c r="Q61" s="189">
        <v>17.337780246968066</v>
      </c>
      <c r="R61" s="191">
        <v>7.3106100000000004E-3</v>
      </c>
      <c r="S61" s="191">
        <v>6.9200000000000017</v>
      </c>
      <c r="T61" s="191">
        <v>249.50887372013651</v>
      </c>
      <c r="U61" s="193">
        <v>1.04</v>
      </c>
      <c r="V61" s="191">
        <v>29.3</v>
      </c>
      <c r="W61" s="191">
        <v>3.4099999999999966</v>
      </c>
      <c r="X61" s="191">
        <v>61.991349999999997</v>
      </c>
      <c r="Y61" s="191">
        <v>3.8900000000000006</v>
      </c>
      <c r="Z61" s="191">
        <v>76.285531034482744</v>
      </c>
      <c r="AA61" s="191">
        <v>-67.5</v>
      </c>
      <c r="AB61" s="191">
        <v>-2.5189126984126839</v>
      </c>
      <c r="AC61" s="191">
        <v>-33.540849999999999</v>
      </c>
    </row>
    <row r="62" spans="1:29" s="191" customFormat="1" x14ac:dyDescent="0.3">
      <c r="A62" s="190" t="s">
        <v>185</v>
      </c>
      <c r="B62" s="191">
        <v>14</v>
      </c>
      <c r="C62" s="191">
        <v>2</v>
      </c>
      <c r="D62" s="192">
        <v>14</v>
      </c>
      <c r="E62" s="193" t="s">
        <v>258</v>
      </c>
      <c r="F62" s="191">
        <v>0.61940659999999992</v>
      </c>
      <c r="G62" s="191">
        <v>-12.288423333333332</v>
      </c>
      <c r="H62" s="191">
        <v>265.45</v>
      </c>
      <c r="I62" s="191">
        <v>148.01</v>
      </c>
      <c r="J62" s="189">
        <v>13.125</v>
      </c>
      <c r="K62" s="191">
        <v>233.31777881474562</v>
      </c>
      <c r="L62" s="191">
        <v>42</v>
      </c>
      <c r="M62" s="189">
        <v>83.935041131660753</v>
      </c>
      <c r="N62" s="191">
        <v>76.405867970659685</v>
      </c>
      <c r="O62" s="189">
        <v>27.561002093793469</v>
      </c>
      <c r="P62" s="191">
        <v>88.236669808071653</v>
      </c>
      <c r="Q62" s="189">
        <v>24.806995013555493</v>
      </c>
      <c r="R62" s="191">
        <v>7.62073E-3</v>
      </c>
      <c r="S62" s="191">
        <v>4.0499999999999972</v>
      </c>
      <c r="T62" s="191">
        <v>231.63313069908816</v>
      </c>
      <c r="U62" s="193">
        <v>1.1399999999999999</v>
      </c>
      <c r="V62" s="191">
        <v>32.9</v>
      </c>
      <c r="W62" s="191">
        <v>2.4000000000000057</v>
      </c>
      <c r="X62" s="191">
        <v>64.694999999999993</v>
      </c>
      <c r="Y62" s="191">
        <v>0.68999999999999773</v>
      </c>
      <c r="Z62" s="191">
        <v>76.293943333333331</v>
      </c>
      <c r="AA62" s="191">
        <v>-63</v>
      </c>
      <c r="AB62" s="191">
        <v>-2.7126730158729955</v>
      </c>
      <c r="AC62" s="191">
        <v>-25.792992592592597</v>
      </c>
    </row>
    <row r="63" spans="1:29" s="191" customFormat="1" x14ac:dyDescent="0.3">
      <c r="A63" s="193" t="s">
        <v>187</v>
      </c>
      <c r="B63" s="191">
        <v>14</v>
      </c>
      <c r="C63" s="191">
        <v>2</v>
      </c>
      <c r="D63" s="192">
        <v>14</v>
      </c>
      <c r="E63" s="193" t="s">
        <v>258</v>
      </c>
      <c r="F63" s="191">
        <v>0.70102951851851847</v>
      </c>
      <c r="G63" s="191">
        <v>-17.064981481481478</v>
      </c>
      <c r="H63" s="191">
        <v>204.66</v>
      </c>
      <c r="I63" s="191">
        <v>116.61</v>
      </c>
      <c r="J63" s="189">
        <v>21.833465110614103</v>
      </c>
      <c r="K63" s="191">
        <v>205.0440844781624</v>
      </c>
      <c r="L63" s="191">
        <v>35</v>
      </c>
      <c r="M63" s="189">
        <v>95.689680453839713</v>
      </c>
      <c r="N63" s="191">
        <v>48.030739673390855</v>
      </c>
      <c r="O63" s="189">
        <v>21.833465110614103</v>
      </c>
      <c r="P63" s="191">
        <v>64.426726782203147</v>
      </c>
      <c r="Q63" s="189">
        <v>21.833465110614103</v>
      </c>
      <c r="R63" s="191">
        <v>1.90361E-2</v>
      </c>
      <c r="S63" s="191">
        <v>4.2400000000000091</v>
      </c>
      <c r="T63" s="191">
        <v>820.52155172413802</v>
      </c>
      <c r="U63" s="193">
        <v>1.25</v>
      </c>
      <c r="V63" s="191">
        <v>23.2</v>
      </c>
      <c r="W63" s="191">
        <v>2.1760000000000019</v>
      </c>
      <c r="X63" s="191">
        <v>67.809240000000003</v>
      </c>
      <c r="Y63" s="191">
        <v>3.0779999999999959</v>
      </c>
      <c r="Z63" s="191">
        <v>71.354614814814823</v>
      </c>
      <c r="AA63" s="191">
        <v>-60</v>
      </c>
      <c r="AB63" s="191">
        <v>-4.0690095238095383</v>
      </c>
      <c r="AC63" s="191">
        <v>-44.728248275862072</v>
      </c>
    </row>
    <row r="64" spans="1:29" s="191" customFormat="1" x14ac:dyDescent="0.3">
      <c r="A64" s="193" t="s">
        <v>189</v>
      </c>
      <c r="B64" s="191">
        <v>14</v>
      </c>
      <c r="C64" s="191">
        <v>2</v>
      </c>
      <c r="D64" s="192">
        <v>18</v>
      </c>
      <c r="E64" s="193" t="s">
        <v>258</v>
      </c>
      <c r="F64" s="191">
        <v>0.50786206896551722</v>
      </c>
      <c r="G64" s="191">
        <v>-20.002686206896552</v>
      </c>
      <c r="H64" s="191">
        <v>350.8</v>
      </c>
      <c r="I64" s="191">
        <v>215.95</v>
      </c>
      <c r="J64" s="189">
        <v>8.75</v>
      </c>
      <c r="K64" s="191">
        <v>201.04543626859711</v>
      </c>
      <c r="L64" s="191">
        <v>39</v>
      </c>
      <c r="M64" s="189">
        <v>63.243518026361855</v>
      </c>
      <c r="N64" s="191">
        <v>70.126227208976204</v>
      </c>
      <c r="O64" s="189">
        <v>18.270800068516131</v>
      </c>
      <c r="P64" s="191">
        <v>82.724623049821005</v>
      </c>
      <c r="Q64" s="189">
        <v>15.626752226908312</v>
      </c>
      <c r="R64" s="191">
        <v>1.11501E-2</v>
      </c>
      <c r="S64" s="191">
        <v>8.730000000000004</v>
      </c>
      <c r="T64" s="191">
        <v>414.50185873605949</v>
      </c>
      <c r="U64" s="193">
        <v>0.64800000000000002</v>
      </c>
      <c r="V64" s="191">
        <v>26.9</v>
      </c>
      <c r="W64" s="191">
        <v>5.9900000000000091</v>
      </c>
      <c r="X64" s="191">
        <v>48.025455999999998</v>
      </c>
      <c r="Y64" s="191">
        <v>3.1700000000000017</v>
      </c>
      <c r="Z64" s="191">
        <v>87.86957241379308</v>
      </c>
      <c r="AA64" s="191">
        <v>-70</v>
      </c>
      <c r="AB64" s="191">
        <v>-7.9442571428571362</v>
      </c>
      <c r="AC64" s="191">
        <v>-44.486217241379315</v>
      </c>
    </row>
    <row r="65" spans="1:29" s="191" customFormat="1" x14ac:dyDescent="0.3">
      <c r="A65" s="193" t="s">
        <v>191</v>
      </c>
      <c r="B65" s="191">
        <v>14</v>
      </c>
      <c r="C65" s="191">
        <v>2</v>
      </c>
      <c r="D65" s="192">
        <v>18</v>
      </c>
      <c r="E65" s="193" t="s">
        <v>258</v>
      </c>
      <c r="F65" s="191">
        <v>0.58646034482758624</v>
      </c>
      <c r="G65" s="191">
        <v>-14.991486206896552</v>
      </c>
      <c r="H65" s="191">
        <v>301.89</v>
      </c>
      <c r="I65" s="191">
        <v>170.11</v>
      </c>
      <c r="J65" s="191">
        <v>5</v>
      </c>
      <c r="K65" s="191">
        <v>221.97558268590478</v>
      </c>
      <c r="L65" s="191">
        <v>34</v>
      </c>
      <c r="M65" s="191">
        <v>41.603111594982295</v>
      </c>
      <c r="N65" s="191">
        <v>57.803468208092255</v>
      </c>
      <c r="O65" s="191">
        <v>10.850562490276165</v>
      </c>
      <c r="P65" s="191">
        <v>70.392269291537318</v>
      </c>
      <c r="Q65" s="191">
        <v>8.3444050551417259</v>
      </c>
      <c r="R65" s="191">
        <v>6.6858000000000004E-3</v>
      </c>
      <c r="S65" s="191">
        <v>11.829999999999998</v>
      </c>
      <c r="T65" s="191">
        <v>182.67213114754097</v>
      </c>
      <c r="U65" s="193">
        <v>1</v>
      </c>
      <c r="V65" s="191">
        <v>36.6</v>
      </c>
      <c r="W65" s="191">
        <v>3.8739999999999952</v>
      </c>
      <c r="X65" s="191">
        <v>53.791314999999997</v>
      </c>
      <c r="Y65" s="191">
        <v>2.4270000000000067</v>
      </c>
      <c r="Z65" s="191">
        <v>86.051151724137938</v>
      </c>
      <c r="AA65" s="191">
        <v>-69.75</v>
      </c>
      <c r="AB65" s="191">
        <v>-9.7131215053763604</v>
      </c>
      <c r="AC65" s="191">
        <v>-31.205803448275862</v>
      </c>
    </row>
    <row r="66" spans="1:29" s="191" customFormat="1" x14ac:dyDescent="0.3">
      <c r="A66" s="193" t="s">
        <v>193</v>
      </c>
      <c r="B66" s="191">
        <v>14</v>
      </c>
      <c r="C66" s="191">
        <v>2</v>
      </c>
      <c r="D66" s="192">
        <v>15</v>
      </c>
      <c r="E66" s="193" t="s">
        <v>258</v>
      </c>
      <c r="F66" s="191">
        <v>0.58253524137931023</v>
      </c>
      <c r="G66" s="191">
        <v>-18.678875862068963</v>
      </c>
      <c r="H66" s="191">
        <v>250.82</v>
      </c>
      <c r="I66" s="191">
        <v>136.63999999999999</v>
      </c>
      <c r="J66" s="189">
        <v>10.142197794066998</v>
      </c>
      <c r="K66" s="191">
        <v>224.61814914645112</v>
      </c>
      <c r="L66" s="191">
        <v>23</v>
      </c>
      <c r="M66" s="189">
        <v>81.695029139990595</v>
      </c>
      <c r="N66" s="191">
        <v>44.931703810208312</v>
      </c>
      <c r="O66" s="189">
        <v>16.825601570810203</v>
      </c>
      <c r="P66" s="191">
        <v>58.880835586176794</v>
      </c>
      <c r="Q66" s="189">
        <v>10.142197794066998</v>
      </c>
      <c r="R66" s="191">
        <v>5.4415599999999998E-3</v>
      </c>
      <c r="S66" s="191">
        <v>3.9499999999999886</v>
      </c>
      <c r="T66" s="191">
        <v>272.07799999999997</v>
      </c>
      <c r="U66" s="193">
        <v>2.95</v>
      </c>
      <c r="V66" s="191">
        <v>20</v>
      </c>
      <c r="W66" s="191">
        <v>2.2099999999999937</v>
      </c>
      <c r="X66" s="191">
        <v>70.033805000000001</v>
      </c>
      <c r="Y66" s="191">
        <v>3.009999999999998</v>
      </c>
      <c r="Z66" s="191">
        <v>73.793613793103461</v>
      </c>
      <c r="AA66" s="191">
        <v>-66.87</v>
      </c>
      <c r="AB66" s="191">
        <v>-3.4783473118279464</v>
      </c>
      <c r="AC66" s="191">
        <v>-38.001748275862063</v>
      </c>
    </row>
    <row r="67" spans="1:29" s="191" customFormat="1" x14ac:dyDescent="0.3">
      <c r="A67" s="193" t="s">
        <v>195</v>
      </c>
      <c r="B67" s="191">
        <v>14</v>
      </c>
      <c r="C67" s="191">
        <v>2</v>
      </c>
      <c r="D67" s="192">
        <v>15</v>
      </c>
      <c r="E67" s="193" t="s">
        <v>258</v>
      </c>
      <c r="F67" s="191">
        <v>0.58458258620689652</v>
      </c>
      <c r="G67" s="191">
        <v>-14.299072413793105</v>
      </c>
      <c r="H67" s="191">
        <v>274.32</v>
      </c>
      <c r="I67" s="191">
        <v>154.19</v>
      </c>
      <c r="J67" s="189">
        <v>7</v>
      </c>
      <c r="K67" s="191">
        <v>240.15369836695393</v>
      </c>
      <c r="L67" s="191">
        <v>42</v>
      </c>
      <c r="M67" s="189">
        <v>73.773814308722351</v>
      </c>
      <c r="N67" s="191">
        <v>70.906899241296415</v>
      </c>
      <c r="O67" s="189">
        <v>16.11946631891276</v>
      </c>
      <c r="P67" s="191">
        <v>87.386756664070688</v>
      </c>
      <c r="Q67" s="189">
        <v>13.31063071656888</v>
      </c>
      <c r="R67" s="191">
        <v>6.7315200000000004E-3</v>
      </c>
      <c r="S67" s="191">
        <v>3.5300000000000011</v>
      </c>
      <c r="T67" s="191">
        <v>378.17528089887639</v>
      </c>
      <c r="U67" s="193">
        <v>1.9</v>
      </c>
      <c r="V67" s="191">
        <v>17.8</v>
      </c>
      <c r="W67" s="191">
        <v>2.960000000000008</v>
      </c>
      <c r="X67" s="191">
        <v>39.393939500000002</v>
      </c>
      <c r="Y67" s="191">
        <v>3.7099999999999937</v>
      </c>
      <c r="Z67" s="191">
        <v>80.050765517241388</v>
      </c>
      <c r="AA67" s="191">
        <v>-65.09</v>
      </c>
      <c r="AB67" s="191">
        <v>-3.3470903225806539</v>
      </c>
      <c r="AC67" s="191">
        <v>-34.792141379310344</v>
      </c>
    </row>
    <row r="68" spans="1:29" s="191" customFormat="1" x14ac:dyDescent="0.3">
      <c r="A68" s="193" t="s">
        <v>197</v>
      </c>
      <c r="B68" s="191">
        <v>14</v>
      </c>
      <c r="C68" s="191">
        <v>2</v>
      </c>
      <c r="D68" s="192">
        <v>15</v>
      </c>
      <c r="E68" s="193" t="s">
        <v>258</v>
      </c>
      <c r="F68" s="191">
        <v>0.7134968965517241</v>
      </c>
      <c r="G68" s="191">
        <v>-13.389855172413789</v>
      </c>
      <c r="H68" s="191">
        <v>185</v>
      </c>
      <c r="I68" s="191">
        <v>115</v>
      </c>
      <c r="J68" s="191">
        <v>14.545454545454545</v>
      </c>
      <c r="K68" s="191">
        <v>196.03999215840034</v>
      </c>
      <c r="L68" s="191">
        <v>38</v>
      </c>
      <c r="M68" s="191">
        <v>15.893766178984807</v>
      </c>
      <c r="N68" s="191">
        <v>64.345923685734761</v>
      </c>
      <c r="O68" s="191">
        <v>19.253620475296948</v>
      </c>
      <c r="P68" s="191">
        <v>81.360104296228357</v>
      </c>
      <c r="Q68" s="191">
        <v>25.476048288819086</v>
      </c>
      <c r="R68" s="191">
        <v>7.0010300000000001E-3</v>
      </c>
      <c r="S68" s="191">
        <v>14.86999999999999</v>
      </c>
      <c r="T68" s="191">
        <v>156.62259507829975</v>
      </c>
      <c r="U68" s="193">
        <v>0.64</v>
      </c>
      <c r="V68" s="191">
        <v>44.7</v>
      </c>
      <c r="W68" s="191">
        <v>1.6799999999999926</v>
      </c>
      <c r="X68" s="191">
        <v>154.73441</v>
      </c>
      <c r="Y68" s="191">
        <v>7.0399999999999991</v>
      </c>
      <c r="Z68" s="191">
        <v>70.8618275862069</v>
      </c>
      <c r="AA68" s="191">
        <v>-65</v>
      </c>
      <c r="AB68" s="191">
        <v>-13.782132258064523</v>
      </c>
      <c r="AC68" s="189">
        <v>-25.668325000000003</v>
      </c>
    </row>
    <row r="69" spans="1:29" s="189" customFormat="1" x14ac:dyDescent="0.3">
      <c r="A69" s="193" t="s">
        <v>263</v>
      </c>
      <c r="B69" s="191">
        <v>14</v>
      </c>
      <c r="C69" s="191">
        <v>2</v>
      </c>
      <c r="D69" s="196">
        <v>19</v>
      </c>
      <c r="E69" s="193" t="s">
        <v>258</v>
      </c>
      <c r="F69" s="189">
        <v>0.37137740000000002</v>
      </c>
      <c r="G69" s="189">
        <v>-32.073999999999998</v>
      </c>
      <c r="H69" s="189">
        <v>291.7</v>
      </c>
      <c r="I69" s="189">
        <v>169</v>
      </c>
      <c r="J69" s="189">
        <v>14.285714285714285</v>
      </c>
      <c r="K69" s="189">
        <v>260.55237102657674</v>
      </c>
      <c r="L69" s="189">
        <v>45</v>
      </c>
      <c r="M69" s="189">
        <v>89.448189545604464</v>
      </c>
      <c r="N69" s="189">
        <v>85.215168299957298</v>
      </c>
      <c r="O69" s="189">
        <v>29.277619466032583</v>
      </c>
      <c r="P69" s="189">
        <v>91.727824756377785</v>
      </c>
      <c r="Q69" s="189">
        <v>24.570562801117209</v>
      </c>
      <c r="R69" s="189">
        <v>6.6563400000000002E-3</v>
      </c>
      <c r="S69" s="189">
        <v>2.8499999999999943</v>
      </c>
      <c r="T69" s="189">
        <v>443.75600000000003</v>
      </c>
      <c r="U69" s="193">
        <v>2.96</v>
      </c>
      <c r="V69" s="189">
        <v>15</v>
      </c>
      <c r="W69" s="189">
        <v>2.2450000000000045</v>
      </c>
      <c r="X69" s="189">
        <v>55.24006</v>
      </c>
      <c r="Y69" s="189">
        <v>4.6789999999999949</v>
      </c>
      <c r="Z69" s="189">
        <v>64.5</v>
      </c>
      <c r="AA69" s="191">
        <v>-63.6</v>
      </c>
      <c r="AB69" s="189">
        <v>-2.4282806451612862</v>
      </c>
    </row>
    <row r="70" spans="1:29" s="189" customFormat="1" x14ac:dyDescent="0.3">
      <c r="A70" s="193" t="s">
        <v>264</v>
      </c>
      <c r="B70" s="191">
        <v>14</v>
      </c>
      <c r="C70" s="191">
        <v>2</v>
      </c>
      <c r="D70" s="196">
        <v>19</v>
      </c>
      <c r="E70" s="193" t="s">
        <v>258</v>
      </c>
      <c r="F70" s="189">
        <v>0.50387156000000022</v>
      </c>
      <c r="G70" s="189">
        <v>-14.956071999999999</v>
      </c>
      <c r="H70" s="191">
        <v>290.3</v>
      </c>
      <c r="I70" s="191">
        <v>175.7</v>
      </c>
      <c r="J70" s="189">
        <v>7</v>
      </c>
      <c r="K70" s="189">
        <v>270.92928745597379</v>
      </c>
      <c r="L70" s="189">
        <v>30</v>
      </c>
      <c r="M70" s="189">
        <v>77.227058178163901</v>
      </c>
      <c r="N70" s="189">
        <v>53.847396478380524</v>
      </c>
      <c r="O70" s="189">
        <v>15.972121935168133</v>
      </c>
      <c r="P70" s="189">
        <v>67.75343497594578</v>
      </c>
      <c r="Q70" s="189">
        <v>12.833036571222468</v>
      </c>
      <c r="R70" s="189">
        <v>7.2851799999999996E-3</v>
      </c>
      <c r="S70" s="189">
        <v>7.2299999999999898</v>
      </c>
      <c r="T70" s="189">
        <v>311.33247863247863</v>
      </c>
      <c r="U70" s="193">
        <v>1.2</v>
      </c>
      <c r="V70" s="189">
        <v>23.4</v>
      </c>
      <c r="W70" s="189">
        <v>3.2000000000000028</v>
      </c>
      <c r="X70" s="189">
        <v>63.117220000000003</v>
      </c>
      <c r="Y70" s="189">
        <v>2.490000000000002</v>
      </c>
      <c r="Z70" s="189">
        <v>75.849603999999985</v>
      </c>
      <c r="AA70" s="191">
        <v>-64.599999999999994</v>
      </c>
      <c r="AB70" s="189">
        <v>-6.4972913978494731</v>
      </c>
      <c r="AC70" s="189">
        <v>-40.344228000000008</v>
      </c>
    </row>
    <row r="71" spans="1:29" s="189" customFormat="1" x14ac:dyDescent="0.3">
      <c r="A71" s="193"/>
      <c r="B71" s="191"/>
      <c r="C71" s="191"/>
      <c r="D71" s="192"/>
      <c r="E71" s="195"/>
      <c r="H71" s="191"/>
      <c r="I71" s="191"/>
      <c r="U71" s="193"/>
      <c r="Z71" s="191"/>
      <c r="AA71" s="191"/>
    </row>
    <row r="72" spans="1:29" s="189" customFormat="1" x14ac:dyDescent="0.3">
      <c r="A72" s="193"/>
      <c r="B72" s="191"/>
      <c r="C72" s="191"/>
      <c r="D72" s="192"/>
      <c r="E72" s="195"/>
      <c r="H72" s="191"/>
      <c r="I72" s="191"/>
      <c r="U72" s="193"/>
      <c r="AA72" s="191"/>
    </row>
    <row r="135" spans="29:29" x14ac:dyDescent="0.3">
      <c r="AC135" s="189"/>
    </row>
    <row r="136" spans="29:29" x14ac:dyDescent="0.3">
      <c r="AC136" s="18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27"/>
  <sheetViews>
    <sheetView zoomScale="60" zoomScaleNormal="60" workbookViewId="0">
      <selection activeCell="AF27" sqref="A1:AF27"/>
    </sheetView>
  </sheetViews>
  <sheetFormatPr defaultRowHeight="14.4" x14ac:dyDescent="0.3"/>
  <cols>
    <col min="1" max="1" width="18.109375" customWidth="1"/>
  </cols>
  <sheetData>
    <row r="1" spans="1:31" x14ac:dyDescent="0.3">
      <c r="A1" s="34"/>
      <c r="B1" s="34" t="s">
        <v>219</v>
      </c>
      <c r="C1" s="34" t="s">
        <v>220</v>
      </c>
      <c r="D1" s="34" t="s">
        <v>221</v>
      </c>
      <c r="E1" s="34" t="s">
        <v>222</v>
      </c>
      <c r="F1" s="34" t="s">
        <v>223</v>
      </c>
      <c r="G1" s="34"/>
      <c r="H1" s="34" t="s">
        <v>224</v>
      </c>
      <c r="I1" s="34" t="s">
        <v>225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</row>
    <row r="2" spans="1:31" x14ac:dyDescent="0.3">
      <c r="A2" s="34" t="s">
        <v>102</v>
      </c>
      <c r="B2" s="34">
        <f>AVERAGE(B18:B27)</f>
        <v>98.398106656904574</v>
      </c>
      <c r="C2" s="34">
        <f>AVERAGE(R18:R29)</f>
        <v>89.406976489120296</v>
      </c>
      <c r="D2" s="34">
        <f>STDEVA(B18:B24)</f>
        <v>6.4467638619758558</v>
      </c>
      <c r="E2" s="34">
        <f>STDEVA(R18:R24)</f>
        <v>7.9779461757661529</v>
      </c>
      <c r="F2" s="34">
        <f>TTEST(B18:B24,R18:R24,2,1)</f>
        <v>2.8901873130280191E-2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31" x14ac:dyDescent="0.3">
      <c r="A3" s="34" t="s">
        <v>53</v>
      </c>
      <c r="B3" s="34">
        <f>AVERAGE(C18:C29)</f>
        <v>128.49320967888917</v>
      </c>
      <c r="C3" s="34">
        <f>AVERAGE(S18:S28)</f>
        <v>115.60723465085962</v>
      </c>
      <c r="D3" s="34">
        <f>STDEVA(C18:C24)</f>
        <v>19.179921291042302</v>
      </c>
      <c r="E3" s="34">
        <f>STDEVA(S18:S24)</f>
        <v>21.607200317071108</v>
      </c>
      <c r="F3" s="34">
        <f>TTEST(C18:C24,S18:S24,2,1)</f>
        <v>6.2220184960602852E-2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31" x14ac:dyDescent="0.3">
      <c r="A4" s="34" t="s">
        <v>56</v>
      </c>
      <c r="B4" s="34">
        <f>AVERAGE(D18:D30)</f>
        <v>113.27618792387723</v>
      </c>
      <c r="C4" s="34">
        <f>AVERAGE(T18:T31)</f>
        <v>95.12832376170536</v>
      </c>
      <c r="D4" s="34">
        <f>STDEVA(D18:D24)</f>
        <v>16.741011791415954</v>
      </c>
      <c r="E4" s="34">
        <f>STDEVA(T18:T24)</f>
        <v>12.415790851569339</v>
      </c>
      <c r="F4" s="34">
        <f>TTEST(D18:D24,T18:T24,2,1)</f>
        <v>1.2415178388873687E-2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x14ac:dyDescent="0.3">
      <c r="A5" s="34" t="s">
        <v>59</v>
      </c>
      <c r="B5" s="34">
        <f>AVERAGE(E18:E29)</f>
        <v>146.13235412653208</v>
      </c>
      <c r="C5" s="34">
        <f>AVERAGE(U18:U29)</f>
        <v>118.47614572286943</v>
      </c>
      <c r="D5" s="34">
        <f>STDEVA(E18:E24)</f>
        <v>26.120595750737511</v>
      </c>
      <c r="E5" s="34">
        <f>STDEVA(U18:U24)</f>
        <v>17.086134022064282</v>
      </c>
      <c r="F5" s="34">
        <f>TTEST(E18:E24,U18:U24,2,1)</f>
        <v>3.940603690957379E-3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</row>
    <row r="6" spans="1:31" x14ac:dyDescent="0.3">
      <c r="A6" s="34" t="s">
        <v>62</v>
      </c>
      <c r="B6" s="34">
        <f>AVERAGE(F18:F29)</f>
        <v>124.44240988489774</v>
      </c>
      <c r="C6" s="34">
        <f>AVERAGE(V18:V29)</f>
        <v>105.37339200204404</v>
      </c>
      <c r="D6" s="34">
        <f>STDEVA(F18:F24)</f>
        <v>21.718651927307558</v>
      </c>
      <c r="E6" s="34">
        <f>STDEVA(V18:V24)</f>
        <v>11.483810456748405</v>
      </c>
      <c r="F6" s="34">
        <f>TTEST(F18:F24,V18:V24,2,1)</f>
        <v>4.1343219587820735E-3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</row>
    <row r="7" spans="1:31" x14ac:dyDescent="0.3">
      <c r="A7" s="34" t="s">
        <v>65</v>
      </c>
      <c r="B7" s="34">
        <f>AVERAGE(G19:G30)</f>
        <v>155.79501686163204</v>
      </c>
      <c r="C7" s="34">
        <f>AVERAGE(W19:W28)</f>
        <v>132.31299446355936</v>
      </c>
      <c r="D7" s="34">
        <f>STDEVA(F18:F24)</f>
        <v>21.718651927307558</v>
      </c>
      <c r="E7" s="34">
        <f>STDEVA(W18:W24)</f>
        <v>36.493589767888288</v>
      </c>
      <c r="F7" s="34">
        <f>TTEST(G19:G24,W19:W24,2,1)</f>
        <v>9.8419922982240032E-2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1" x14ac:dyDescent="0.3">
      <c r="A8" s="34" t="s">
        <v>68</v>
      </c>
      <c r="B8" s="34">
        <f>AVERAGE(H18:H29)</f>
        <v>118.70367377720319</v>
      </c>
      <c r="C8" s="34">
        <f>AVERAGE(X18:X29)</f>
        <v>100.75836744954393</v>
      </c>
      <c r="D8" s="34">
        <f>STDEVA(H18:H24)</f>
        <v>18.056162516345374</v>
      </c>
      <c r="E8" s="34">
        <f>STDEVA(X18:X24)</f>
        <v>10.778141138134389</v>
      </c>
      <c r="F8" s="34">
        <f>TTEST(H18:H24,X18:X24,2,1)</f>
        <v>3.0443466003025237E-3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</row>
    <row r="9" spans="1:31" x14ac:dyDescent="0.3">
      <c r="A9" s="34" t="s">
        <v>70</v>
      </c>
      <c r="B9" s="34">
        <f>AVERAGE(I18:I29)</f>
        <v>178.83060870273636</v>
      </c>
      <c r="C9" s="34">
        <f>AVERAGE(Y18:Y27)</f>
        <v>130.18378329650676</v>
      </c>
      <c r="D9" s="34">
        <f>STDEVA(I18:I24)</f>
        <v>56.042253275720071</v>
      </c>
      <c r="E9" s="34">
        <f>STDEVA(Y18:Y24)</f>
        <v>23.321550911065419</v>
      </c>
      <c r="F9" s="34">
        <f>TTEST(I18:I24,Y18:Y24,2,1)</f>
        <v>6.7377137292662537E-2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</row>
    <row r="10" spans="1:31" x14ac:dyDescent="0.3">
      <c r="A10" s="34" t="s">
        <v>72</v>
      </c>
      <c r="B10" s="34">
        <f>AVERAGE(J18:J33)</f>
        <v>102.67521824438013</v>
      </c>
      <c r="C10" s="34">
        <f>AVERAGE(Z18:Z27)</f>
        <v>111.16600356431725</v>
      </c>
      <c r="D10" s="34">
        <f>STDEVA(J18:J24)</f>
        <v>5.8281657790574952</v>
      </c>
      <c r="E10" s="34">
        <f>STDEVA(Z18:Z24)</f>
        <v>14.942904466362206</v>
      </c>
      <c r="F10" s="34">
        <f>TTEST(J18:J24,Z18:Z24,2,1)</f>
        <v>7.7220067260054884E-2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</row>
    <row r="11" spans="1:31" x14ac:dyDescent="0.3">
      <c r="A11" s="34" t="s">
        <v>73</v>
      </c>
      <c r="B11" s="34">
        <f>AVERAGE(K18:K31)</f>
        <v>102.03683563592888</v>
      </c>
      <c r="C11" s="34">
        <f>AVERAGE(AA18:AA28)</f>
        <v>95.264223961936551</v>
      </c>
      <c r="D11" s="34">
        <f>STDEVA(K18:K24)</f>
        <v>9.999805886099054</v>
      </c>
      <c r="E11" s="34">
        <f>STDEVA(AA18:AA24)</f>
        <v>13.110856734396053</v>
      </c>
      <c r="F11" s="34">
        <f>TTEST(K18:K24,AA18:AA24,2,1)</f>
        <v>0.17053691720725725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</row>
    <row r="12" spans="1:31" x14ac:dyDescent="0.3">
      <c r="A12" s="34" t="s">
        <v>27</v>
      </c>
      <c r="B12" s="34">
        <f>AVERAGE(L18:L29)</f>
        <v>120.36383759567927</v>
      </c>
      <c r="C12" s="34">
        <f>AVERAGE(AB18:AB30)</f>
        <v>99.182220916699563</v>
      </c>
      <c r="D12" s="34">
        <f>STDEVA(L18:L24)</f>
        <v>49.852436991987155</v>
      </c>
      <c r="E12" s="34">
        <f>STDEVA(AB18:AB24)</f>
        <v>42.31994574624963</v>
      </c>
      <c r="F12" s="34">
        <f>TTEST(L18:L24,AB18:AB24,2,1)</f>
        <v>2.7547302113394973E-2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</row>
    <row r="13" spans="1:31" x14ac:dyDescent="0.3">
      <c r="A13" s="34" t="s">
        <v>25</v>
      </c>
      <c r="B13" s="34">
        <f>AVERAGE(M18:M29)</f>
        <v>31.501545535357721</v>
      </c>
      <c r="C13" s="34">
        <f>AVERAGE(AC18:AC29)</f>
        <v>42.651337758379697</v>
      </c>
      <c r="D13" s="34">
        <f>STDEVA(M18:M24)</f>
        <v>12.517765318922358</v>
      </c>
      <c r="E13" s="34">
        <f>STDEVA(AC18:AC24)</f>
        <v>17.696851581168367</v>
      </c>
      <c r="F13" s="34">
        <f>TTEST(M18:M24,AC18:AC24,2,1)</f>
        <v>3.1913587785107139E-2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</row>
    <row r="14" spans="1:31" x14ac:dyDescent="0.3">
      <c r="A14" s="34" t="s">
        <v>26</v>
      </c>
      <c r="B14" s="34">
        <f>AVERAGE(N18:N28)</f>
        <v>64.410905378483619</v>
      </c>
      <c r="C14" s="34">
        <f>AVERAGE(AD18:AD30)</f>
        <v>131.86214042580852</v>
      </c>
      <c r="D14" s="34">
        <f>STDEVA(N18:N24)</f>
        <v>39.754872021894904</v>
      </c>
      <c r="E14" s="34">
        <f>STDEVA(AD18:AD24)</f>
        <v>64.851815147854879</v>
      </c>
      <c r="F14" s="34">
        <f>TTEST(N18:N24,AD18:AD24,2,1)</f>
        <v>5.0878957331794809E-2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</row>
    <row r="15" spans="1:3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</row>
    <row r="16" spans="1:31" x14ac:dyDescent="0.3">
      <c r="A16" s="34" t="s">
        <v>226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 t="s">
        <v>227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</row>
    <row r="17" spans="1:31" x14ac:dyDescent="0.3">
      <c r="A17" s="34" t="s">
        <v>228</v>
      </c>
      <c r="B17" s="34" t="s">
        <v>102</v>
      </c>
      <c r="C17" s="34" t="s">
        <v>53</v>
      </c>
      <c r="D17" s="34" t="s">
        <v>56</v>
      </c>
      <c r="E17" s="34" t="s">
        <v>59</v>
      </c>
      <c r="F17" s="34" t="s">
        <v>62</v>
      </c>
      <c r="G17" s="34" t="s">
        <v>65</v>
      </c>
      <c r="H17" s="34" t="s">
        <v>68</v>
      </c>
      <c r="I17" s="34" t="s">
        <v>70</v>
      </c>
      <c r="J17" s="34" t="s">
        <v>72</v>
      </c>
      <c r="K17" s="34" t="s">
        <v>73</v>
      </c>
      <c r="L17" s="34" t="s">
        <v>27</v>
      </c>
      <c r="M17" s="34" t="s">
        <v>25</v>
      </c>
      <c r="N17" s="34" t="s">
        <v>26</v>
      </c>
      <c r="O17" s="34"/>
      <c r="P17" s="34"/>
      <c r="Q17" s="34" t="s">
        <v>228</v>
      </c>
      <c r="R17" s="34" t="s">
        <v>102</v>
      </c>
      <c r="S17" s="34" t="s">
        <v>53</v>
      </c>
      <c r="T17" s="34" t="s">
        <v>56</v>
      </c>
      <c r="U17" s="34" t="s">
        <v>59</v>
      </c>
      <c r="V17" s="34" t="s">
        <v>62</v>
      </c>
      <c r="W17" s="34" t="s">
        <v>65</v>
      </c>
      <c r="X17" s="34" t="s">
        <v>68</v>
      </c>
      <c r="Y17" s="34" t="s">
        <v>70</v>
      </c>
      <c r="Z17" s="34" t="s">
        <v>72</v>
      </c>
      <c r="AA17" s="34" t="s">
        <v>73</v>
      </c>
      <c r="AB17" s="34" t="s">
        <v>27</v>
      </c>
      <c r="AC17" s="34" t="s">
        <v>25</v>
      </c>
      <c r="AD17" s="34" t="s">
        <v>26</v>
      </c>
      <c r="AE17" s="34"/>
    </row>
    <row r="18" spans="1:31" x14ac:dyDescent="0.3">
      <c r="A18" s="34" t="s">
        <v>196</v>
      </c>
      <c r="B18" s="34">
        <v>103.61721611721646</v>
      </c>
      <c r="C18" s="34">
        <v>151.57942974857585</v>
      </c>
      <c r="D18" s="34">
        <v>129.53952717964376</v>
      </c>
      <c r="E18" s="34">
        <v>190.43602978879881</v>
      </c>
      <c r="F18" s="34">
        <v>147.5287851492138</v>
      </c>
      <c r="G18" s="34">
        <v>435.00536383056493</v>
      </c>
      <c r="H18" s="34">
        <v>140</v>
      </c>
      <c r="I18" s="34">
        <v>297.91666666666669</v>
      </c>
      <c r="J18" s="34">
        <v>104.3651614703476</v>
      </c>
      <c r="K18" s="34">
        <v>112.4504783535138</v>
      </c>
      <c r="L18" s="34">
        <v>102.54079254079258</v>
      </c>
      <c r="M18" s="34">
        <v>34.848484848485633</v>
      </c>
      <c r="N18" s="34">
        <v>110.64218090566898</v>
      </c>
      <c r="O18" s="34"/>
      <c r="P18" s="34"/>
      <c r="Q18" s="34"/>
      <c r="R18" s="34">
        <v>77.025187202178472</v>
      </c>
      <c r="S18" s="34">
        <v>123.79878747493871</v>
      </c>
      <c r="T18" s="34">
        <v>82.724106964308888</v>
      </c>
      <c r="U18" s="34">
        <v>141.90488205784538</v>
      </c>
      <c r="V18" s="34">
        <v>110.79411764705904</v>
      </c>
      <c r="W18" s="34">
        <v>164.08656723548353</v>
      </c>
      <c r="X18" s="34">
        <v>103.33333333333334</v>
      </c>
      <c r="Y18" s="34">
        <v>130.95238095238096</v>
      </c>
      <c r="Z18" s="34">
        <v>127.59583858071686</v>
      </c>
      <c r="AA18" s="34">
        <v>92.246636708870838</v>
      </c>
      <c r="AB18" s="34">
        <v>70.163170163170136</v>
      </c>
      <c r="AC18" s="34">
        <v>31.060606060605959</v>
      </c>
      <c r="AD18" s="34">
        <v>222.99532337173491</v>
      </c>
      <c r="AE18" s="34"/>
    </row>
    <row r="19" spans="1:31" x14ac:dyDescent="0.3">
      <c r="A19" s="34" t="s">
        <v>174</v>
      </c>
      <c r="B19" s="34">
        <v>99.438202247191626</v>
      </c>
      <c r="C19" s="34">
        <v>130.73205391977004</v>
      </c>
      <c r="D19" s="34">
        <v>102.59425332136888</v>
      </c>
      <c r="E19" s="34">
        <v>166.9881771130797</v>
      </c>
      <c r="F19" s="34">
        <v>136.51304347826095</v>
      </c>
      <c r="G19" s="34">
        <v>178.62382373015797</v>
      </c>
      <c r="H19" s="34">
        <v>126.47058823529412</v>
      </c>
      <c r="I19" s="34">
        <v>173.33333333333334</v>
      </c>
      <c r="J19" s="34">
        <v>104.05407236698592</v>
      </c>
      <c r="K19" s="34">
        <v>91.329064577947278</v>
      </c>
      <c r="L19" s="34">
        <v>60.162601626016574</v>
      </c>
      <c r="M19" s="34">
        <v>16.444444444444649</v>
      </c>
      <c r="N19" s="34">
        <v>4.4730355317741841</v>
      </c>
      <c r="O19" s="34"/>
      <c r="P19" s="34"/>
      <c r="Q19" s="34"/>
      <c r="R19" s="34">
        <v>89.879180528804483</v>
      </c>
      <c r="S19" s="34">
        <v>109.31111790294877</v>
      </c>
      <c r="T19" s="34">
        <v>89.301143461428012</v>
      </c>
      <c r="U19" s="34">
        <v>117.51694076748669</v>
      </c>
      <c r="V19" s="34">
        <v>111.81623931623967</v>
      </c>
      <c r="W19" s="34">
        <f>0.118139642425794*1000</f>
        <v>118.13964242579399</v>
      </c>
      <c r="X19" s="34">
        <v>108.8235294117647</v>
      </c>
      <c r="Y19" s="34">
        <v>110.61728395061728</v>
      </c>
      <c r="Z19" s="34">
        <v>104.47232376324513</v>
      </c>
      <c r="AA19" s="34">
        <v>92.415837740155595</v>
      </c>
      <c r="AB19" s="34">
        <v>47.967479674796571</v>
      </c>
      <c r="AC19" s="34">
        <v>30.222222222222527</v>
      </c>
      <c r="AD19" s="34">
        <v>171.3461191607046</v>
      </c>
      <c r="AE19" s="34"/>
    </row>
    <row r="20" spans="1:31" x14ac:dyDescent="0.3">
      <c r="A20" s="34" t="s">
        <v>176</v>
      </c>
      <c r="B20" s="34">
        <v>95.530145530145361</v>
      </c>
      <c r="C20" s="34">
        <v>141.79809899013759</v>
      </c>
      <c r="D20" s="34">
        <v>97.061209783715483</v>
      </c>
      <c r="E20" s="34">
        <v>144.16701398090808</v>
      </c>
      <c r="F20" s="34">
        <v>99.4522378089505</v>
      </c>
      <c r="G20" s="34">
        <v>147.72545100228444</v>
      </c>
      <c r="H20" s="34">
        <v>94.871794871794862</v>
      </c>
      <c r="I20" s="34">
        <v>156.56565656565658</v>
      </c>
      <c r="J20" s="34">
        <v>101.69235670312587</v>
      </c>
      <c r="K20" s="34">
        <v>93.703853378208947</v>
      </c>
      <c r="L20" s="34">
        <v>99.01960784313728</v>
      </c>
      <c r="M20" s="34">
        <v>20.312499999999272</v>
      </c>
      <c r="N20" s="34">
        <v>29.002024740104698</v>
      </c>
      <c r="O20" s="34"/>
      <c r="P20" s="34"/>
      <c r="Q20" s="34"/>
      <c r="R20" s="34">
        <v>92.207357859531186</v>
      </c>
      <c r="S20" s="34">
        <v>123.89629363615953</v>
      </c>
      <c r="T20" s="34">
        <v>88.063458550639567</v>
      </c>
      <c r="U20" s="34">
        <v>114.21333662356344</v>
      </c>
      <c r="V20" s="34">
        <v>91.787916152896997</v>
      </c>
      <c r="W20" s="34">
        <v>105.38269336346502</v>
      </c>
      <c r="X20" s="34">
        <v>87.179487179487182</v>
      </c>
      <c r="Y20" s="34">
        <v>118.76832844574778</v>
      </c>
      <c r="Z20" s="34">
        <v>107.35534237532445</v>
      </c>
      <c r="AA20" s="34">
        <v>94.492189750384753</v>
      </c>
      <c r="AB20" s="34">
        <v>92.009803921568619</v>
      </c>
      <c r="AC20" s="34">
        <v>32.031249999999709</v>
      </c>
      <c r="AD20" s="34">
        <v>49.847230022054958</v>
      </c>
      <c r="AE20" s="34"/>
    </row>
    <row r="21" spans="1:31" x14ac:dyDescent="0.3">
      <c r="A21" s="34" t="s">
        <v>188</v>
      </c>
      <c r="B21" s="34">
        <v>88.664031620553587</v>
      </c>
      <c r="C21" s="34">
        <v>103.80731283478752</v>
      </c>
      <c r="D21" s="34">
        <v>102.99080617107623</v>
      </c>
      <c r="E21" s="34">
        <v>119.00628766023891</v>
      </c>
      <c r="F21" s="34">
        <v>110.07532956685471</v>
      </c>
      <c r="G21" s="34">
        <v>144.75318674342833</v>
      </c>
      <c r="H21" s="34">
        <v>105</v>
      </c>
      <c r="I21" s="34">
        <v>126.53485952133194</v>
      </c>
      <c r="J21" s="34">
        <v>108.6624532385337</v>
      </c>
      <c r="K21" s="34">
        <v>99.175356061874012</v>
      </c>
      <c r="L21" s="34">
        <v>109.57031249999989</v>
      </c>
      <c r="M21" s="34">
        <v>48.888888888888324</v>
      </c>
      <c r="N21" s="34">
        <v>81.436601211767282</v>
      </c>
      <c r="O21" s="34"/>
      <c r="P21" s="34"/>
      <c r="Q21" s="34"/>
      <c r="R21" s="34">
        <v>81.98830409356728</v>
      </c>
      <c r="S21" s="34">
        <v>77.966725577971459</v>
      </c>
      <c r="T21" s="34">
        <v>88.152797091758671</v>
      </c>
      <c r="U21" s="34">
        <v>96.867072261080551</v>
      </c>
      <c r="V21" s="34">
        <v>97.711052530058566</v>
      </c>
      <c r="W21" s="34">
        <v>120.72951865370514</v>
      </c>
      <c r="X21" s="34">
        <v>90</v>
      </c>
      <c r="Y21" s="34">
        <v>109.44700460829493</v>
      </c>
      <c r="Z21" s="34">
        <v>117.18793833064358</v>
      </c>
      <c r="AA21" s="34">
        <v>99.046048585330823</v>
      </c>
      <c r="AB21" s="34">
        <v>109.3749999999998</v>
      </c>
      <c r="AC21" s="34">
        <v>73.333333333335645</v>
      </c>
      <c r="AD21" s="34">
        <v>164.97554566026716</v>
      </c>
      <c r="AE21" s="34"/>
    </row>
    <row r="22" spans="1:31" x14ac:dyDescent="0.3">
      <c r="A22" s="34" t="s">
        <v>229</v>
      </c>
      <c r="B22" s="34">
        <v>108.84834216205597</v>
      </c>
      <c r="C22" s="34">
        <v>116.96970204787922</v>
      </c>
      <c r="D22" s="34">
        <v>142.45540224063728</v>
      </c>
      <c r="E22" s="34">
        <v>139.28317972218835</v>
      </c>
      <c r="F22" s="34">
        <v>153.68858037294035</v>
      </c>
      <c r="G22" s="34">
        <v>185.4218908113983</v>
      </c>
      <c r="H22" s="34">
        <v>141.66666666666669</v>
      </c>
      <c r="I22" s="34">
        <v>165.07936507936509</v>
      </c>
      <c r="J22" s="34">
        <v>96.300947127919628</v>
      </c>
      <c r="K22" s="34">
        <v>100.61872173056423</v>
      </c>
      <c r="L22" s="34"/>
      <c r="M22" s="34"/>
      <c r="N22" s="34"/>
      <c r="O22" s="34"/>
      <c r="P22" s="34"/>
      <c r="Q22" s="34"/>
      <c r="R22" s="34">
        <v>100.4526525439074</v>
      </c>
      <c r="S22" s="34">
        <v>131.25105795463037</v>
      </c>
      <c r="T22" s="34">
        <v>118.83316711971001</v>
      </c>
      <c r="U22" s="34">
        <v>132.64794285481369</v>
      </c>
      <c r="V22" s="34">
        <v>124.93361363133486</v>
      </c>
      <c r="W22" s="34">
        <v>207.51109899122983</v>
      </c>
      <c r="X22" s="34">
        <v>116.66666666666667</v>
      </c>
      <c r="Y22" s="34">
        <v>177.7777777777778</v>
      </c>
      <c r="Z22" s="34">
        <v>91.895204862465533</v>
      </c>
      <c r="AA22" s="34">
        <v>101.30625629203122</v>
      </c>
      <c r="AB22" s="34"/>
      <c r="AC22" s="34"/>
      <c r="AD22" s="34"/>
      <c r="AE22" s="34"/>
    </row>
    <row r="23" spans="1:31" x14ac:dyDescent="0.3">
      <c r="A23" s="34" t="s">
        <v>230</v>
      </c>
      <c r="B23" s="34">
        <v>96.804544647612161</v>
      </c>
      <c r="C23" s="34">
        <v>107.95554568077794</v>
      </c>
      <c r="D23" s="34">
        <v>114.08123022437032</v>
      </c>
      <c r="E23" s="34">
        <v>115.99127760707817</v>
      </c>
      <c r="F23" s="34">
        <v>120.62601626016296</v>
      </c>
      <c r="G23" s="34">
        <v>139.30310477335175</v>
      </c>
      <c r="H23" s="34">
        <v>116.66666666666667</v>
      </c>
      <c r="I23" s="34">
        <v>187.32943469785576</v>
      </c>
      <c r="J23" s="34">
        <v>94.074623671250862</v>
      </c>
      <c r="K23" s="34">
        <v>118.83299145551405</v>
      </c>
      <c r="L23" s="34">
        <v>205.81395348837174</v>
      </c>
      <c r="M23" s="34">
        <v>41.428571428571345</v>
      </c>
      <c r="N23" s="34">
        <v>72.911589881586551</v>
      </c>
      <c r="O23" s="34"/>
      <c r="P23" s="34"/>
      <c r="Q23" s="34"/>
      <c r="R23" s="34">
        <v>95.919085312225178</v>
      </c>
      <c r="S23" s="34">
        <v>100.36534599751809</v>
      </c>
      <c r="T23" s="34">
        <v>103.87858401805717</v>
      </c>
      <c r="U23" s="34">
        <v>97.961383417947403</v>
      </c>
      <c r="V23" s="34">
        <v>104.90702114120029</v>
      </c>
      <c r="W23" s="34">
        <v>112.19955509439619</v>
      </c>
      <c r="X23" s="34">
        <v>105.55555555555556</v>
      </c>
      <c r="Y23" s="34">
        <v>136.80063041765172</v>
      </c>
      <c r="Z23" s="34">
        <v>97.856637544507919</v>
      </c>
      <c r="AA23" s="34">
        <v>115.55358716811131</v>
      </c>
      <c r="AB23" s="34">
        <v>172.0930232558137</v>
      </c>
      <c r="AC23" s="34">
        <v>55.000000000000284</v>
      </c>
      <c r="AD23" s="34">
        <v>89.804179895644992</v>
      </c>
      <c r="AE23" s="34"/>
    </row>
    <row r="24" spans="1:31" x14ac:dyDescent="0.3">
      <c r="A24" s="34" t="s">
        <v>231</v>
      </c>
      <c r="B24" s="34">
        <v>95.88426427355688</v>
      </c>
      <c r="C24" s="34">
        <v>146.61032453029611</v>
      </c>
      <c r="D24" s="34">
        <v>104.21088654632851</v>
      </c>
      <c r="E24" s="34">
        <v>147.0545130134326</v>
      </c>
      <c r="F24" s="34">
        <v>103.21287655790088</v>
      </c>
      <c r="G24" s="34">
        <v>138.9426441091714</v>
      </c>
      <c r="H24" s="34">
        <v>106.25</v>
      </c>
      <c r="I24" s="34">
        <v>145.05494505494505</v>
      </c>
      <c r="J24" s="34">
        <v>109.57691313249738</v>
      </c>
      <c r="K24" s="34">
        <v>98.147383893879862</v>
      </c>
      <c r="L24" s="34">
        <v>145.07575757575748</v>
      </c>
      <c r="M24" s="34">
        <v>27.086383601757085</v>
      </c>
      <c r="N24" s="34">
        <v>88</v>
      </c>
      <c r="O24" s="34"/>
      <c r="P24" s="34"/>
      <c r="Q24" s="34"/>
      <c r="R24" s="34">
        <v>88.377067883628087</v>
      </c>
      <c r="S24" s="34">
        <v>142.66131401185052</v>
      </c>
      <c r="T24" s="34">
        <v>94.945009126035146</v>
      </c>
      <c r="U24" s="34">
        <v>128.2214620773488</v>
      </c>
      <c r="V24" s="34">
        <v>95.663783595518908</v>
      </c>
      <c r="W24" s="34">
        <v>129.91545825276611</v>
      </c>
      <c r="X24" s="34">
        <v>93.75</v>
      </c>
      <c r="Y24" s="34">
        <v>126.92307692307692</v>
      </c>
      <c r="Z24" s="34">
        <v>131.79873949331727</v>
      </c>
      <c r="AA24" s="34">
        <v>71.789011488671349</v>
      </c>
      <c r="AB24" s="34">
        <v>103.48484848484844</v>
      </c>
      <c r="AC24" s="34">
        <v>34.260614934114052</v>
      </c>
      <c r="AD24" s="34">
        <v>92.204444444444448</v>
      </c>
      <c r="AE24" s="34"/>
    </row>
    <row r="25" spans="1:31" x14ac:dyDescent="0.3">
      <c r="A25" s="34" t="s">
        <v>232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</row>
    <row r="26" spans="1:31" x14ac:dyDescent="0.3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</row>
    <row r="27" spans="1:31" x14ac:dyDescent="0.3">
      <c r="A27" s="34"/>
      <c r="B27" s="34"/>
      <c r="C27" s="34" t="s">
        <v>233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134"/>
  <sheetViews>
    <sheetView zoomScale="50" zoomScaleNormal="50" workbookViewId="0">
      <selection activeCell="S17" sqref="S17"/>
    </sheetView>
  </sheetViews>
  <sheetFormatPr defaultRowHeight="14.4" x14ac:dyDescent="0.3"/>
  <cols>
    <col min="1" max="1" width="9.109375" style="53"/>
    <col min="2" max="2" width="12.44140625" style="53" customWidth="1"/>
    <col min="3" max="4" width="9.109375" style="53"/>
    <col min="5" max="5" width="15.77734375" style="53" customWidth="1"/>
    <col min="6" max="6" width="12.44140625" style="53" customWidth="1"/>
    <col min="7" max="24" width="9.109375" style="53"/>
  </cols>
  <sheetData>
    <row r="1" spans="1:31" ht="15" thickBot="1" x14ac:dyDescent="0.35">
      <c r="A1" s="73" t="s">
        <v>1</v>
      </c>
      <c r="B1" s="53" t="s">
        <v>234</v>
      </c>
      <c r="C1" s="73" t="s">
        <v>8</v>
      </c>
      <c r="D1" s="73" t="s">
        <v>9</v>
      </c>
      <c r="E1" s="73" t="s">
        <v>10</v>
      </c>
      <c r="F1" s="73" t="s">
        <v>3</v>
      </c>
      <c r="G1" s="73" t="s">
        <v>83</v>
      </c>
      <c r="H1" s="73" t="s">
        <v>5</v>
      </c>
      <c r="I1" s="73" t="s">
        <v>6</v>
      </c>
      <c r="J1" s="73" t="s">
        <v>7</v>
      </c>
      <c r="K1" s="73" t="s">
        <v>11</v>
      </c>
      <c r="L1" s="73" t="s">
        <v>12</v>
      </c>
      <c r="M1" s="73" t="s">
        <v>13</v>
      </c>
      <c r="N1" s="74" t="s">
        <v>14</v>
      </c>
      <c r="O1" s="74" t="s">
        <v>15</v>
      </c>
      <c r="P1" s="74" t="s">
        <v>16</v>
      </c>
      <c r="Q1" s="74" t="s">
        <v>17</v>
      </c>
      <c r="R1" s="74" t="s">
        <v>18</v>
      </c>
      <c r="S1" s="75" t="s">
        <v>19</v>
      </c>
      <c r="T1" s="76" t="s">
        <v>20</v>
      </c>
      <c r="U1" s="76" t="s">
        <v>21</v>
      </c>
      <c r="V1" s="76" t="s">
        <v>84</v>
      </c>
      <c r="W1" s="76" t="s">
        <v>23</v>
      </c>
      <c r="X1" s="76" t="s">
        <v>24</v>
      </c>
      <c r="Y1" s="34"/>
      <c r="Z1" s="34"/>
      <c r="AA1" s="34"/>
      <c r="AB1" s="34"/>
      <c r="AC1" s="34"/>
      <c r="AD1" s="5"/>
      <c r="AE1" s="5"/>
    </row>
    <row r="2" spans="1:31" ht="15" thickBot="1" x14ac:dyDescent="0.35">
      <c r="A2" s="52" t="s">
        <v>29</v>
      </c>
      <c r="B2" s="53">
        <v>3</v>
      </c>
      <c r="C2" s="52">
        <v>3</v>
      </c>
      <c r="D2" s="52">
        <v>3.5</v>
      </c>
      <c r="E2" s="83">
        <v>1</v>
      </c>
      <c r="F2" s="52">
        <v>0.06</v>
      </c>
      <c r="G2" s="53">
        <v>77.549437766576133</v>
      </c>
      <c r="H2" s="52">
        <v>16</v>
      </c>
      <c r="I2" s="52">
        <v>1.6787210714285712</v>
      </c>
      <c r="J2" s="52">
        <v>22.304966666666701</v>
      </c>
      <c r="K2" s="53">
        <f>(0.0099/0.0000000001)/1000000</f>
        <v>99</v>
      </c>
      <c r="L2" s="53">
        <v>154.34216907199172</v>
      </c>
      <c r="M2" s="53">
        <v>35.172874679047467</v>
      </c>
      <c r="N2" s="52">
        <v>54.455264954119357</v>
      </c>
      <c r="O2" s="52">
        <v>32.612620210124575</v>
      </c>
      <c r="P2" s="52">
        <v>38.722649925064523</v>
      </c>
      <c r="Q2" s="53">
        <v>1.8208100000000001E-2</v>
      </c>
      <c r="R2" s="52">
        <f>120-112.3</f>
        <v>7.7000000000000028</v>
      </c>
      <c r="S2" s="53">
        <f>[1]Sheet8!$G$2</f>
        <v>151.65891062929668</v>
      </c>
      <c r="T2" s="53">
        <v>65.2</v>
      </c>
      <c r="U2" s="53">
        <f>49.7+15.8</f>
        <v>65.5</v>
      </c>
      <c r="V2" s="53">
        <v>96.9</v>
      </c>
      <c r="W2" s="53">
        <v>37.4</v>
      </c>
      <c r="X2" s="53">
        <v>25</v>
      </c>
      <c r="Y2" s="34"/>
      <c r="Z2" s="34"/>
      <c r="AA2" s="34"/>
      <c r="AB2" s="34"/>
      <c r="AC2" s="34"/>
      <c r="AD2" s="34"/>
      <c r="AE2" s="34"/>
    </row>
    <row r="3" spans="1:31" ht="15" thickBot="1" x14ac:dyDescent="0.35">
      <c r="A3" s="52" t="s">
        <v>32</v>
      </c>
      <c r="B3" s="53">
        <v>3</v>
      </c>
      <c r="C3" s="52">
        <v>3</v>
      </c>
      <c r="D3" s="52">
        <v>3.05</v>
      </c>
      <c r="E3" s="83">
        <v>1</v>
      </c>
      <c r="F3" s="54">
        <v>1.4</v>
      </c>
      <c r="G3" s="53">
        <v>122.9105211406097</v>
      </c>
      <c r="H3" s="54">
        <v>29</v>
      </c>
      <c r="I3" s="54">
        <v>1.1895036666666665</v>
      </c>
      <c r="J3" s="54">
        <v>7.1390068965517202</v>
      </c>
      <c r="K3" s="53">
        <f>(0.00647/0.0000000001)/1000000</f>
        <v>64.7</v>
      </c>
      <c r="L3" s="53">
        <v>85.928817008238866</v>
      </c>
      <c r="M3" s="53">
        <v>52.90165582182717</v>
      </c>
      <c r="N3" s="54">
        <v>36.601035346339991</v>
      </c>
      <c r="O3" s="54">
        <v>57.160249562243465</v>
      </c>
      <c r="P3" s="53">
        <v>34.046266666252833</v>
      </c>
      <c r="Q3" s="55">
        <v>1.53467E-2</v>
      </c>
      <c r="R3" s="54">
        <f>123.2-114.4</f>
        <v>8.7999999999999972</v>
      </c>
      <c r="S3" s="53">
        <v>237.19783616692425</v>
      </c>
      <c r="T3" s="53">
        <v>65</v>
      </c>
      <c r="U3" s="53">
        <f>50.4+28.2</f>
        <v>78.599999999999994</v>
      </c>
      <c r="V3" s="53">
        <v>205.7</v>
      </c>
      <c r="W3" s="53">
        <v>65.3</v>
      </c>
      <c r="X3" s="53">
        <v>18.399999999999999</v>
      </c>
      <c r="Y3" s="34"/>
      <c r="Z3" s="34"/>
      <c r="AA3" s="34"/>
      <c r="AB3" s="34"/>
      <c r="AC3" s="34"/>
      <c r="AD3" s="34"/>
      <c r="AE3" s="34"/>
    </row>
    <row r="4" spans="1:31" ht="15" thickBot="1" x14ac:dyDescent="0.35">
      <c r="A4" s="52" t="s">
        <v>34</v>
      </c>
      <c r="B4" s="53">
        <v>3</v>
      </c>
      <c r="C4" s="54">
        <v>3</v>
      </c>
      <c r="D4" s="52">
        <v>3.1</v>
      </c>
      <c r="E4" s="83">
        <v>1</v>
      </c>
      <c r="F4" s="54">
        <v>0.36</v>
      </c>
      <c r="G4" s="54">
        <v>138.66258572218629</v>
      </c>
      <c r="H4" s="54">
        <v>22</v>
      </c>
      <c r="I4" s="54">
        <v>0.98629673333333345</v>
      </c>
      <c r="J4" s="54">
        <v>5.3563655172413798</v>
      </c>
      <c r="K4" s="53">
        <f>(0.00528/0.0000000001)/1000000</f>
        <v>52.8</v>
      </c>
      <c r="L4" s="53">
        <v>138.66258572218629</v>
      </c>
      <c r="M4" s="53">
        <v>46.74207721791155</v>
      </c>
      <c r="N4" s="53">
        <v>48.47300021882721</v>
      </c>
      <c r="O4" s="54">
        <v>42.84169722220431</v>
      </c>
      <c r="P4" s="54">
        <v>38.353048866016657</v>
      </c>
      <c r="Q4" s="53">
        <v>1.2986599999999999E-2</v>
      </c>
      <c r="R4" s="54">
        <f>105.7-98.6</f>
        <v>7.1000000000000085</v>
      </c>
      <c r="S4" s="53">
        <v>212.89508196721309</v>
      </c>
      <c r="T4" s="53">
        <v>65</v>
      </c>
      <c r="U4" s="53">
        <f>45.29+26.47</f>
        <v>71.759999999999991</v>
      </c>
      <c r="V4" s="53">
        <v>168.7</v>
      </c>
      <c r="W4" s="53">
        <v>72.599999999999994</v>
      </c>
      <c r="X4" s="53">
        <v>25.757575760000002</v>
      </c>
      <c r="Y4" s="34"/>
      <c r="Z4" s="34"/>
      <c r="AA4" s="34"/>
      <c r="AB4" s="34"/>
      <c r="AC4" s="34"/>
      <c r="AD4" s="34"/>
      <c r="AE4" s="34"/>
    </row>
    <row r="5" spans="1:31" ht="15" thickBot="1" x14ac:dyDescent="0.35">
      <c r="A5" s="52" t="s">
        <v>36</v>
      </c>
      <c r="B5" s="53">
        <v>3</v>
      </c>
      <c r="C5" s="54">
        <v>3</v>
      </c>
      <c r="D5" s="52">
        <v>3.15</v>
      </c>
      <c r="E5" s="83">
        <v>1</v>
      </c>
      <c r="F5" s="54">
        <v>0.33</v>
      </c>
      <c r="G5" s="54">
        <v>151.05740181268936</v>
      </c>
      <c r="H5" s="54">
        <v>25</v>
      </c>
      <c r="I5" s="54">
        <v>1.0856079166666668</v>
      </c>
      <c r="J5" s="54">
        <v>7.07213478260869</v>
      </c>
      <c r="K5" s="53">
        <f>(0.00467/0.0000000001)/1000000</f>
        <v>46.699999999999996</v>
      </c>
      <c r="L5" s="54">
        <v>96.827480458593911</v>
      </c>
      <c r="M5" s="54">
        <v>51.064698973599626</v>
      </c>
      <c r="N5" s="54">
        <v>30.765043223897777</v>
      </c>
      <c r="O5" s="54">
        <v>57.556769979018881</v>
      </c>
      <c r="P5" s="54">
        <v>21.645961903995346</v>
      </c>
      <c r="Q5" s="55">
        <v>1.36533E-2</v>
      </c>
      <c r="R5" s="53">
        <f>100.08-97.91</f>
        <v>2.1700000000000017</v>
      </c>
      <c r="S5" s="53">
        <v>292.36188436830838</v>
      </c>
      <c r="T5" s="53">
        <v>60.9</v>
      </c>
      <c r="U5" s="53">
        <f>32.4+28.3</f>
        <v>60.7</v>
      </c>
      <c r="V5" s="53">
        <v>119.4</v>
      </c>
      <c r="W5" s="53">
        <v>57.3</v>
      </c>
      <c r="X5" s="53">
        <v>18.18181818181818</v>
      </c>
      <c r="Y5" s="34"/>
      <c r="Z5" s="34"/>
      <c r="AA5" s="34"/>
      <c r="AB5" s="34"/>
      <c r="AC5" s="34"/>
      <c r="AD5" s="34"/>
      <c r="AE5" s="34"/>
    </row>
    <row r="6" spans="1:31" ht="15" thickBot="1" x14ac:dyDescent="0.35">
      <c r="A6" s="52" t="s">
        <v>38</v>
      </c>
      <c r="B6" s="53">
        <v>3</v>
      </c>
      <c r="C6" s="54">
        <v>3</v>
      </c>
      <c r="D6" s="52">
        <v>3.2</v>
      </c>
      <c r="E6" s="83">
        <v>1</v>
      </c>
      <c r="F6" s="54">
        <v>0.25</v>
      </c>
      <c r="G6" s="53">
        <v>135.2447930754665</v>
      </c>
      <c r="H6" s="54">
        <v>26</v>
      </c>
      <c r="I6" s="54">
        <v>1.1950000000000001</v>
      </c>
      <c r="J6" s="54">
        <v>7.8070000000000004</v>
      </c>
      <c r="K6" s="53">
        <f>(0.00814/0.0000000001)/1000000</f>
        <v>81.400000000000006</v>
      </c>
      <c r="L6" s="53">
        <v>123.2084915901869</v>
      </c>
      <c r="M6" s="53">
        <v>37.94638696326507</v>
      </c>
      <c r="N6" s="53">
        <v>41.517383479595537</v>
      </c>
      <c r="O6" s="53">
        <v>54.773227477637072</v>
      </c>
      <c r="P6" s="53">
        <v>37.94638696326507</v>
      </c>
      <c r="Q6" s="55">
        <v>1.6842599999999999E-2</v>
      </c>
      <c r="R6" s="54">
        <f>115.8-102.5</f>
        <v>13.299999999999997</v>
      </c>
      <c r="S6" s="53">
        <v>206.91154791154801</v>
      </c>
      <c r="T6" s="53">
        <v>58</v>
      </c>
      <c r="U6" s="53">
        <f>36.69+25.54</f>
        <v>62.23</v>
      </c>
      <c r="V6" s="53">
        <v>114.8</v>
      </c>
      <c r="W6" s="53">
        <v>53.7</v>
      </c>
      <c r="X6" s="53">
        <v>17.27272727272727</v>
      </c>
      <c r="Y6" s="34"/>
      <c r="Z6" s="34"/>
      <c r="AA6" s="34"/>
      <c r="AB6" s="34"/>
      <c r="AC6" s="34"/>
      <c r="AD6" s="34"/>
      <c r="AE6" s="34"/>
    </row>
    <row r="7" spans="1:31" ht="15" thickBot="1" x14ac:dyDescent="0.35">
      <c r="A7" s="52" t="s">
        <v>42</v>
      </c>
      <c r="B7" s="53">
        <v>3</v>
      </c>
      <c r="C7" s="54">
        <v>2</v>
      </c>
      <c r="D7" s="52">
        <v>3.3</v>
      </c>
      <c r="E7" s="83">
        <v>1</v>
      </c>
      <c r="F7" s="54">
        <v>0.18</v>
      </c>
      <c r="G7" s="54">
        <v>110</v>
      </c>
      <c r="H7" s="54">
        <v>29</v>
      </c>
      <c r="I7" s="54">
        <v>1.1420199999999998</v>
      </c>
      <c r="J7" s="54">
        <v>20.2611375</v>
      </c>
      <c r="K7" s="54">
        <v>122</v>
      </c>
      <c r="L7" s="53">
        <v>96.679781130543205</v>
      </c>
      <c r="M7" s="53">
        <v>54.710581026370441</v>
      </c>
      <c r="N7" s="53">
        <v>49.263212126250615</v>
      </c>
      <c r="O7" s="53">
        <v>59.049966726885998</v>
      </c>
      <c r="P7" s="53">
        <v>43.128537822097151</v>
      </c>
      <c r="Q7" s="53">
        <v>2.4686300000000001E-2</v>
      </c>
      <c r="R7" s="53">
        <f>143.4-128.7</f>
        <v>14.700000000000017</v>
      </c>
      <c r="S7" s="53">
        <v>202.34672131147542</v>
      </c>
      <c r="T7" s="53">
        <v>63.9</v>
      </c>
      <c r="U7" s="53">
        <f>43.5+37.3</f>
        <v>80.8</v>
      </c>
      <c r="V7" s="53">
        <v>193.9</v>
      </c>
      <c r="W7" s="53">
        <v>73.400000000000006</v>
      </c>
      <c r="X7" s="53">
        <v>21.538461538461537</v>
      </c>
      <c r="Y7" s="34"/>
      <c r="Z7" s="34"/>
      <c r="AA7" s="34"/>
      <c r="AB7" s="34"/>
      <c r="AC7" s="34"/>
      <c r="AD7" s="34"/>
      <c r="AE7" s="34"/>
    </row>
    <row r="8" spans="1:31" ht="15" thickBot="1" x14ac:dyDescent="0.35">
      <c r="A8" s="52" t="s">
        <v>44</v>
      </c>
      <c r="B8" s="53">
        <v>3</v>
      </c>
      <c r="C8" s="54">
        <v>2</v>
      </c>
      <c r="D8" s="52">
        <v>3.35</v>
      </c>
      <c r="E8" s="83">
        <v>1</v>
      </c>
      <c r="F8" s="54">
        <v>0.27</v>
      </c>
      <c r="G8" s="54">
        <v>141.63</v>
      </c>
      <c r="H8" s="54">
        <v>26</v>
      </c>
      <c r="I8" s="54">
        <v>1.0427513333333336</v>
      </c>
      <c r="J8" s="54">
        <v>10.2581137931034</v>
      </c>
      <c r="K8" s="53">
        <f>(0.00625/0.0000000001)/1000000</f>
        <v>62.5</v>
      </c>
      <c r="L8" s="53">
        <v>124.99758021054858</v>
      </c>
      <c r="M8" s="53">
        <v>49.925112331502817</v>
      </c>
      <c r="N8" s="54">
        <v>41.67872725936013</v>
      </c>
      <c r="O8" s="54">
        <v>53.219581502002427</v>
      </c>
      <c r="P8" s="53">
        <v>39.35205248798411</v>
      </c>
      <c r="Q8" s="53">
        <v>1.1476800000000001E-2</v>
      </c>
      <c r="R8" s="54">
        <f>118.4-112.5</f>
        <v>5.9000000000000057</v>
      </c>
      <c r="S8" s="53">
        <v>183.62880000000001</v>
      </c>
      <c r="T8" s="53">
        <v>64.3</v>
      </c>
      <c r="U8" s="53">
        <f>44.2+33.2</f>
        <v>77.400000000000006</v>
      </c>
      <c r="V8" s="53">
        <v>192.2</v>
      </c>
      <c r="W8" s="53">
        <v>75.8</v>
      </c>
      <c r="X8" s="53">
        <v>23.333333329999999</v>
      </c>
      <c r="Y8" s="34"/>
      <c r="Z8" s="34"/>
      <c r="AA8" s="34"/>
      <c r="AB8" s="34"/>
      <c r="AC8" s="34"/>
      <c r="AD8" s="34"/>
      <c r="AE8" s="34"/>
    </row>
    <row r="9" spans="1:31" ht="15" thickBot="1" x14ac:dyDescent="0.35">
      <c r="A9" s="52" t="s">
        <v>46</v>
      </c>
      <c r="B9" s="53">
        <v>3</v>
      </c>
      <c r="C9" s="54">
        <v>3</v>
      </c>
      <c r="D9" s="52">
        <v>3.4</v>
      </c>
      <c r="E9" s="83">
        <v>1</v>
      </c>
      <c r="F9" s="54">
        <v>0.35</v>
      </c>
      <c r="G9" s="53">
        <v>126.1352169525732</v>
      </c>
      <c r="H9" s="54">
        <v>23</v>
      </c>
      <c r="I9" s="54">
        <v>1.0872793333333333</v>
      </c>
      <c r="J9" s="54">
        <v>11.768599999999999</v>
      </c>
      <c r="K9" s="54">
        <v>57.2</v>
      </c>
      <c r="L9" s="53">
        <v>89.372615430796913</v>
      </c>
      <c r="M9" s="53">
        <v>42.545949625595611</v>
      </c>
      <c r="N9" s="53">
        <v>32.951694898611805</v>
      </c>
      <c r="O9" s="53">
        <v>49.210881469075986</v>
      </c>
      <c r="P9" s="53">
        <v>24.193729073378524</v>
      </c>
      <c r="Q9" s="53">
        <v>1.44984E-2</v>
      </c>
      <c r="R9" s="53">
        <f>104.07-102.23</f>
        <v>1.8399999999999892</v>
      </c>
      <c r="S9" s="53">
        <v>253.46853146853147</v>
      </c>
      <c r="T9" s="53">
        <v>65</v>
      </c>
      <c r="U9" s="53">
        <f>40+41.2</f>
        <v>81.2</v>
      </c>
      <c r="V9" s="53">
        <v>168.5</v>
      </c>
      <c r="W9" s="53">
        <v>75.400000000000006</v>
      </c>
      <c r="X9" s="53">
        <v>15.65217391</v>
      </c>
      <c r="Y9" s="34"/>
      <c r="Z9" s="34"/>
      <c r="AA9" s="34"/>
      <c r="AB9" s="34"/>
      <c r="AC9" s="34"/>
      <c r="AD9" s="34"/>
      <c r="AE9" s="34"/>
    </row>
    <row r="10" spans="1:31" ht="15" thickBot="1" x14ac:dyDescent="0.35">
      <c r="A10" s="52" t="s">
        <v>48</v>
      </c>
      <c r="B10" s="53">
        <v>3</v>
      </c>
      <c r="C10" s="56">
        <v>3</v>
      </c>
      <c r="D10" s="52">
        <v>3.45</v>
      </c>
      <c r="E10" s="83">
        <v>1</v>
      </c>
      <c r="F10" s="56">
        <v>0.48</v>
      </c>
      <c r="G10" s="56">
        <v>120.90436464756397</v>
      </c>
      <c r="H10" s="56">
        <v>25</v>
      </c>
      <c r="I10" s="56">
        <v>1.0085</v>
      </c>
      <c r="J10" s="56">
        <v>13.964</v>
      </c>
      <c r="K10" s="53">
        <f>(0.00497/0.0000000001)/1000000</f>
        <v>49.699999999999996</v>
      </c>
      <c r="L10" s="53">
        <v>102.35746902775114</v>
      </c>
      <c r="M10" s="53">
        <v>49.171460884102892</v>
      </c>
      <c r="N10" s="53">
        <v>37.667935620091164</v>
      </c>
      <c r="O10" s="53">
        <v>62.932021233446413</v>
      </c>
      <c r="P10" s="53">
        <v>33.375646368437671</v>
      </c>
      <c r="Q10" s="53">
        <v>1.42325E-2</v>
      </c>
      <c r="R10" s="58">
        <f>105.1-102.55</f>
        <v>2.5499999999999972</v>
      </c>
      <c r="S10" s="53">
        <v>286.36799999999999</v>
      </c>
      <c r="T10" s="59">
        <v>63.9</v>
      </c>
      <c r="U10" s="53">
        <f>31.87+42.71</f>
        <v>74.58</v>
      </c>
      <c r="V10" s="57">
        <v>172.4</v>
      </c>
      <c r="W10" s="53">
        <v>81.2</v>
      </c>
      <c r="X10" s="53">
        <v>23.15789474</v>
      </c>
      <c r="Y10" s="34"/>
      <c r="Z10" s="34"/>
      <c r="AA10" s="34"/>
      <c r="AB10" s="34"/>
      <c r="AC10" s="34"/>
      <c r="AD10" s="34"/>
      <c r="AE10" s="34"/>
    </row>
    <row r="11" spans="1:31" ht="15" thickBot="1" x14ac:dyDescent="0.35">
      <c r="A11" s="52" t="s">
        <v>50</v>
      </c>
      <c r="B11" s="53">
        <v>3</v>
      </c>
      <c r="C11" s="56">
        <v>3</v>
      </c>
      <c r="D11" s="52">
        <v>3.5</v>
      </c>
      <c r="E11" s="83">
        <v>1</v>
      </c>
      <c r="F11" s="56">
        <v>0.09</v>
      </c>
      <c r="G11" s="53">
        <v>103.45541071798058</v>
      </c>
      <c r="H11" s="56">
        <v>20</v>
      </c>
      <c r="I11" s="56">
        <v>1.4664000000000001</v>
      </c>
      <c r="J11" s="56">
        <v>10.903752941176499</v>
      </c>
      <c r="K11" s="53">
        <f>(0.01891/0.0000000001)/1000000</f>
        <v>189.1</v>
      </c>
      <c r="L11" s="53">
        <v>195.9989469896407</v>
      </c>
      <c r="M11" s="53">
        <v>35.273368606701915</v>
      </c>
      <c r="N11" s="53">
        <v>64.723825497101359</v>
      </c>
      <c r="O11" s="53">
        <v>64.483783630286567</v>
      </c>
      <c r="P11" s="53">
        <v>51.248707317573263</v>
      </c>
      <c r="Q11" s="53">
        <v>2.8678700000000001E-2</v>
      </c>
      <c r="R11" s="56">
        <f>166.15-151.1</f>
        <v>15.050000000000011</v>
      </c>
      <c r="S11" s="60">
        <v>151.65891062929668</v>
      </c>
      <c r="T11" s="61">
        <v>65</v>
      </c>
      <c r="U11" s="53">
        <f>39.1+37.9</f>
        <v>77</v>
      </c>
      <c r="V11" s="53">
        <v>135.6</v>
      </c>
      <c r="W11" s="53">
        <v>47.8</v>
      </c>
      <c r="X11" s="53">
        <v>37.142857139999997</v>
      </c>
      <c r="Y11" s="34"/>
      <c r="Z11" s="34"/>
      <c r="AA11" s="34"/>
      <c r="AB11" s="34"/>
      <c r="AC11" s="34"/>
      <c r="AD11" s="34"/>
      <c r="AE11" s="34"/>
    </row>
    <row r="12" spans="1:31" ht="15" thickBot="1" x14ac:dyDescent="0.35">
      <c r="A12" s="62" t="s">
        <v>55</v>
      </c>
      <c r="B12" s="53">
        <v>3</v>
      </c>
      <c r="C12" s="62">
        <v>3</v>
      </c>
      <c r="D12" s="52">
        <v>3.6</v>
      </c>
      <c r="E12" s="83">
        <v>1</v>
      </c>
      <c r="F12" s="62">
        <v>0.55000000000000004</v>
      </c>
      <c r="G12" s="53">
        <v>104.3841336116912</v>
      </c>
      <c r="H12" s="61">
        <v>21</v>
      </c>
      <c r="I12" s="53">
        <v>1.0732326086956518</v>
      </c>
      <c r="J12" s="53">
        <v>9.1303045454545497</v>
      </c>
      <c r="K12" s="53">
        <v>52.7</v>
      </c>
      <c r="L12" s="53">
        <v>86.190067931890027</v>
      </c>
      <c r="M12" s="53">
        <v>39.536630688332728</v>
      </c>
      <c r="N12" s="53">
        <f>0.0298289932523026*1000</f>
        <v>29.828993252302599</v>
      </c>
      <c r="O12" s="53">
        <v>43.006410260326511</v>
      </c>
      <c r="P12" s="53">
        <v>24.539168222284086</v>
      </c>
      <c r="Q12" s="53">
        <v>1.0788499999999999E-2</v>
      </c>
      <c r="R12" s="53">
        <f>114-110.74</f>
        <v>3.2600000000000051</v>
      </c>
      <c r="S12" s="53">
        <f>(Q12/K12)*1000000</f>
        <v>204.71537001897531</v>
      </c>
      <c r="T12" s="61">
        <v>63.1</v>
      </c>
      <c r="U12" s="53">
        <v>63.131582608695652</v>
      </c>
      <c r="V12" s="53">
        <v>154.5</v>
      </c>
      <c r="W12" s="53">
        <v>69.3</v>
      </c>
      <c r="X12" s="53">
        <v>16.19047619047619</v>
      </c>
      <c r="Y12" s="34"/>
      <c r="Z12" s="34"/>
      <c r="AA12" s="34"/>
      <c r="AB12" s="34"/>
      <c r="AC12" s="34"/>
      <c r="AD12" s="34"/>
      <c r="AE12" s="34"/>
    </row>
    <row r="13" spans="1:31" ht="15" thickBot="1" x14ac:dyDescent="0.35">
      <c r="A13" s="62" t="s">
        <v>58</v>
      </c>
      <c r="B13" s="53">
        <v>3</v>
      </c>
      <c r="C13" s="56">
        <v>3</v>
      </c>
      <c r="D13" s="52">
        <v>3.65</v>
      </c>
      <c r="E13" s="83">
        <v>1</v>
      </c>
      <c r="F13" s="62">
        <v>0.46</v>
      </c>
      <c r="G13" s="53">
        <v>94.759783947692625</v>
      </c>
      <c r="H13" s="61">
        <v>21</v>
      </c>
      <c r="I13" s="53">
        <v>1.0503516666666666</v>
      </c>
      <c r="J13" s="53">
        <v>4.0325241379310404</v>
      </c>
      <c r="K13" s="53">
        <v>41.3</v>
      </c>
      <c r="L13" s="53">
        <v>84.260646174765981</v>
      </c>
      <c r="M13" s="53">
        <v>41.464527097068526</v>
      </c>
      <c r="N13" s="53">
        <v>34.389827211812545</v>
      </c>
      <c r="O13" s="53">
        <v>41.962914740784115</v>
      </c>
      <c r="P13" s="53">
        <v>33.727115058327449</v>
      </c>
      <c r="Q13" s="53">
        <v>9.2183600000000001E-3</v>
      </c>
      <c r="R13" s="53">
        <v>0.01</v>
      </c>
      <c r="S13" s="53">
        <f>(Q13/K13)*1000000</f>
        <v>223.20484261501213</v>
      </c>
      <c r="T13" s="61">
        <v>63.19</v>
      </c>
      <c r="U13" s="53">
        <v>63.138836666666656</v>
      </c>
      <c r="V13" s="53">
        <v>163.5</v>
      </c>
      <c r="W13" s="53">
        <v>74.8</v>
      </c>
      <c r="X13" s="53">
        <v>17.777777777777779</v>
      </c>
      <c r="Y13" s="34"/>
      <c r="Z13" s="34"/>
      <c r="AA13" s="34"/>
      <c r="AB13" s="34"/>
      <c r="AC13" s="34"/>
      <c r="AD13" s="34"/>
      <c r="AE13" s="34"/>
    </row>
    <row r="14" spans="1:31" ht="15" thickBot="1" x14ac:dyDescent="0.35">
      <c r="A14" s="62" t="s">
        <v>61</v>
      </c>
      <c r="B14" s="53">
        <v>3</v>
      </c>
      <c r="C14" s="62">
        <v>3</v>
      </c>
      <c r="D14" s="52">
        <v>3.7</v>
      </c>
      <c r="E14" s="83">
        <v>1</v>
      </c>
      <c r="F14" s="62">
        <v>1.25</v>
      </c>
      <c r="G14" s="53">
        <v>131.09596224436262</v>
      </c>
      <c r="H14" s="61">
        <v>26</v>
      </c>
      <c r="I14" s="53">
        <v>0.95915493333333335</v>
      </c>
      <c r="J14" s="53">
        <v>9.5256931034482797</v>
      </c>
      <c r="K14" s="61">
        <v>23.9</v>
      </c>
      <c r="L14" s="53">
        <v>66.095632633497274</v>
      </c>
      <c r="M14" s="53">
        <v>48.787627457676834</v>
      </c>
      <c r="N14" s="53">
        <v>21.422137197544586</v>
      </c>
      <c r="O14" s="53">
        <v>53.904474963360116</v>
      </c>
      <c r="P14" s="53">
        <v>18.813127635038676</v>
      </c>
      <c r="Q14" s="53">
        <v>6.0709800000000001E-3</v>
      </c>
      <c r="R14" s="53">
        <v>0.01</v>
      </c>
      <c r="S14" s="60">
        <v>152.658910629297</v>
      </c>
      <c r="T14" s="61">
        <v>68.900000000000006</v>
      </c>
      <c r="U14" s="53">
        <v>59.560143333333357</v>
      </c>
      <c r="V14" s="53">
        <v>148.16</v>
      </c>
      <c r="W14" s="53">
        <v>78.959999999999994</v>
      </c>
      <c r="X14" s="53">
        <v>10.588235294117647</v>
      </c>
      <c r="Y14" s="34"/>
      <c r="Z14" s="34"/>
      <c r="AA14" s="34"/>
      <c r="AB14" s="34"/>
      <c r="AC14" s="34"/>
      <c r="AD14" s="34"/>
      <c r="AE14" s="34"/>
    </row>
    <row r="15" spans="1:31" ht="15" thickBot="1" x14ac:dyDescent="0.35">
      <c r="A15" s="62" t="s">
        <v>64</v>
      </c>
      <c r="B15" s="53">
        <v>3</v>
      </c>
      <c r="C15" s="56">
        <v>3</v>
      </c>
      <c r="D15" s="52">
        <v>3.75</v>
      </c>
      <c r="E15" s="83">
        <v>1</v>
      </c>
      <c r="F15" s="62">
        <v>0.57999999999999996</v>
      </c>
      <c r="G15" s="53">
        <v>128.98232942086909</v>
      </c>
      <c r="H15" s="53">
        <v>26</v>
      </c>
      <c r="I15" s="53">
        <v>1.1003613333333333</v>
      </c>
      <c r="J15" s="53">
        <v>9.2478724137931003</v>
      </c>
      <c r="K15" s="53">
        <v>70.599999999999994</v>
      </c>
      <c r="L15" s="53">
        <v>91.481160293845761</v>
      </c>
      <c r="M15" s="53">
        <v>47.709923664122051</v>
      </c>
      <c r="N15" s="53">
        <v>32.287966252831055</v>
      </c>
      <c r="O15" s="53">
        <v>52.14115166923014</v>
      </c>
      <c r="P15" s="53">
        <v>28.614095472321939</v>
      </c>
      <c r="Q15" s="53">
        <v>1.6213399999999999E-2</v>
      </c>
      <c r="R15" s="53">
        <f>144.32-140.6</f>
        <v>3.7199999999999989</v>
      </c>
      <c r="S15" s="53">
        <f>(Q15/K15)*1000000</f>
        <v>229.6515580736544</v>
      </c>
      <c r="T15" s="61">
        <v>66.5</v>
      </c>
      <c r="U15" s="53">
        <v>63.806149999999995</v>
      </c>
      <c r="V15" s="53">
        <v>149.30000000000001</v>
      </c>
      <c r="W15" s="53">
        <v>72.8</v>
      </c>
      <c r="X15" s="53">
        <v>16.923076923076923</v>
      </c>
      <c r="Y15" s="34"/>
      <c r="Z15" s="34"/>
      <c r="AA15" s="34"/>
      <c r="AB15" s="34"/>
      <c r="AC15" s="34"/>
      <c r="AD15" s="34"/>
      <c r="AE15" s="34"/>
    </row>
    <row r="16" spans="1:31" ht="15" thickBot="1" x14ac:dyDescent="0.35">
      <c r="A16" s="62" t="s">
        <v>67</v>
      </c>
      <c r="B16" s="53">
        <v>3</v>
      </c>
      <c r="C16" s="62">
        <v>3</v>
      </c>
      <c r="D16" s="52">
        <v>3.8</v>
      </c>
      <c r="E16" s="83">
        <v>1</v>
      </c>
      <c r="F16" s="62">
        <v>0.78</v>
      </c>
      <c r="G16" s="53">
        <v>114.42956860052632</v>
      </c>
      <c r="H16" s="53">
        <v>25</v>
      </c>
      <c r="I16" s="53">
        <v>0.90819736666666651</v>
      </c>
      <c r="J16" s="53">
        <v>9.66880689655172</v>
      </c>
      <c r="K16" s="53">
        <v>32.22</v>
      </c>
      <c r="L16" s="53">
        <v>91.621163991744851</v>
      </c>
      <c r="M16" s="53">
        <v>47.705371624844979</v>
      </c>
      <c r="N16" s="53">
        <v>33.57948829193321</v>
      </c>
      <c r="O16" s="53">
        <v>52.379576755619638</v>
      </c>
      <c r="P16" s="53">
        <v>27.988092482965587</v>
      </c>
      <c r="Q16" s="53">
        <v>1.43082E-2</v>
      </c>
      <c r="R16" s="53">
        <f>144.3-140.6</f>
        <v>3.7000000000000171</v>
      </c>
      <c r="S16" s="53">
        <f>(Q16/K16)*1000000</f>
        <v>444.07821229050279</v>
      </c>
      <c r="T16" s="61">
        <v>66.2</v>
      </c>
      <c r="U16" s="53">
        <v>60.386150000000015</v>
      </c>
      <c r="V16" s="53">
        <v>165.2</v>
      </c>
      <c r="W16" s="53">
        <v>84</v>
      </c>
      <c r="X16" s="53">
        <v>16.363636363636363</v>
      </c>
      <c r="Y16" s="34"/>
      <c r="Z16" s="34"/>
      <c r="AA16" s="34"/>
      <c r="AB16" s="34"/>
      <c r="AC16" s="34"/>
      <c r="AD16" s="34"/>
      <c r="AE16" s="34"/>
    </row>
    <row r="17" spans="1:24" ht="15" thickBot="1" x14ac:dyDescent="0.35">
      <c r="A17" s="62" t="s">
        <v>71</v>
      </c>
      <c r="B17" s="53">
        <v>3</v>
      </c>
      <c r="C17" s="62">
        <v>2</v>
      </c>
      <c r="D17" s="52">
        <v>3.9</v>
      </c>
      <c r="E17" s="83">
        <v>1</v>
      </c>
      <c r="F17" s="62">
        <v>0.13</v>
      </c>
      <c r="G17" s="53">
        <v>62.586055826761765</v>
      </c>
      <c r="H17" s="53">
        <v>15</v>
      </c>
      <c r="I17" s="53">
        <v>1.4320226666666671</v>
      </c>
      <c r="J17" s="53">
        <v>8.5112551724137901</v>
      </c>
      <c r="K17" s="53">
        <v>162</v>
      </c>
      <c r="L17" s="53">
        <v>179.3050900469558</v>
      </c>
      <c r="M17" s="53">
        <v>27.057741219762956</v>
      </c>
      <c r="N17" s="53">
        <v>82.595498245948818</v>
      </c>
      <c r="O17" s="53">
        <v>31.007337360199497</v>
      </c>
      <c r="P17" s="53">
        <v>68.605380947016997</v>
      </c>
      <c r="Q17" s="53">
        <v>3.0579800000000001E-2</v>
      </c>
      <c r="R17" s="53">
        <f>148.92-134.53</f>
        <v>14.389999999999986</v>
      </c>
      <c r="S17" s="53">
        <f t="shared" ref="S17:S21" si="0">(Q17/K17)*1000000</f>
        <v>188.76419753086421</v>
      </c>
      <c r="T17" s="61">
        <v>79</v>
      </c>
      <c r="U17" s="53">
        <v>73.154700000000005</v>
      </c>
      <c r="V17" s="53">
        <v>126.8</v>
      </c>
      <c r="W17" s="53">
        <v>52.1</v>
      </c>
      <c r="X17" s="53">
        <v>44</v>
      </c>
    </row>
    <row r="18" spans="1:24" ht="15" thickBot="1" x14ac:dyDescent="0.35">
      <c r="A18" s="62" t="s">
        <v>74</v>
      </c>
      <c r="B18" s="53">
        <v>3</v>
      </c>
      <c r="C18" s="62">
        <v>3</v>
      </c>
      <c r="D18" s="52">
        <v>4.05</v>
      </c>
      <c r="E18" s="83">
        <v>1</v>
      </c>
      <c r="F18" s="62">
        <v>0.13</v>
      </c>
      <c r="G18" s="53">
        <v>76.103500761034923</v>
      </c>
      <c r="H18" s="53">
        <v>17</v>
      </c>
      <c r="I18" s="53">
        <v>1.6449433333333336</v>
      </c>
      <c r="J18" s="53">
        <v>7.7430448275861998</v>
      </c>
      <c r="K18" s="53">
        <v>132</v>
      </c>
      <c r="L18" s="53">
        <v>116.03916879905812</v>
      </c>
      <c r="M18" s="53">
        <v>30.861339999382754</v>
      </c>
      <c r="N18" s="53">
        <v>47.129545483954388</v>
      </c>
      <c r="O18" s="53">
        <v>35.326528348875897</v>
      </c>
      <c r="P18" s="53">
        <v>39.712264727307186</v>
      </c>
      <c r="Q18" s="53">
        <v>2.3177E-2</v>
      </c>
      <c r="R18" s="53">
        <f>111.54-102.23</f>
        <v>9.3100000000000023</v>
      </c>
      <c r="S18" s="53">
        <f t="shared" si="0"/>
        <v>175.58333333333334</v>
      </c>
      <c r="T18" s="61">
        <v>60</v>
      </c>
      <c r="U18" s="53">
        <v>64.003489999999999</v>
      </c>
      <c r="V18" s="53">
        <v>94.8</v>
      </c>
      <c r="W18" s="53">
        <v>48.9</v>
      </c>
      <c r="X18" s="53">
        <v>21.666666666666668</v>
      </c>
    </row>
    <row r="19" spans="1:24" ht="15" thickBot="1" x14ac:dyDescent="0.35">
      <c r="A19" s="77" t="s">
        <v>78</v>
      </c>
      <c r="B19" s="53">
        <v>3</v>
      </c>
      <c r="C19" s="77">
        <v>2</v>
      </c>
      <c r="D19" s="78">
        <v>3.85</v>
      </c>
      <c r="E19" s="83">
        <v>1</v>
      </c>
      <c r="F19" s="77">
        <v>0.05</v>
      </c>
      <c r="G19" s="79">
        <v>63.171193935565334</v>
      </c>
      <c r="H19" s="79">
        <v>25</v>
      </c>
      <c r="I19" s="79">
        <v>1.8348024137931029</v>
      </c>
      <c r="J19" s="79">
        <v>10.7204</v>
      </c>
      <c r="K19" s="79">
        <v>420</v>
      </c>
      <c r="L19" s="79">
        <v>209.51888205061312</v>
      </c>
      <c r="M19" s="79">
        <v>32.412809542331097</v>
      </c>
      <c r="N19" s="79">
        <v>112.92236688118213</v>
      </c>
      <c r="O19" s="79">
        <v>37.631296282109304</v>
      </c>
      <c r="P19" s="79">
        <v>91.636091846461696</v>
      </c>
      <c r="Q19" s="79">
        <v>4.1286200000000002E-2</v>
      </c>
      <c r="R19" s="79">
        <f>184.8-159.9</f>
        <v>24.900000000000006</v>
      </c>
      <c r="S19" s="79">
        <f t="shared" si="0"/>
        <v>98.300476190476203</v>
      </c>
      <c r="T19" s="79">
        <v>70</v>
      </c>
      <c r="U19" s="79">
        <v>66.660917241379295</v>
      </c>
      <c r="V19" s="79">
        <v>103.4</v>
      </c>
      <c r="W19" s="79">
        <v>46.9</v>
      </c>
      <c r="X19" s="79">
        <v>57.142857142857139</v>
      </c>
    </row>
    <row r="20" spans="1:24" ht="15" thickBot="1" x14ac:dyDescent="0.35">
      <c r="A20" s="80" t="s">
        <v>79</v>
      </c>
      <c r="B20" s="53">
        <v>3</v>
      </c>
      <c r="C20" s="80">
        <v>3</v>
      </c>
      <c r="D20" s="81">
        <v>3.55</v>
      </c>
      <c r="E20" s="83">
        <v>1</v>
      </c>
      <c r="F20" s="80">
        <v>0.06</v>
      </c>
      <c r="G20" s="80">
        <v>70.87172218284897</v>
      </c>
      <c r="H20" s="82">
        <v>18</v>
      </c>
      <c r="I20" s="82">
        <v>1.630907058823529</v>
      </c>
      <c r="J20" s="82">
        <v>28.99169375</v>
      </c>
      <c r="K20" s="80">
        <v>310</v>
      </c>
      <c r="L20" s="82">
        <f>0.139127555076605*1000</f>
        <v>139.12755507660498</v>
      </c>
      <c r="M20" s="80">
        <v>30.5726252713321</v>
      </c>
      <c r="N20" s="80">
        <v>61.536593008179793</v>
      </c>
      <c r="O20" s="80">
        <v>39.937874014950864</v>
      </c>
      <c r="P20" s="80">
        <f>0.0368951258232123*1000</f>
        <v>36.895125823212297</v>
      </c>
      <c r="Q20" s="82">
        <v>4.5010399999999999E-2</v>
      </c>
      <c r="R20" s="82">
        <f>167.4-148.9</f>
        <v>18.5</v>
      </c>
      <c r="S20" s="82">
        <f t="shared" si="0"/>
        <v>145.19483870967741</v>
      </c>
      <c r="T20" s="82">
        <v>64.400000000000006</v>
      </c>
      <c r="U20" s="82">
        <v>65.60919411764705</v>
      </c>
      <c r="V20" s="82">
        <v>124</v>
      </c>
      <c r="W20" s="82">
        <v>49.1</v>
      </c>
      <c r="X20" s="82">
        <v>42.857142857142854</v>
      </c>
    </row>
    <row r="21" spans="1:24" ht="15" thickBot="1" x14ac:dyDescent="0.35">
      <c r="A21" s="83" t="s">
        <v>81</v>
      </c>
      <c r="B21" s="53">
        <v>3</v>
      </c>
      <c r="C21" s="83">
        <v>2</v>
      </c>
      <c r="D21" s="83">
        <v>4</v>
      </c>
      <c r="E21" s="83">
        <v>1</v>
      </c>
      <c r="F21" s="83">
        <v>0.01</v>
      </c>
      <c r="G21" s="84">
        <v>51.937259790173499</v>
      </c>
      <c r="H21" s="84">
        <v>18</v>
      </c>
      <c r="I21" s="84">
        <v>1.848366</v>
      </c>
      <c r="J21" s="84">
        <v>17.030906896551699</v>
      </c>
      <c r="K21" s="84">
        <v>427</v>
      </c>
      <c r="L21" s="84">
        <v>165.73688555005259</v>
      </c>
      <c r="M21" s="84">
        <v>32.317486992211499</v>
      </c>
      <c r="N21" s="84">
        <v>103.88144235489918</v>
      </c>
      <c r="O21" s="84">
        <v>35.673472108081143</v>
      </c>
      <c r="P21" s="84">
        <v>84.712044569709406</v>
      </c>
      <c r="Q21" s="84">
        <v>6.7362599999999995E-2</v>
      </c>
      <c r="R21" s="66">
        <v>1E-4</v>
      </c>
      <c r="S21" s="84">
        <f t="shared" si="0"/>
        <v>157.75784543325526</v>
      </c>
      <c r="T21" s="84">
        <v>77</v>
      </c>
      <c r="U21" s="84">
        <v>67.13257333333334</v>
      </c>
      <c r="V21" s="84">
        <v>96</v>
      </c>
      <c r="W21" s="84">
        <v>47.9</v>
      </c>
      <c r="X21" s="84">
        <v>51.851851851851848</v>
      </c>
    </row>
    <row r="22" spans="1:24" x14ac:dyDescent="0.3">
      <c r="A22" s="52" t="s">
        <v>30</v>
      </c>
      <c r="B22" s="53">
        <v>3</v>
      </c>
      <c r="C22" s="52">
        <v>3</v>
      </c>
      <c r="D22" s="52">
        <v>6.05</v>
      </c>
      <c r="E22" s="52">
        <v>2</v>
      </c>
      <c r="F22" s="52">
        <v>0.15</v>
      </c>
      <c r="G22" s="53">
        <v>102.63779123473267</v>
      </c>
      <c r="H22" s="53">
        <v>25</v>
      </c>
      <c r="I22" s="53">
        <v>1.4358890909090911</v>
      </c>
      <c r="J22" s="53">
        <v>7.8094599999999996</v>
      </c>
      <c r="K22" s="53">
        <f>(0.0017/0.00000000002)/1000000</f>
        <v>85</v>
      </c>
      <c r="L22" s="53">
        <v>113.05898249484166</v>
      </c>
      <c r="M22" s="53">
        <v>45.777065690089444</v>
      </c>
      <c r="N22" s="53">
        <v>47.785732310286164</v>
      </c>
      <c r="O22" s="53">
        <v>50.066064513770904</v>
      </c>
      <c r="P22" s="53">
        <v>43.245482380948118</v>
      </c>
      <c r="Q22" s="53">
        <v>1.7831300000000001E-2</v>
      </c>
      <c r="R22" s="52">
        <v>1.5</v>
      </c>
      <c r="S22" s="53">
        <f t="shared" ref="S22:S38" si="1">(Q22/K22)*1000000</f>
        <v>209.78</v>
      </c>
      <c r="T22" s="61">
        <v>66.3</v>
      </c>
      <c r="U22" s="53">
        <v>53.383559090909102</v>
      </c>
      <c r="V22" s="53">
        <v>93</v>
      </c>
      <c r="W22" s="53">
        <v>48.1</v>
      </c>
      <c r="X22" s="53">
        <v>23.75</v>
      </c>
    </row>
    <row r="23" spans="1:24" x14ac:dyDescent="0.3">
      <c r="A23" s="52" t="s">
        <v>33</v>
      </c>
      <c r="B23" s="53">
        <v>3</v>
      </c>
      <c r="C23" s="52">
        <v>3</v>
      </c>
      <c r="D23" s="52">
        <v>6.1</v>
      </c>
      <c r="E23" s="52">
        <v>2</v>
      </c>
      <c r="F23" s="54">
        <v>0.43</v>
      </c>
      <c r="G23" s="53">
        <v>112.04481792717073</v>
      </c>
      <c r="H23" s="53">
        <v>24</v>
      </c>
      <c r="I23" s="53">
        <v>1.0472443333333332</v>
      </c>
      <c r="J23" s="53">
        <v>6.9874517241379301</v>
      </c>
      <c r="K23" s="53">
        <v>47.6</v>
      </c>
      <c r="L23" s="53">
        <v>92.214796550053876</v>
      </c>
      <c r="M23" s="53">
        <v>44.939780693870311</v>
      </c>
      <c r="N23" s="53">
        <v>29.53707288819966</v>
      </c>
      <c r="O23" s="53">
        <v>49.337156470038387</v>
      </c>
      <c r="P23" s="53">
        <v>25.765695733953411</v>
      </c>
      <c r="Q23" s="55">
        <v>1.03569E-2</v>
      </c>
      <c r="R23" s="54">
        <f>109.67-108.5</f>
        <v>1.1700000000000017</v>
      </c>
      <c r="S23" s="53">
        <f t="shared" si="1"/>
        <v>217.58193277310923</v>
      </c>
      <c r="T23" s="61">
        <v>66.099999999999994</v>
      </c>
      <c r="U23" s="63">
        <v>64.790856666666656</v>
      </c>
      <c r="V23" s="61">
        <v>143.30000000000001</v>
      </c>
      <c r="W23" s="61">
        <v>74.5</v>
      </c>
      <c r="X23" s="53">
        <v>15.454545454545455</v>
      </c>
    </row>
    <row r="24" spans="1:24" x14ac:dyDescent="0.3">
      <c r="A24" s="52" t="s">
        <v>35</v>
      </c>
      <c r="B24" s="53">
        <v>3</v>
      </c>
      <c r="C24" s="52">
        <v>3</v>
      </c>
      <c r="D24" s="52">
        <v>6.15</v>
      </c>
      <c r="E24" s="52">
        <v>2</v>
      </c>
      <c r="F24" s="54">
        <v>0.9</v>
      </c>
      <c r="G24" s="53">
        <v>110.90163025396478</v>
      </c>
      <c r="H24" s="53">
        <v>21</v>
      </c>
      <c r="I24" s="53">
        <v>1.2507579999999996</v>
      </c>
      <c r="J24" s="53">
        <v>3.1779000000000002</v>
      </c>
      <c r="K24" s="61">
        <v>51.8</v>
      </c>
      <c r="L24" s="53">
        <v>166.57421218663774</v>
      </c>
      <c r="M24" s="53">
        <v>41.701417848206809</v>
      </c>
      <c r="N24" s="53">
        <v>58.105359002158444</v>
      </c>
      <c r="O24" s="53">
        <v>44.032842462630597</v>
      </c>
      <c r="P24" s="53">
        <v>62.816280028495441</v>
      </c>
      <c r="Q24" s="53">
        <v>6.1029400000000003E-3</v>
      </c>
      <c r="R24" s="53">
        <v>0.01</v>
      </c>
      <c r="S24" s="53">
        <f t="shared" si="1"/>
        <v>117.81737451737452</v>
      </c>
      <c r="T24" s="61">
        <v>72</v>
      </c>
      <c r="U24" s="53">
        <v>50.626626666666667</v>
      </c>
      <c r="V24" s="61">
        <v>98.6</v>
      </c>
      <c r="W24" s="61">
        <v>55</v>
      </c>
      <c r="X24" s="53">
        <v>28.333333333333332</v>
      </c>
    </row>
    <row r="25" spans="1:24" x14ac:dyDescent="0.3">
      <c r="A25" s="52" t="s">
        <v>37</v>
      </c>
      <c r="B25" s="53">
        <v>3</v>
      </c>
      <c r="C25" s="52">
        <v>3</v>
      </c>
      <c r="D25" s="52">
        <v>6.2</v>
      </c>
      <c r="E25" s="52">
        <v>2</v>
      </c>
      <c r="F25" s="54">
        <v>0.12</v>
      </c>
      <c r="G25" s="53">
        <v>110.21712774165096</v>
      </c>
      <c r="H25" s="53">
        <v>23</v>
      </c>
      <c r="I25" s="53">
        <v>1.1589092000000001</v>
      </c>
      <c r="J25" s="53">
        <v>11.5915708333333</v>
      </c>
      <c r="K25" s="61">
        <v>160.9</v>
      </c>
      <c r="L25" s="53">
        <v>128.18426101553888</v>
      </c>
      <c r="M25" s="53">
        <v>44.089766765133731</v>
      </c>
      <c r="N25" s="53">
        <v>46.559098831906873</v>
      </c>
      <c r="O25" s="53">
        <v>47.009370733252446</v>
      </c>
      <c r="P25" s="53">
        <v>40.959328334943606</v>
      </c>
      <c r="Q25" s="53">
        <v>2.5238300000000002E-2</v>
      </c>
      <c r="R25" s="53">
        <f>141.1-122.4</f>
        <v>18.699999999999989</v>
      </c>
      <c r="S25" s="53">
        <f t="shared" si="1"/>
        <v>156.85705407085146</v>
      </c>
      <c r="T25" s="61">
        <v>68</v>
      </c>
      <c r="U25" s="53">
        <v>76.433104</v>
      </c>
      <c r="V25" s="61">
        <v>175.8</v>
      </c>
      <c r="W25" s="61">
        <v>75.5</v>
      </c>
      <c r="X25" s="53">
        <v>17.552239233490404</v>
      </c>
    </row>
    <row r="26" spans="1:24" x14ac:dyDescent="0.3">
      <c r="A26" s="52" t="s">
        <v>39</v>
      </c>
      <c r="B26" s="53">
        <v>3</v>
      </c>
      <c r="C26" s="52">
        <v>3</v>
      </c>
      <c r="D26" s="52">
        <v>6.25</v>
      </c>
      <c r="E26" s="52">
        <v>2</v>
      </c>
      <c r="F26" s="54">
        <v>0.2</v>
      </c>
      <c r="G26" s="53">
        <v>42.74417610600554</v>
      </c>
      <c r="H26" s="53">
        <v>16</v>
      </c>
      <c r="I26" s="53">
        <v>0.78696290000000013</v>
      </c>
      <c r="J26" s="53">
        <v>16.174316666666702</v>
      </c>
      <c r="K26" s="61">
        <v>89.6</v>
      </c>
      <c r="L26" s="53">
        <v>91.551124469211729</v>
      </c>
      <c r="M26" s="53">
        <v>32.621105855488473</v>
      </c>
      <c r="N26" s="53">
        <v>65.630454844507298</v>
      </c>
      <c r="O26" s="53">
        <v>33.772148991559966</v>
      </c>
      <c r="P26" s="53">
        <v>67.844474162050943</v>
      </c>
      <c r="Q26" s="55">
        <v>2.2071400000000001E-2</v>
      </c>
      <c r="R26" s="53">
        <f>126.1-110</f>
        <v>16.099999999999994</v>
      </c>
      <c r="S26" s="53">
        <f t="shared" si="1"/>
        <v>246.33258928571433</v>
      </c>
      <c r="T26" s="61">
        <v>73</v>
      </c>
      <c r="U26" s="53">
        <v>58.83789666666668</v>
      </c>
      <c r="V26" s="61">
        <v>147.19999999999999</v>
      </c>
      <c r="W26" s="61">
        <v>91.8</v>
      </c>
      <c r="X26" s="53">
        <v>36.666666666666664</v>
      </c>
    </row>
    <row r="27" spans="1:24" x14ac:dyDescent="0.3">
      <c r="A27" s="52" t="s">
        <v>41</v>
      </c>
      <c r="B27" s="53">
        <v>3</v>
      </c>
      <c r="C27" s="62">
        <v>2</v>
      </c>
      <c r="D27" s="52">
        <v>6.3</v>
      </c>
      <c r="E27" s="52">
        <v>2</v>
      </c>
      <c r="F27" s="54">
        <v>0.22500000000000001</v>
      </c>
      <c r="G27" s="53">
        <v>78.204426370532531</v>
      </c>
      <c r="H27" s="53">
        <v>18</v>
      </c>
      <c r="I27" s="53">
        <v>1.4000260000000002</v>
      </c>
      <c r="J27" s="53">
        <v>12.8275458333333</v>
      </c>
      <c r="K27" s="61">
        <v>117.8</v>
      </c>
      <c r="L27" s="53">
        <v>146.45045631070948</v>
      </c>
      <c r="M27" s="53">
        <v>35.737259666928779</v>
      </c>
      <c r="N27" s="53">
        <v>55.332610478661039</v>
      </c>
      <c r="O27" s="53">
        <v>37.590771422035807</v>
      </c>
      <c r="P27" s="53">
        <v>48.983887883387276</v>
      </c>
      <c r="Q27" s="53">
        <v>1.7332699999999999E-2</v>
      </c>
      <c r="R27" s="53">
        <f>189.6-175.2</f>
        <v>14.400000000000006</v>
      </c>
      <c r="S27" s="53">
        <f t="shared" si="1"/>
        <v>147.13667232597621</v>
      </c>
      <c r="T27" s="61">
        <v>60</v>
      </c>
      <c r="U27" s="53">
        <v>47.026376000000006</v>
      </c>
      <c r="V27" s="61">
        <v>81.099999999999994</v>
      </c>
      <c r="W27" s="61">
        <v>48.4</v>
      </c>
      <c r="X27" s="53">
        <v>31.111111111111111</v>
      </c>
    </row>
    <row r="28" spans="1:24" x14ac:dyDescent="0.3">
      <c r="A28" s="52" t="s">
        <v>43</v>
      </c>
      <c r="B28" s="53">
        <v>3</v>
      </c>
      <c r="C28" s="54">
        <v>2</v>
      </c>
      <c r="D28" s="52">
        <v>6.35</v>
      </c>
      <c r="E28" s="52">
        <v>2</v>
      </c>
      <c r="F28" s="54">
        <v>0.193</v>
      </c>
      <c r="G28" s="53">
        <v>90.637179370978075</v>
      </c>
      <c r="H28" s="53">
        <v>17</v>
      </c>
      <c r="I28" s="53">
        <v>1.3265130000000001</v>
      </c>
      <c r="J28" s="53">
        <v>5.9461157894736898</v>
      </c>
      <c r="K28" s="54">
        <v>77.7</v>
      </c>
      <c r="L28" s="53">
        <v>173.71239455746272</v>
      </c>
      <c r="M28" s="53">
        <v>31.769228325444001</v>
      </c>
      <c r="N28" s="53">
        <v>61.67247750619476</v>
      </c>
      <c r="O28" s="53">
        <v>36.203422211125364</v>
      </c>
      <c r="P28" s="53">
        <v>48.571091144626919</v>
      </c>
      <c r="Q28" s="53">
        <v>1.4704200000000001E-2</v>
      </c>
      <c r="R28" s="53">
        <f>138.57-128.51</f>
        <v>10.060000000000002</v>
      </c>
      <c r="S28" s="53">
        <f t="shared" si="1"/>
        <v>189.24324324324326</v>
      </c>
      <c r="T28" s="61">
        <v>64.599999999999994</v>
      </c>
      <c r="U28" s="53">
        <v>64.730820000000008</v>
      </c>
      <c r="V28" s="53">
        <v>128.1</v>
      </c>
      <c r="W28" s="53">
        <v>57.6</v>
      </c>
      <c r="X28" s="53">
        <v>28.888888888888889</v>
      </c>
    </row>
    <row r="29" spans="1:24" x14ac:dyDescent="0.3">
      <c r="A29" s="52" t="s">
        <v>45</v>
      </c>
      <c r="B29" s="53">
        <v>3</v>
      </c>
      <c r="C29" s="54">
        <v>3</v>
      </c>
      <c r="D29" s="52">
        <v>6.4</v>
      </c>
      <c r="E29" s="52">
        <v>2</v>
      </c>
      <c r="F29" s="54">
        <v>0.37</v>
      </c>
      <c r="G29" s="53">
        <v>67.226890756302524</v>
      </c>
      <c r="H29" s="53">
        <v>13</v>
      </c>
      <c r="I29" s="53">
        <v>1.4607985185185184</v>
      </c>
      <c r="J29" s="53">
        <v>8.9745423076923103</v>
      </c>
      <c r="K29" s="54">
        <v>68.2</v>
      </c>
      <c r="L29" s="53">
        <v>227.72860958831171</v>
      </c>
      <c r="M29" s="53">
        <v>29.792939073439648</v>
      </c>
      <c r="N29" s="53">
        <v>73.301080146631165</v>
      </c>
      <c r="O29" s="53">
        <v>30.471434164217531</v>
      </c>
      <c r="P29" s="53">
        <v>68.043744534315891</v>
      </c>
      <c r="Q29" s="53">
        <v>1.64937E-2</v>
      </c>
      <c r="R29" s="54">
        <f>134.4-126.5</f>
        <v>7.9000000000000057</v>
      </c>
      <c r="S29" s="53">
        <f t="shared" si="1"/>
        <v>241.84310850439883</v>
      </c>
      <c r="T29" s="61">
        <v>65</v>
      </c>
      <c r="U29" s="53">
        <v>53.335685185185184</v>
      </c>
      <c r="V29" s="53">
        <v>89.2</v>
      </c>
      <c r="W29" s="53">
        <v>48</v>
      </c>
      <c r="X29" s="53">
        <v>32</v>
      </c>
    </row>
    <row r="30" spans="1:24" x14ac:dyDescent="0.3">
      <c r="A30" s="52" t="s">
        <v>47</v>
      </c>
      <c r="B30" s="53">
        <v>3</v>
      </c>
      <c r="C30" s="54">
        <v>2</v>
      </c>
      <c r="D30" s="52">
        <v>6.45</v>
      </c>
      <c r="E30" s="52">
        <v>2</v>
      </c>
      <c r="F30" s="54">
        <v>0.35</v>
      </c>
      <c r="G30" s="53">
        <v>117.564072419469</v>
      </c>
      <c r="H30" s="53">
        <v>27</v>
      </c>
      <c r="I30" s="53">
        <v>0.80528522222222232</v>
      </c>
      <c r="J30" s="53">
        <v>16.350655555555601</v>
      </c>
      <c r="K30" s="54">
        <v>70</v>
      </c>
      <c r="L30" s="53">
        <v>73.593853941018423</v>
      </c>
      <c r="M30" s="53">
        <v>51.816156277527391</v>
      </c>
      <c r="N30" s="53">
        <v>30.843542435344453</v>
      </c>
      <c r="O30" s="53">
        <v>54.507303433487827</v>
      </c>
      <c r="P30" s="53">
        <v>27.031947395669356</v>
      </c>
      <c r="Q30" s="53">
        <v>9.3377300000000007E-3</v>
      </c>
      <c r="R30" s="53">
        <f>116.16-108.37</f>
        <v>7.789999999999992</v>
      </c>
      <c r="S30" s="53">
        <f t="shared" si="1"/>
        <v>133.39614285714288</v>
      </c>
      <c r="T30" s="61">
        <v>64.87</v>
      </c>
      <c r="U30" s="53">
        <v>75.873488888888886</v>
      </c>
      <c r="V30" s="53">
        <v>242.83</v>
      </c>
      <c r="W30" s="53">
        <v>108.28</v>
      </c>
      <c r="X30" s="53">
        <v>16.666666666666668</v>
      </c>
    </row>
    <row r="31" spans="1:24" x14ac:dyDescent="0.3">
      <c r="A31" s="52" t="s">
        <v>49</v>
      </c>
      <c r="B31" s="53">
        <v>3</v>
      </c>
      <c r="C31" s="54">
        <v>2</v>
      </c>
      <c r="D31" s="52">
        <v>6.5</v>
      </c>
      <c r="E31" s="52">
        <v>2</v>
      </c>
      <c r="F31" s="56">
        <v>0.67</v>
      </c>
      <c r="G31" s="53">
        <v>132.27513227513222</v>
      </c>
      <c r="H31" s="53">
        <v>31</v>
      </c>
      <c r="I31" s="53">
        <v>0.91917976470588258</v>
      </c>
      <c r="J31" s="53">
        <v>12.113676470588199</v>
      </c>
      <c r="K31" s="53">
        <v>57.4</v>
      </c>
      <c r="L31" s="53">
        <v>100.3338517488975</v>
      </c>
      <c r="M31" s="53">
        <v>54.996425232359918</v>
      </c>
      <c r="N31" s="53">
        <v>42.096397839996477</v>
      </c>
      <c r="O31" s="53">
        <v>62.257869837245941</v>
      </c>
      <c r="P31" s="53">
        <v>33.687063528484508</v>
      </c>
      <c r="Q31" s="53">
        <v>1.29012E-2</v>
      </c>
      <c r="R31" s="53">
        <f>116.19-112.14</f>
        <v>4.0499999999999972</v>
      </c>
      <c r="S31" s="53">
        <f t="shared" si="1"/>
        <v>224.75958188153311</v>
      </c>
      <c r="T31" s="59">
        <v>68.2</v>
      </c>
      <c r="U31" s="53">
        <v>65.368652941176492</v>
      </c>
      <c r="V31" s="57">
        <v>158.69999999999999</v>
      </c>
      <c r="W31" s="53">
        <v>90</v>
      </c>
      <c r="X31" s="53">
        <v>21.666666666666668</v>
      </c>
    </row>
    <row r="32" spans="1:24" x14ac:dyDescent="0.3">
      <c r="A32" s="52" t="s">
        <v>52</v>
      </c>
      <c r="B32" s="53">
        <v>3</v>
      </c>
      <c r="C32" s="54">
        <v>2</v>
      </c>
      <c r="D32" s="52">
        <v>6.55</v>
      </c>
      <c r="E32" s="52">
        <v>2</v>
      </c>
      <c r="F32" s="56">
        <v>0.49</v>
      </c>
      <c r="G32" s="53">
        <v>139.0047261606897</v>
      </c>
      <c r="H32" s="53">
        <v>33</v>
      </c>
      <c r="I32" s="53">
        <v>0.7873917241379309</v>
      </c>
      <c r="J32" s="53">
        <v>15.096734482758601</v>
      </c>
      <c r="K32" s="64">
        <v>50</v>
      </c>
      <c r="L32" s="53">
        <v>70.415320892060564</v>
      </c>
      <c r="M32" s="53">
        <v>63.271116735210576</v>
      </c>
      <c r="N32" s="53">
        <v>30.339626480898261</v>
      </c>
      <c r="O32" s="53">
        <v>67.771236789718856</v>
      </c>
      <c r="P32" s="53">
        <v>28.47495494473857</v>
      </c>
      <c r="Q32" s="53">
        <v>1.1332E-2</v>
      </c>
      <c r="R32" s="56">
        <f>110-105.26</f>
        <v>4.7399999999999949</v>
      </c>
      <c r="S32" s="53">
        <f t="shared" si="1"/>
        <v>226.64000000000001</v>
      </c>
      <c r="T32" s="61">
        <v>64.599999999999994</v>
      </c>
      <c r="U32" s="53">
        <v>73.839920689655173</v>
      </c>
      <c r="V32" s="53">
        <v>244.67</v>
      </c>
      <c r="W32" s="53">
        <v>114.75</v>
      </c>
      <c r="X32" s="53">
        <v>16.111111111111111</v>
      </c>
    </row>
    <row r="33" spans="1:24" x14ac:dyDescent="0.3">
      <c r="A33" s="52" t="s">
        <v>54</v>
      </c>
      <c r="B33" s="53">
        <v>3</v>
      </c>
      <c r="C33" s="54">
        <v>2</v>
      </c>
      <c r="D33" s="52">
        <v>6.6</v>
      </c>
      <c r="E33" s="52">
        <v>2</v>
      </c>
      <c r="F33" s="56">
        <v>0.37</v>
      </c>
      <c r="G33" s="53">
        <v>108.18998160770319</v>
      </c>
      <c r="H33" s="53">
        <v>28</v>
      </c>
      <c r="I33" s="53">
        <v>0.96135249999999994</v>
      </c>
      <c r="J33" s="53">
        <v>10.653427272727299</v>
      </c>
      <c r="K33" s="56">
        <v>56</v>
      </c>
      <c r="L33" s="53">
        <v>86.086095413210728</v>
      </c>
      <c r="M33" s="53">
        <v>50.942435048395325</v>
      </c>
      <c r="N33" s="53">
        <v>38.273365243423299</v>
      </c>
      <c r="O33" s="53">
        <v>55.721003397224052</v>
      </c>
      <c r="P33" s="53">
        <v>33.919961181954775</v>
      </c>
      <c r="Q33" s="60">
        <v>1.6192600000000001E-2</v>
      </c>
      <c r="R33" s="60">
        <f>115.83-113.2</f>
        <v>2.6299999999999955</v>
      </c>
      <c r="S33" s="53">
        <f t="shared" si="1"/>
        <v>289.15357142857147</v>
      </c>
      <c r="T33" s="61">
        <v>66.7</v>
      </c>
      <c r="U33" s="53">
        <v>55.225727272727269</v>
      </c>
      <c r="V33" s="53">
        <v>139.80000000000001</v>
      </c>
      <c r="W33" s="53">
        <v>85.1</v>
      </c>
      <c r="X33" s="53">
        <v>20</v>
      </c>
    </row>
    <row r="34" spans="1:24" x14ac:dyDescent="0.3">
      <c r="A34" s="62" t="s">
        <v>57</v>
      </c>
      <c r="B34" s="53">
        <v>3</v>
      </c>
      <c r="C34" s="62">
        <v>3</v>
      </c>
      <c r="D34" s="52">
        <v>6.65</v>
      </c>
      <c r="E34" s="52">
        <v>2</v>
      </c>
      <c r="F34" s="62">
        <v>0.45</v>
      </c>
      <c r="G34" s="53">
        <v>119.58861516383648</v>
      </c>
      <c r="H34" s="53">
        <v>28</v>
      </c>
      <c r="I34" s="53">
        <v>0.97377523333333349</v>
      </c>
      <c r="J34" s="53">
        <v>9.1808929580032093</v>
      </c>
      <c r="K34" s="65">
        <v>45.5</v>
      </c>
      <c r="L34" s="53">
        <v>99.795520431750703</v>
      </c>
      <c r="M34" s="53">
        <v>51.538421893521566</v>
      </c>
      <c r="N34" s="53">
        <v>41.111287612228807</v>
      </c>
      <c r="O34" s="53">
        <v>55.724852305077142</v>
      </c>
      <c r="P34" s="53">
        <v>37.251694411344872</v>
      </c>
      <c r="Q34" s="53">
        <v>1.30648E-2</v>
      </c>
      <c r="R34" s="53">
        <f>112.31-109.92</f>
        <v>2.3900000000000006</v>
      </c>
      <c r="S34" s="53">
        <f t="shared" si="1"/>
        <v>287.13846153846151</v>
      </c>
      <c r="T34" s="61">
        <v>64.8</v>
      </c>
      <c r="U34" s="53">
        <v>59.936526666666651</v>
      </c>
      <c r="V34" s="53">
        <v>130.5</v>
      </c>
      <c r="W34" s="53">
        <v>79.7</v>
      </c>
      <c r="X34" s="53">
        <v>20.90909090909091</v>
      </c>
    </row>
    <row r="35" spans="1:24" x14ac:dyDescent="0.3">
      <c r="A35" s="62" t="s">
        <v>60</v>
      </c>
      <c r="B35" s="53">
        <v>3</v>
      </c>
      <c r="C35" s="62">
        <v>3</v>
      </c>
      <c r="D35" s="52">
        <v>6.7</v>
      </c>
      <c r="E35" s="52">
        <v>2</v>
      </c>
      <c r="F35" s="53">
        <v>0.25</v>
      </c>
      <c r="G35" s="53">
        <v>95.147478591817148</v>
      </c>
      <c r="H35" s="53">
        <v>26</v>
      </c>
      <c r="I35" s="53">
        <v>1.0570581818181817</v>
      </c>
      <c r="J35" s="53">
        <v>13.494322727272699</v>
      </c>
      <c r="K35" s="53">
        <v>98.1</v>
      </c>
      <c r="L35" s="53">
        <v>145.95965610795056</v>
      </c>
      <c r="M35" s="53">
        <v>47.438330170777895</v>
      </c>
      <c r="N35" s="53">
        <v>71.964899697943764</v>
      </c>
      <c r="O35" s="53">
        <v>51.906628279548833</v>
      </c>
      <c r="P35" s="53">
        <v>63.683480097696396</v>
      </c>
      <c r="Q35" s="53">
        <v>1.6072199999999998E-2</v>
      </c>
      <c r="R35" s="53">
        <f>151.1-135.9</f>
        <v>15.199999999999989</v>
      </c>
      <c r="S35" s="53">
        <f t="shared" si="1"/>
        <v>163.83486238532112</v>
      </c>
      <c r="T35" s="53">
        <v>66.716977272727306</v>
      </c>
      <c r="U35" s="53">
        <v>66.716977272727277</v>
      </c>
      <c r="V35" s="53">
        <v>123</v>
      </c>
      <c r="W35" s="53">
        <v>70.3</v>
      </c>
      <c r="X35" s="53">
        <v>35</v>
      </c>
    </row>
    <row r="36" spans="1:24" x14ac:dyDescent="0.3">
      <c r="A36" s="62" t="s">
        <v>63</v>
      </c>
      <c r="B36" s="53">
        <v>3</v>
      </c>
      <c r="C36" s="62">
        <v>3</v>
      </c>
      <c r="D36" s="52">
        <v>6.75</v>
      </c>
      <c r="E36" s="52">
        <v>2</v>
      </c>
      <c r="F36" s="53">
        <v>0.2</v>
      </c>
      <c r="G36" s="53">
        <v>130.0052002080082</v>
      </c>
      <c r="H36" s="53">
        <v>28</v>
      </c>
      <c r="I36" s="53">
        <v>1.0664890909090909</v>
      </c>
      <c r="J36" s="53">
        <v>6.7471590909090899</v>
      </c>
      <c r="K36" s="53">
        <v>77.66</v>
      </c>
      <c r="L36" s="53">
        <v>76.321310891496552</v>
      </c>
      <c r="M36" s="53">
        <v>53.14343412871338</v>
      </c>
      <c r="N36" s="53">
        <v>30.462072012581174</v>
      </c>
      <c r="O36" s="53">
        <v>57.172885213390423</v>
      </c>
      <c r="P36" s="53">
        <v>27.555464874451658</v>
      </c>
      <c r="Q36" s="53">
        <v>1.6740999999999999E-2</v>
      </c>
      <c r="R36" s="53">
        <v>0.01</v>
      </c>
      <c r="S36" s="53">
        <f t="shared" si="1"/>
        <v>215.56785990213751</v>
      </c>
      <c r="T36" s="53">
        <v>66.819999999999993</v>
      </c>
      <c r="U36" s="53">
        <v>63.92876363636362</v>
      </c>
      <c r="V36" s="53">
        <v>134.30000000000001</v>
      </c>
      <c r="W36" s="53">
        <v>68.099999999999994</v>
      </c>
      <c r="X36" s="53">
        <v>15</v>
      </c>
    </row>
    <row r="37" spans="1:24" x14ac:dyDescent="0.3">
      <c r="A37" s="62" t="s">
        <v>66</v>
      </c>
      <c r="B37" s="53">
        <v>3</v>
      </c>
      <c r="C37" s="62">
        <v>3</v>
      </c>
      <c r="D37" s="52">
        <v>6.8</v>
      </c>
      <c r="E37" s="52">
        <v>2</v>
      </c>
      <c r="F37" s="53">
        <v>0.4</v>
      </c>
      <c r="G37" s="53">
        <v>118.45534233593965</v>
      </c>
      <c r="H37" s="53">
        <v>27</v>
      </c>
      <c r="I37" s="53">
        <v>0.73556913636363641</v>
      </c>
      <c r="J37" s="53">
        <v>11.876895454545499</v>
      </c>
      <c r="K37" s="53">
        <v>43.3</v>
      </c>
      <c r="L37" s="53">
        <v>95.092073652603872</v>
      </c>
      <c r="M37" s="53">
        <v>55.524708495280429</v>
      </c>
      <c r="N37" s="53">
        <v>32.178374933567333</v>
      </c>
      <c r="O37" s="53">
        <v>55.295349871239971</v>
      </c>
      <c r="P37" s="53">
        <v>37.892692813085901</v>
      </c>
      <c r="Q37" s="53">
        <v>1.46721E-2</v>
      </c>
      <c r="R37" s="53">
        <f>101.62-94.69</f>
        <v>6.9300000000000068</v>
      </c>
      <c r="S37" s="53">
        <f t="shared" si="1"/>
        <v>338.84757505773678</v>
      </c>
      <c r="T37" s="53">
        <v>64.349999999999994</v>
      </c>
      <c r="U37" s="53">
        <v>73.730463636363638</v>
      </c>
      <c r="V37" s="53">
        <v>225.83</v>
      </c>
      <c r="W37" s="53">
        <v>112.53</v>
      </c>
      <c r="X37" s="53">
        <v>18.18181818181818</v>
      </c>
    </row>
    <row r="38" spans="1:24" x14ac:dyDescent="0.3">
      <c r="A38" s="62" t="s">
        <v>69</v>
      </c>
      <c r="B38" s="53">
        <v>3</v>
      </c>
      <c r="C38" s="62">
        <v>3</v>
      </c>
      <c r="D38" s="52">
        <v>6.85</v>
      </c>
      <c r="E38" s="52">
        <v>2</v>
      </c>
      <c r="F38" s="53">
        <v>0.53</v>
      </c>
      <c r="G38" s="53">
        <v>127.92631444288125</v>
      </c>
      <c r="H38" s="53">
        <v>32</v>
      </c>
      <c r="I38" s="53">
        <v>0.82643472727272738</v>
      </c>
      <c r="J38" s="53">
        <v>17.600322727272701</v>
      </c>
      <c r="K38" s="53">
        <v>53.8</v>
      </c>
      <c r="L38" s="53">
        <v>83.601915430102139</v>
      </c>
      <c r="M38" s="53">
        <v>59.63740458015257</v>
      </c>
      <c r="N38" s="53">
        <v>37.199963504190272</v>
      </c>
      <c r="O38" s="53">
        <v>63.558136743248845</v>
      </c>
      <c r="P38" s="53">
        <v>32.807559619745042</v>
      </c>
      <c r="Q38" s="53">
        <v>1.08548E-2</v>
      </c>
      <c r="R38" s="53">
        <f>123.2-117.09</f>
        <v>6.1099999999999994</v>
      </c>
      <c r="S38" s="53">
        <f t="shared" si="1"/>
        <v>201.7620817843866</v>
      </c>
      <c r="T38" s="53">
        <v>70.520581818181824</v>
      </c>
      <c r="U38" s="53">
        <v>70.520581818181824</v>
      </c>
      <c r="V38" s="53">
        <v>188.42</v>
      </c>
      <c r="W38" s="53">
        <v>88.5</v>
      </c>
      <c r="X38" s="53">
        <v>19.285714285714285</v>
      </c>
    </row>
    <row r="39" spans="1:24" x14ac:dyDescent="0.3">
      <c r="A39" s="54" t="s">
        <v>92</v>
      </c>
      <c r="B39" s="53">
        <v>7</v>
      </c>
      <c r="C39" s="54">
        <v>7</v>
      </c>
      <c r="D39" s="52">
        <v>9.0500000000000007</v>
      </c>
      <c r="E39" s="52">
        <v>3</v>
      </c>
      <c r="F39" s="54">
        <v>1.05</v>
      </c>
      <c r="G39" s="54">
        <v>164.20361247947449</v>
      </c>
      <c r="H39" s="54">
        <v>33</v>
      </c>
      <c r="I39" s="54">
        <v>0.85354328125000023</v>
      </c>
      <c r="J39" s="54">
        <v>14.59503125</v>
      </c>
      <c r="K39" s="54">
        <v>20.75</v>
      </c>
      <c r="L39" s="54">
        <v>82.137733886039612</v>
      </c>
      <c r="M39" s="54">
        <v>59.790732436472268</v>
      </c>
      <c r="N39" s="53">
        <v>25.153718757965603</v>
      </c>
      <c r="O39" s="53">
        <v>67.82680431808339</v>
      </c>
      <c r="P39" s="53">
        <v>23.604348036348302</v>
      </c>
      <c r="Q39" s="53">
        <v>1.04457E-2</v>
      </c>
      <c r="R39" s="53">
        <f>85.1-83.2</f>
        <v>1.8999999999999915</v>
      </c>
      <c r="S39" s="53">
        <f t="shared" ref="S39:S45" si="2">(Q39/K39)*1000000</f>
        <v>503.40722891566264</v>
      </c>
      <c r="T39" s="53">
        <v>64</v>
      </c>
      <c r="U39" s="53">
        <f>29.7+43.1</f>
        <v>72.8</v>
      </c>
      <c r="V39" s="53">
        <v>201.2</v>
      </c>
      <c r="W39" s="53">
        <v>85.1</v>
      </c>
      <c r="X39" s="53">
        <v>13.846153846153847</v>
      </c>
    </row>
    <row r="40" spans="1:24" x14ac:dyDescent="0.3">
      <c r="A40" s="54" t="s">
        <v>94</v>
      </c>
      <c r="B40" s="53">
        <v>7</v>
      </c>
      <c r="C40" s="54">
        <v>7</v>
      </c>
      <c r="D40" s="52">
        <v>9.1</v>
      </c>
      <c r="E40" s="52">
        <v>3</v>
      </c>
      <c r="F40" s="54">
        <v>0.5</v>
      </c>
      <c r="G40" s="54">
        <v>130.17443374121291</v>
      </c>
      <c r="H40" s="54">
        <v>22</v>
      </c>
      <c r="I40" s="54">
        <v>0.89785375000000001</v>
      </c>
      <c r="J40" s="54">
        <v>11.6621666666667</v>
      </c>
      <c r="K40" s="54">
        <v>21.875</v>
      </c>
      <c r="L40" s="54">
        <v>75.701510554553678</v>
      </c>
      <c r="M40" s="54">
        <v>44.712720769058777</v>
      </c>
      <c r="N40" s="53">
        <v>22.772227962309596</v>
      </c>
      <c r="O40" s="53">
        <v>46.250157601404325</v>
      </c>
      <c r="P40" s="53">
        <v>17.773482739180441</v>
      </c>
      <c r="Q40" s="53">
        <v>1.5667299999999999E-2</v>
      </c>
      <c r="R40" s="53">
        <f>80.22-79.08</f>
        <v>1.1400000000000006</v>
      </c>
      <c r="S40" s="53">
        <f t="shared" si="2"/>
        <v>716.21942857142847</v>
      </c>
      <c r="T40" s="53">
        <v>62</v>
      </c>
      <c r="U40" s="53">
        <f>26.9+40.8</f>
        <v>67.699999999999989</v>
      </c>
      <c r="V40" s="53">
        <v>204.3</v>
      </c>
      <c r="W40" s="53">
        <v>67.2</v>
      </c>
      <c r="X40" s="53">
        <v>13.33333333</v>
      </c>
    </row>
    <row r="41" spans="1:24" x14ac:dyDescent="0.3">
      <c r="A41" s="54" t="s">
        <v>96</v>
      </c>
      <c r="B41" s="53">
        <v>7</v>
      </c>
      <c r="C41" s="54">
        <v>7</v>
      </c>
      <c r="D41" s="52">
        <v>9.15</v>
      </c>
      <c r="E41" s="52">
        <v>3</v>
      </c>
      <c r="F41" s="54">
        <v>0.4</v>
      </c>
      <c r="G41" s="54">
        <v>145.39110206455391</v>
      </c>
      <c r="H41" s="54">
        <v>29</v>
      </c>
      <c r="I41" s="54">
        <v>1.0411362500000001</v>
      </c>
      <c r="J41" s="54">
        <v>15.12655</v>
      </c>
      <c r="K41" s="54">
        <v>41.8125</v>
      </c>
      <c r="L41" s="54">
        <v>78.111472716329601</v>
      </c>
      <c r="M41" s="54">
        <v>51.91568892119183</v>
      </c>
      <c r="N41" s="53">
        <v>28.902525252755247</v>
      </c>
      <c r="O41" s="53">
        <v>61.547871404943301</v>
      </c>
      <c r="P41" s="53">
        <v>20.615114443262215</v>
      </c>
      <c r="Q41" s="53">
        <v>1.1673299999999999E-2</v>
      </c>
      <c r="R41" s="53">
        <f>98.85-94.85</f>
        <v>4</v>
      </c>
      <c r="S41" s="53">
        <f t="shared" si="2"/>
        <v>279.18206278026906</v>
      </c>
      <c r="T41" s="53">
        <v>64</v>
      </c>
      <c r="U41" s="53">
        <f>28.1+37.8</f>
        <v>65.900000000000006</v>
      </c>
      <c r="V41" s="53">
        <v>156.5</v>
      </c>
      <c r="W41" s="53">
        <v>63.6</v>
      </c>
      <c r="X41" s="53">
        <v>15.483870967741938</v>
      </c>
    </row>
    <row r="42" spans="1:24" x14ac:dyDescent="0.3">
      <c r="A42" s="54" t="s">
        <v>98</v>
      </c>
      <c r="B42" s="53">
        <v>7</v>
      </c>
      <c r="C42" s="54">
        <v>7</v>
      </c>
      <c r="D42" s="52">
        <v>9.1999999999999993</v>
      </c>
      <c r="E42" s="52">
        <v>3</v>
      </c>
      <c r="F42" s="54">
        <v>0.6</v>
      </c>
      <c r="G42" s="54">
        <v>172.9206294310915</v>
      </c>
      <c r="H42" s="54">
        <v>41</v>
      </c>
      <c r="I42" s="54">
        <v>0.82788986666666664</v>
      </c>
      <c r="J42" s="54">
        <v>15.2888</v>
      </c>
      <c r="K42" s="54">
        <v>34.875</v>
      </c>
      <c r="L42" s="54">
        <v>78.984112971360759</v>
      </c>
      <c r="M42" s="54">
        <v>97.087378640776592</v>
      </c>
      <c r="N42" s="53">
        <v>34.400583099617123</v>
      </c>
      <c r="O42" s="53">
        <v>84.429611687116349</v>
      </c>
      <c r="P42" s="53">
        <v>25.116446923473212</v>
      </c>
      <c r="Q42" s="53">
        <v>9.51252E-3</v>
      </c>
      <c r="R42" s="53">
        <f>104.3-100.9</f>
        <v>3.3999999999999915</v>
      </c>
      <c r="S42" s="53">
        <f t="shared" si="2"/>
        <v>272.76043010752687</v>
      </c>
      <c r="T42" s="53">
        <v>58</v>
      </c>
      <c r="U42" s="53">
        <f>34.5+28.3</f>
        <v>62.8</v>
      </c>
      <c r="V42" s="53">
        <v>160.4</v>
      </c>
      <c r="W42" s="53">
        <v>83.8</v>
      </c>
      <c r="X42" s="53">
        <v>18.974358974358978</v>
      </c>
    </row>
    <row r="43" spans="1:24" x14ac:dyDescent="0.3">
      <c r="A43" s="54" t="s">
        <v>100</v>
      </c>
      <c r="B43" s="53">
        <v>7</v>
      </c>
      <c r="C43" s="54">
        <v>6</v>
      </c>
      <c r="D43" s="52">
        <v>9.25</v>
      </c>
      <c r="E43" s="52">
        <v>3</v>
      </c>
      <c r="F43" s="54">
        <v>0.28999999999999998</v>
      </c>
      <c r="G43" s="54">
        <v>174.52006980802739</v>
      </c>
      <c r="H43" s="54">
        <v>33</v>
      </c>
      <c r="I43" s="54">
        <v>0.94244819999999985</v>
      </c>
      <c r="J43" s="54">
        <v>11.547836666666701</v>
      </c>
      <c r="K43" s="53">
        <f>(0.00316/0.00000000025)/1000000</f>
        <v>12.64</v>
      </c>
      <c r="L43" s="54">
        <v>102.8653966206993</v>
      </c>
      <c r="M43" s="54">
        <v>67.186240257995607</v>
      </c>
      <c r="N43" s="53">
        <v>34.787494099745892</v>
      </c>
      <c r="O43" s="53">
        <v>67.83977763523896</v>
      </c>
      <c r="P43" s="53">
        <v>36.261860336179673</v>
      </c>
      <c r="Q43" s="53">
        <v>7.4446499999999997E-3</v>
      </c>
      <c r="R43" s="53">
        <v>0.01</v>
      </c>
      <c r="S43" s="53">
        <f t="shared" si="2"/>
        <v>588.97547468354423</v>
      </c>
      <c r="T43" s="53">
        <v>64.5</v>
      </c>
      <c r="U43" s="53">
        <f>33.4+25.7</f>
        <v>59.099999999999994</v>
      </c>
      <c r="V43" s="53">
        <v>137.5</v>
      </c>
      <c r="W43" s="53">
        <v>74.900000000000006</v>
      </c>
      <c r="X43" s="53">
        <v>19.310344827586203</v>
      </c>
    </row>
    <row r="44" spans="1:24" x14ac:dyDescent="0.3">
      <c r="A44" s="54" t="s">
        <v>103</v>
      </c>
      <c r="B44" s="53">
        <v>7</v>
      </c>
      <c r="C44" s="54">
        <v>6</v>
      </c>
      <c r="D44" s="52">
        <v>9.3000000000000007</v>
      </c>
      <c r="E44" s="52">
        <v>3</v>
      </c>
      <c r="F44" s="54">
        <v>0.56000000000000005</v>
      </c>
      <c r="G44" s="54">
        <v>165.8374792703151</v>
      </c>
      <c r="H44" s="54">
        <v>25</v>
      </c>
      <c r="I44" s="54">
        <v>0.86277386666666678</v>
      </c>
      <c r="J44" s="54">
        <v>7.6014200000000001</v>
      </c>
      <c r="K44" s="54">
        <v>42.277777777777779</v>
      </c>
      <c r="L44" s="54">
        <v>141.88612219343781</v>
      </c>
      <c r="M44" s="54">
        <v>47.993856786331321</v>
      </c>
      <c r="N44" s="53">
        <v>37.754931159439892</v>
      </c>
      <c r="O44" s="53">
        <v>54.430114286745535</v>
      </c>
      <c r="P44" s="53">
        <v>32.03749285663649</v>
      </c>
      <c r="Q44" s="53">
        <v>1.5173300000000001E-2</v>
      </c>
      <c r="R44" s="53">
        <f>111.9-110.2</f>
        <v>1.7000000000000028</v>
      </c>
      <c r="S44" s="53">
        <f t="shared" si="2"/>
        <v>358.89540078843629</v>
      </c>
      <c r="T44" s="53">
        <v>65</v>
      </c>
      <c r="U44" s="53">
        <f>33.9+35.7</f>
        <v>69.599999999999994</v>
      </c>
      <c r="V44" s="53">
        <v>181.1</v>
      </c>
      <c r="W44" s="53">
        <v>83.6</v>
      </c>
      <c r="X44" s="53">
        <v>23.333333333333332</v>
      </c>
    </row>
    <row r="45" spans="1:24" x14ac:dyDescent="0.3">
      <c r="A45" s="54" t="s">
        <v>105</v>
      </c>
      <c r="B45" s="53">
        <v>7</v>
      </c>
      <c r="C45" s="54">
        <v>6</v>
      </c>
      <c r="D45" s="52">
        <v>9.3499999999999908</v>
      </c>
      <c r="E45" s="52">
        <v>3</v>
      </c>
      <c r="F45" s="54">
        <v>1.1499999999999999</v>
      </c>
      <c r="G45" s="54">
        <v>173.2501732501735</v>
      </c>
      <c r="H45" s="54">
        <v>23</v>
      </c>
      <c r="I45" s="54">
        <v>0.83984700000000001</v>
      </c>
      <c r="J45" s="54">
        <v>8.0092285714285705</v>
      </c>
      <c r="K45" s="54">
        <v>22.8</v>
      </c>
      <c r="L45" s="54">
        <v>169.90122084765801</v>
      </c>
      <c r="M45" s="54">
        <v>47.553378667554341</v>
      </c>
      <c r="N45" s="53">
        <v>40.560379275338143</v>
      </c>
      <c r="O45" s="53">
        <v>54.994720900264433</v>
      </c>
      <c r="P45" s="53">
        <v>31.320041141593773</v>
      </c>
      <c r="Q45" s="53">
        <v>5.9754700000000001E-3</v>
      </c>
      <c r="R45" s="53">
        <v>0.01</v>
      </c>
      <c r="S45" s="53">
        <f t="shared" si="2"/>
        <v>262.08201754385965</v>
      </c>
      <c r="T45" s="53">
        <v>67</v>
      </c>
      <c r="U45" s="53">
        <f>31.8+39.7</f>
        <v>71.5</v>
      </c>
      <c r="V45" s="53">
        <v>181.5</v>
      </c>
      <c r="W45" s="53">
        <v>84.3</v>
      </c>
      <c r="X45" s="53">
        <v>25.000000000000007</v>
      </c>
    </row>
    <row r="46" spans="1:24" x14ac:dyDescent="0.3">
      <c r="A46" s="62" t="s">
        <v>113</v>
      </c>
      <c r="B46" s="53">
        <v>7</v>
      </c>
      <c r="C46" s="62">
        <v>6</v>
      </c>
      <c r="D46" s="52">
        <v>9.5499999999999901</v>
      </c>
      <c r="E46" s="52">
        <v>3</v>
      </c>
      <c r="F46" s="62">
        <v>0.84</v>
      </c>
      <c r="G46" s="53">
        <v>167.1961210499918</v>
      </c>
      <c r="H46" s="62">
        <v>31</v>
      </c>
      <c r="I46" s="53">
        <v>0.77972688000000023</v>
      </c>
      <c r="J46" s="53">
        <v>12.7461791666667</v>
      </c>
      <c r="K46" s="53">
        <f>(0.0024/0.0000000001)/1000000</f>
        <v>23.999999999999996</v>
      </c>
      <c r="L46" s="53">
        <v>70.8562908313408</v>
      </c>
      <c r="M46" s="53">
        <v>72.679700559633616</v>
      </c>
      <c r="N46" s="53">
        <v>20.473906673570124</v>
      </c>
      <c r="O46" s="53">
        <v>61.093140904024487</v>
      </c>
      <c r="P46" s="53">
        <v>17.900007163375548</v>
      </c>
      <c r="Q46" s="55">
        <v>6.9324299999999998E-3</v>
      </c>
      <c r="R46" s="53">
        <v>1.0074906297634025</v>
      </c>
      <c r="S46" s="53">
        <f t="shared" ref="S46:S66" si="3">(Q46/K46)*1000000</f>
        <v>288.85125000000005</v>
      </c>
      <c r="T46" s="53">
        <v>67.5</v>
      </c>
      <c r="U46" s="53">
        <f>46.9+27.2</f>
        <v>74.099999999999994</v>
      </c>
      <c r="V46" s="53">
        <v>244.2</v>
      </c>
      <c r="W46" s="53">
        <v>98.8</v>
      </c>
      <c r="X46" s="53">
        <v>12.2727272727273</v>
      </c>
    </row>
    <row r="47" spans="1:24" x14ac:dyDescent="0.3">
      <c r="A47" s="62" t="s">
        <v>115</v>
      </c>
      <c r="B47" s="53">
        <v>7</v>
      </c>
      <c r="C47" s="62">
        <v>7</v>
      </c>
      <c r="D47" s="52">
        <v>9.5999999999999908</v>
      </c>
      <c r="E47" s="52">
        <v>3</v>
      </c>
      <c r="F47" s="62">
        <v>0.1</v>
      </c>
      <c r="G47" s="53">
        <v>153.35071308081615</v>
      </c>
      <c r="H47" s="62">
        <v>26</v>
      </c>
      <c r="I47" s="53">
        <v>1.176507391304348</v>
      </c>
      <c r="J47" s="53">
        <v>11.48681</v>
      </c>
      <c r="K47" s="53">
        <v>87</v>
      </c>
      <c r="L47" s="53">
        <v>98.700377725920347</v>
      </c>
      <c r="M47" s="53">
        <v>54.972239019295337</v>
      </c>
      <c r="N47" s="53">
        <v>99.322237368160216</v>
      </c>
      <c r="O47" s="53">
        <v>60.524538518363201</v>
      </c>
      <c r="P47" s="53">
        <v>32.331744349417647</v>
      </c>
      <c r="Q47" s="53">
        <v>2.1326399999999999E-2</v>
      </c>
      <c r="R47" s="53">
        <f>114.6-109.1</f>
        <v>5.5</v>
      </c>
      <c r="S47" s="53">
        <f t="shared" si="3"/>
        <v>245.13103448275859</v>
      </c>
      <c r="T47" s="53">
        <v>60</v>
      </c>
      <c r="U47" s="53">
        <v>70.122773913043474</v>
      </c>
      <c r="V47" s="53">
        <v>191.2</v>
      </c>
      <c r="W47" s="53">
        <v>62.4</v>
      </c>
      <c r="X47" s="53">
        <v>18.518518518518519</v>
      </c>
    </row>
    <row r="48" spans="1:24" x14ac:dyDescent="0.3">
      <c r="A48" s="62" t="s">
        <v>117</v>
      </c>
      <c r="B48" s="53">
        <v>7</v>
      </c>
      <c r="C48" s="62">
        <v>7</v>
      </c>
      <c r="D48" s="52">
        <v>9.6499999999999897</v>
      </c>
      <c r="E48" s="52">
        <v>3</v>
      </c>
      <c r="F48" s="62">
        <v>7.0000000000000007E-2</v>
      </c>
      <c r="G48" s="53">
        <v>66.56460094521735</v>
      </c>
      <c r="H48" s="53">
        <v>18</v>
      </c>
      <c r="I48" s="53">
        <v>1.4718652173913045</v>
      </c>
      <c r="J48" s="53">
        <v>12.984552173913</v>
      </c>
      <c r="K48" s="53">
        <f>(71.55-61.17)*10</f>
        <v>103.79999999999995</v>
      </c>
      <c r="L48" s="53">
        <v>96.618304322638835</v>
      </c>
      <c r="M48" s="53">
        <v>31.245117950320267</v>
      </c>
      <c r="N48" s="53">
        <v>50.760024571598215</v>
      </c>
      <c r="O48" s="53">
        <v>37.912358614317192</v>
      </c>
      <c r="P48" s="53">
        <v>42.787299642371572</v>
      </c>
      <c r="Q48" s="53">
        <v>2.0165499999999999E-2</v>
      </c>
      <c r="R48" s="53">
        <f>172.4-164.3</f>
        <v>8.0999999999999943</v>
      </c>
      <c r="S48" s="53">
        <f t="shared" si="3"/>
        <v>194.27263969171491</v>
      </c>
      <c r="T48" s="53">
        <v>63</v>
      </c>
      <c r="U48" s="53">
        <v>69.585386956521731</v>
      </c>
      <c r="V48" s="53">
        <v>147.1</v>
      </c>
      <c r="W48" s="53">
        <v>57.1</v>
      </c>
      <c r="X48" s="53">
        <v>25</v>
      </c>
    </row>
    <row r="49" spans="1:24" x14ac:dyDescent="0.3">
      <c r="A49" s="62" t="s">
        <v>119</v>
      </c>
      <c r="B49" s="53">
        <v>7</v>
      </c>
      <c r="C49" s="62">
        <v>7</v>
      </c>
      <c r="D49" s="52">
        <v>9.6999999999999904</v>
      </c>
      <c r="E49" s="52">
        <v>3</v>
      </c>
      <c r="F49" s="53">
        <v>0.55800000000000005</v>
      </c>
      <c r="G49" s="53">
        <v>115.76753878212543</v>
      </c>
      <c r="H49" s="53">
        <v>19</v>
      </c>
      <c r="I49" s="53">
        <v>0.98832821739130439</v>
      </c>
      <c r="J49" s="53">
        <v>10.2247086956522</v>
      </c>
      <c r="K49" s="53">
        <v>43.8</v>
      </c>
      <c r="L49" s="53">
        <v>90.965491888195302</v>
      </c>
      <c r="M49" s="53">
        <v>32.70218123548846</v>
      </c>
      <c r="N49" s="53">
        <v>24.908275197820124</v>
      </c>
      <c r="O49" s="53">
        <v>38.626042294107165</v>
      </c>
      <c r="P49" s="53">
        <v>20.038684022447139</v>
      </c>
      <c r="Q49" s="53">
        <v>1.25002E-2</v>
      </c>
      <c r="R49" s="53">
        <f>111.5-104.7</f>
        <v>6.7999999999999972</v>
      </c>
      <c r="S49" s="53">
        <f t="shared" si="3"/>
        <v>285.39269406392697</v>
      </c>
      <c r="T49" s="53">
        <v>67</v>
      </c>
      <c r="U49" s="53">
        <v>61.39340434782607</v>
      </c>
      <c r="V49" s="53">
        <v>141.9</v>
      </c>
      <c r="W49" s="53">
        <v>80</v>
      </c>
      <c r="X49" s="53">
        <v>15</v>
      </c>
    </row>
    <row r="50" spans="1:24" x14ac:dyDescent="0.3">
      <c r="A50" s="62" t="s">
        <v>121</v>
      </c>
      <c r="B50" s="53">
        <v>7</v>
      </c>
      <c r="C50" s="62">
        <v>7</v>
      </c>
      <c r="D50" s="52">
        <v>9.7499999999999893</v>
      </c>
      <c r="E50" s="52">
        <v>3</v>
      </c>
      <c r="F50" s="53">
        <v>0.15</v>
      </c>
      <c r="G50" s="53">
        <v>88.144557073600708</v>
      </c>
      <c r="H50" s="53">
        <v>12</v>
      </c>
      <c r="I50" s="53">
        <v>1.2008766666666668</v>
      </c>
      <c r="J50" s="53">
        <v>4.8573791666666697</v>
      </c>
      <c r="K50" s="53">
        <v>170.18</v>
      </c>
      <c r="L50" s="53">
        <v>74.529728388363807</v>
      </c>
      <c r="M50" s="53">
        <v>24.5392751098132</v>
      </c>
      <c r="N50" s="53">
        <v>5.0698045333642199</v>
      </c>
      <c r="O50" s="53">
        <v>27.624983442418799</v>
      </c>
      <c r="P50" s="53">
        <v>44.000905719883654</v>
      </c>
      <c r="Q50" s="53">
        <v>2.7547599999999998E-2</v>
      </c>
      <c r="R50" s="53">
        <f>156.05-143.33</f>
        <v>12.719999999999999</v>
      </c>
      <c r="S50" s="53">
        <f t="shared" si="3"/>
        <v>161.87331061229284</v>
      </c>
      <c r="T50" s="53">
        <v>67.7</v>
      </c>
      <c r="U50" s="53">
        <v>75.56153333333333</v>
      </c>
      <c r="V50" s="53">
        <v>174.4</v>
      </c>
      <c r="W50" s="53">
        <v>68.3</v>
      </c>
      <c r="X50" s="53">
        <v>20</v>
      </c>
    </row>
    <row r="51" spans="1:24" x14ac:dyDescent="0.3">
      <c r="A51" s="62" t="s">
        <v>123</v>
      </c>
      <c r="B51" s="53">
        <v>7</v>
      </c>
      <c r="C51" s="62">
        <v>7</v>
      </c>
      <c r="D51" s="52">
        <v>9.7999999999999794</v>
      </c>
      <c r="E51" s="52">
        <v>3</v>
      </c>
      <c r="F51" s="53">
        <v>0.75700000000000001</v>
      </c>
      <c r="G51" s="53">
        <v>128.86597938144345</v>
      </c>
      <c r="H51" s="53">
        <v>21</v>
      </c>
      <c r="I51" s="53">
        <v>0.98320047999999971</v>
      </c>
      <c r="J51" s="53">
        <v>6.3867240000000001</v>
      </c>
      <c r="K51" s="53">
        <v>33.700000000000003</v>
      </c>
      <c r="L51" s="53">
        <v>91.975838765011517</v>
      </c>
      <c r="M51" s="53">
        <v>43.531255441406969</v>
      </c>
      <c r="N51" s="53">
        <v>25.761996888529723</v>
      </c>
      <c r="O51" s="53">
        <v>47.337757978428002</v>
      </c>
      <c r="P51" s="53">
        <v>22.682240474434241</v>
      </c>
      <c r="Q51" s="53">
        <v>6.9934999999999997E-3</v>
      </c>
      <c r="R51" s="53">
        <f>102.78-100.81</f>
        <v>1.9699999999999989</v>
      </c>
      <c r="S51" s="53">
        <f t="shared" si="3"/>
        <v>207.5222551928783</v>
      </c>
      <c r="T51" s="53">
        <v>69</v>
      </c>
      <c r="U51" s="53">
        <v>61.83</v>
      </c>
      <c r="V51" s="53">
        <v>152.9</v>
      </c>
      <c r="W51" s="53">
        <v>76</v>
      </c>
      <c r="X51" s="53">
        <v>12.5</v>
      </c>
    </row>
    <row r="52" spans="1:24" x14ac:dyDescent="0.3">
      <c r="A52" s="62" t="s">
        <v>125</v>
      </c>
      <c r="B52" s="53">
        <v>7</v>
      </c>
      <c r="C52" s="62">
        <v>6</v>
      </c>
      <c r="D52" s="52">
        <v>9.8499999999999801</v>
      </c>
      <c r="E52" s="52">
        <v>3</v>
      </c>
      <c r="F52" s="53">
        <v>0.16</v>
      </c>
      <c r="G52" s="53">
        <v>121.06537530266357</v>
      </c>
      <c r="H52" s="53">
        <v>31</v>
      </c>
      <c r="I52" s="53">
        <v>0.89002185185185201</v>
      </c>
      <c r="J52" s="53">
        <v>18.2472518518519</v>
      </c>
      <c r="K52" s="53">
        <v>87.9</v>
      </c>
      <c r="L52" s="53">
        <v>76.45858472469736</v>
      </c>
      <c r="M52" s="53">
        <v>62.034739454094279</v>
      </c>
      <c r="N52" s="53">
        <v>37.212086022578319</v>
      </c>
      <c r="O52" s="53">
        <v>61.171721323715857</v>
      </c>
      <c r="P52" s="53">
        <v>35.444022294136012</v>
      </c>
      <c r="Q52" s="53">
        <v>1.8240800000000001E-2</v>
      </c>
      <c r="R52" s="53">
        <f>121.4-112</f>
        <v>9.4000000000000057</v>
      </c>
      <c r="S52" s="53">
        <f t="shared" si="3"/>
        <v>207.51763367463028</v>
      </c>
      <c r="T52" s="53">
        <v>66.84</v>
      </c>
      <c r="U52" s="53">
        <v>78.172466666666665</v>
      </c>
      <c r="V52" s="53">
        <v>223.9</v>
      </c>
      <c r="W52" s="53">
        <v>101.9</v>
      </c>
      <c r="X52" s="53">
        <v>18.461538461538463</v>
      </c>
    </row>
    <row r="53" spans="1:24" x14ac:dyDescent="0.3">
      <c r="A53" s="62" t="s">
        <v>127</v>
      </c>
      <c r="B53" s="53">
        <v>7</v>
      </c>
      <c r="C53" s="62">
        <v>6</v>
      </c>
      <c r="D53" s="52">
        <v>9.8999999999999808</v>
      </c>
      <c r="E53" s="52">
        <v>3</v>
      </c>
      <c r="F53" s="53">
        <v>0.371</v>
      </c>
      <c r="G53" s="53">
        <v>122.88031457360523</v>
      </c>
      <c r="H53" s="53">
        <v>20</v>
      </c>
      <c r="I53" s="53">
        <v>1.0208263157894737</v>
      </c>
      <c r="J53" s="53">
        <v>3.43492222222222</v>
      </c>
      <c r="K53" s="53">
        <v>64.599999999999994</v>
      </c>
      <c r="L53" s="53">
        <v>40.98276243905741</v>
      </c>
      <c r="M53" s="53">
        <v>40.817992571125316</v>
      </c>
      <c r="N53" s="53">
        <v>56.731493571905297</v>
      </c>
      <c r="O53" s="53">
        <v>45.196314457145355</v>
      </c>
      <c r="P53" s="53">
        <v>40.98276243905741</v>
      </c>
      <c r="Q53" s="53">
        <v>1.44756E-2</v>
      </c>
      <c r="R53" s="53">
        <f>119.123-118.31</f>
        <v>0.81300000000000239</v>
      </c>
      <c r="S53" s="53">
        <f t="shared" si="3"/>
        <v>224.08049535603718</v>
      </c>
      <c r="T53" s="53">
        <v>67</v>
      </c>
      <c r="U53" s="53">
        <v>63.071799999999996</v>
      </c>
      <c r="V53" s="53">
        <v>130.69999999999999</v>
      </c>
      <c r="W53" s="53">
        <v>70.5</v>
      </c>
      <c r="X53" s="53">
        <v>28</v>
      </c>
    </row>
    <row r="54" spans="1:24" x14ac:dyDescent="0.3">
      <c r="A54" s="62" t="s">
        <v>129</v>
      </c>
      <c r="B54" s="53">
        <v>7</v>
      </c>
      <c r="C54" s="62">
        <v>6</v>
      </c>
      <c r="D54" s="52">
        <v>9.9499999999999797</v>
      </c>
      <c r="E54" s="52">
        <v>3</v>
      </c>
      <c r="F54" s="53">
        <v>0.37</v>
      </c>
      <c r="G54" s="53">
        <v>107.57314974182454</v>
      </c>
      <c r="H54" s="53">
        <v>18</v>
      </c>
      <c r="I54" s="53">
        <v>1.0574189999999999</v>
      </c>
      <c r="J54" s="53">
        <v>5.5786100000000003</v>
      </c>
      <c r="K54" s="53">
        <v>48.6</v>
      </c>
      <c r="L54" s="53">
        <v>105.85339665833509</v>
      </c>
      <c r="M54" s="53">
        <v>37.707390648567142</v>
      </c>
      <c r="N54" s="53">
        <v>31.631661005225602</v>
      </c>
      <c r="O54" s="53">
        <v>39.555390725774402</v>
      </c>
      <c r="P54" s="53">
        <v>24.459472465910551</v>
      </c>
      <c r="Q54" s="53">
        <v>1.25332E-2</v>
      </c>
      <c r="R54" s="53">
        <f>105.316-99.54</f>
        <v>5.7759999999999962</v>
      </c>
      <c r="S54" s="53">
        <f t="shared" si="3"/>
        <v>257.88477366255142</v>
      </c>
      <c r="T54" s="53">
        <v>60</v>
      </c>
      <c r="U54" s="53">
        <v>63.528450000000007</v>
      </c>
      <c r="V54" s="53">
        <v>131.5</v>
      </c>
      <c r="W54" s="53">
        <v>66</v>
      </c>
      <c r="X54" s="53">
        <v>15.555555555555555</v>
      </c>
    </row>
    <row r="55" spans="1:24" x14ac:dyDescent="0.3">
      <c r="A55" s="62" t="s">
        <v>131</v>
      </c>
      <c r="B55" s="53">
        <v>7</v>
      </c>
      <c r="C55" s="62">
        <v>6</v>
      </c>
      <c r="D55" s="52">
        <v>9.9999999999999805</v>
      </c>
      <c r="E55" s="52">
        <v>3</v>
      </c>
      <c r="F55" s="53">
        <v>0.73</v>
      </c>
      <c r="G55" s="53">
        <v>115.6470452179948</v>
      </c>
      <c r="H55" s="53">
        <v>20</v>
      </c>
      <c r="I55" s="53">
        <v>0.81850287499999996</v>
      </c>
      <c r="J55" s="53">
        <v>8.3326217391304294</v>
      </c>
      <c r="K55" s="53">
        <v>40.799999999999997</v>
      </c>
      <c r="L55" s="53">
        <v>116.99932353681801</v>
      </c>
      <c r="M55" s="53">
        <v>39.33910306844993</v>
      </c>
      <c r="N55" s="53">
        <v>34.500548785893045</v>
      </c>
      <c r="O55" s="53">
        <v>44.827588674072651</v>
      </c>
      <c r="P55" s="53">
        <v>30.222739974201726</v>
      </c>
      <c r="Q55" s="53">
        <v>1.62174E-2</v>
      </c>
      <c r="R55" s="53">
        <f>96.85-94.79</f>
        <v>2.0599999999999881</v>
      </c>
      <c r="S55" s="53">
        <f t="shared" si="3"/>
        <v>397.48529411764707</v>
      </c>
      <c r="T55" s="53">
        <v>64.099999999999994</v>
      </c>
      <c r="U55" s="53">
        <v>64.631150000000005</v>
      </c>
      <c r="V55" s="53">
        <v>159.80000000000001</v>
      </c>
      <c r="W55" s="53">
        <v>88.1</v>
      </c>
      <c r="X55" s="53">
        <v>16.25</v>
      </c>
    </row>
    <row r="56" spans="1:24" x14ac:dyDescent="0.3">
      <c r="A56" s="62" t="s">
        <v>133</v>
      </c>
      <c r="B56" s="53">
        <v>7</v>
      </c>
      <c r="C56" s="62">
        <v>7</v>
      </c>
      <c r="D56" s="52">
        <v>10.050000000000001</v>
      </c>
      <c r="E56" s="52">
        <v>3</v>
      </c>
      <c r="F56" s="53">
        <v>1</v>
      </c>
      <c r="G56" s="53">
        <v>115.16756881262208</v>
      </c>
      <c r="H56" s="53">
        <v>26</v>
      </c>
      <c r="I56" s="53">
        <v>0.78418421428571428</v>
      </c>
      <c r="J56" s="53">
        <v>10.296855555555601</v>
      </c>
      <c r="K56" s="53">
        <v>30.7</v>
      </c>
      <c r="L56" s="53">
        <v>149.2315384218121</v>
      </c>
      <c r="M56" s="53">
        <v>49.517207229512408</v>
      </c>
      <c r="N56" s="53">
        <v>60.532671126159606</v>
      </c>
      <c r="O56" s="53">
        <v>53.952991626052032</v>
      </c>
      <c r="P56" s="53">
        <v>50.501712688465872</v>
      </c>
      <c r="Q56" s="53">
        <v>1.2534500000000001E-2</v>
      </c>
      <c r="R56" s="53">
        <f>99.435-98.837</f>
        <v>0.59799999999999898</v>
      </c>
      <c r="S56" s="53">
        <f t="shared" si="3"/>
        <v>408.28990228013032</v>
      </c>
      <c r="T56" s="53">
        <v>71</v>
      </c>
      <c r="U56" s="53">
        <v>63.975742857142862</v>
      </c>
      <c r="V56" s="53">
        <v>158</v>
      </c>
      <c r="W56" s="53">
        <v>100</v>
      </c>
      <c r="X56" s="53">
        <v>31.428571428571431</v>
      </c>
    </row>
    <row r="57" spans="1:24" x14ac:dyDescent="0.3">
      <c r="A57" s="62" t="s">
        <v>135</v>
      </c>
      <c r="B57" s="53">
        <v>7</v>
      </c>
      <c r="C57" s="62">
        <v>7</v>
      </c>
      <c r="D57" s="52">
        <v>10.1</v>
      </c>
      <c r="E57" s="52">
        <v>3</v>
      </c>
      <c r="F57" s="53">
        <v>0.43</v>
      </c>
      <c r="G57" s="53">
        <v>109.20607185759515</v>
      </c>
      <c r="H57" s="53">
        <v>18</v>
      </c>
      <c r="I57" s="53">
        <v>0.86151679999999997</v>
      </c>
      <c r="J57" s="53">
        <v>10.3675413793103</v>
      </c>
      <c r="K57" s="53">
        <v>54</v>
      </c>
      <c r="L57" s="53">
        <v>138.40189381070033</v>
      </c>
      <c r="M57" s="53">
        <v>32.336297493936989</v>
      </c>
      <c r="N57" s="53">
        <v>42.099256870711201</v>
      </c>
      <c r="O57" s="53">
        <v>36.873018022385651</v>
      </c>
      <c r="P57" s="53">
        <v>34.525091625330298</v>
      </c>
      <c r="Q57" s="53">
        <v>1.44151E-2</v>
      </c>
      <c r="R57" s="53">
        <f>119.3-100.3</f>
        <v>19</v>
      </c>
      <c r="S57" s="53">
        <f t="shared" si="3"/>
        <v>266.94629629629634</v>
      </c>
      <c r="T57" s="53">
        <v>68.400000000000006</v>
      </c>
      <c r="U57" s="53">
        <v>77.032476666666696</v>
      </c>
      <c r="V57" s="53">
        <v>225.1</v>
      </c>
      <c r="W57" s="53">
        <v>96.8</v>
      </c>
      <c r="X57" s="53">
        <v>21.428571428571427</v>
      </c>
    </row>
    <row r="58" spans="1:24" x14ac:dyDescent="0.3">
      <c r="A58" s="62" t="s">
        <v>137</v>
      </c>
      <c r="B58" s="53">
        <v>7</v>
      </c>
      <c r="C58" s="62">
        <v>7</v>
      </c>
      <c r="D58" s="52">
        <v>10.15</v>
      </c>
      <c r="E58" s="52">
        <v>3</v>
      </c>
      <c r="F58" s="53">
        <v>0.6</v>
      </c>
      <c r="G58" s="53">
        <v>128.98232942086909</v>
      </c>
      <c r="H58" s="53">
        <v>23</v>
      </c>
      <c r="I58" s="53">
        <v>0.90877873333333337</v>
      </c>
      <c r="J58" s="53">
        <v>7.61256206896552</v>
      </c>
      <c r="K58" s="53">
        <v>42.4</v>
      </c>
      <c r="L58" s="53">
        <v>109.54184595490497</v>
      </c>
      <c r="M58" s="53">
        <v>43.94059231918439</v>
      </c>
      <c r="N58" s="53">
        <v>36.64124030820566</v>
      </c>
      <c r="O58" s="53">
        <v>49.127320138498938</v>
      </c>
      <c r="P58" s="53">
        <v>27.448944603548163</v>
      </c>
      <c r="Q58" s="53">
        <v>1.0982E-2</v>
      </c>
      <c r="R58" s="53">
        <f>110.5-106.2</f>
        <v>4.2999999999999972</v>
      </c>
      <c r="S58" s="53">
        <f t="shared" si="3"/>
        <v>259.00943396226415</v>
      </c>
      <c r="T58" s="53">
        <v>71.400000000000006</v>
      </c>
      <c r="U58" s="53">
        <v>62.408443333333345</v>
      </c>
      <c r="V58" s="53">
        <v>151.80000000000001</v>
      </c>
      <c r="W58" s="53">
        <v>80.400000000000006</v>
      </c>
      <c r="X58" s="53">
        <v>17.272727272727273</v>
      </c>
    </row>
    <row r="59" spans="1:24" x14ac:dyDescent="0.3">
      <c r="A59" s="62" t="s">
        <v>139</v>
      </c>
      <c r="B59" s="53">
        <v>7</v>
      </c>
      <c r="C59" s="62">
        <v>7</v>
      </c>
      <c r="D59" s="52">
        <v>10.199999999999999</v>
      </c>
      <c r="E59" s="52">
        <v>3</v>
      </c>
      <c r="F59" s="53">
        <v>0.755</v>
      </c>
      <c r="G59" s="53">
        <v>113.25028312570765</v>
      </c>
      <c r="H59" s="53">
        <v>23</v>
      </c>
      <c r="I59" s="53">
        <v>0.86647752631578956</v>
      </c>
      <c r="J59" s="53">
        <v>5.8979157894736796</v>
      </c>
      <c r="K59" s="53">
        <v>27.9</v>
      </c>
      <c r="L59" s="53">
        <v>90.316010958869398</v>
      </c>
      <c r="M59" s="53">
        <v>43.99859204505443</v>
      </c>
      <c r="N59" s="53">
        <v>90.316010958869398</v>
      </c>
      <c r="O59" s="53">
        <v>47.735743118835835</v>
      </c>
      <c r="P59" s="53">
        <v>24.719523281387051</v>
      </c>
      <c r="Q59" s="53">
        <v>1.6459399999999999E-2</v>
      </c>
      <c r="R59" s="53">
        <v>0.01</v>
      </c>
      <c r="S59" s="53">
        <f t="shared" si="3"/>
        <v>589.94265232974908</v>
      </c>
      <c r="T59" s="53">
        <v>66</v>
      </c>
      <c r="U59" s="53">
        <v>78.594010526315799</v>
      </c>
      <c r="V59" s="53">
        <v>203.2</v>
      </c>
      <c r="W59" s="53">
        <v>109.5</v>
      </c>
      <c r="X59" s="53">
        <v>15.454545454545455</v>
      </c>
    </row>
    <row r="60" spans="1:24" x14ac:dyDescent="0.3">
      <c r="A60" s="62" t="s">
        <v>141</v>
      </c>
      <c r="B60" s="53">
        <v>7</v>
      </c>
      <c r="C60" s="62">
        <v>6</v>
      </c>
      <c r="D60" s="52">
        <v>10.25</v>
      </c>
      <c r="E60" s="52">
        <v>3</v>
      </c>
      <c r="F60" s="53">
        <v>0.45700000000000002</v>
      </c>
      <c r="G60" s="53">
        <v>82.257135806531338</v>
      </c>
      <c r="H60" s="53">
        <v>15</v>
      </c>
      <c r="I60" s="53">
        <v>1.2905323529411765</v>
      </c>
      <c r="J60" s="53">
        <v>8.1367437500000008</v>
      </c>
      <c r="K60" s="53">
        <v>88.4</v>
      </c>
      <c r="L60" s="53">
        <v>115.60549829256625</v>
      </c>
      <c r="M60" s="53">
        <v>27.550486266082576</v>
      </c>
      <c r="N60" s="53">
        <v>35.47711048967404</v>
      </c>
      <c r="O60" s="53">
        <v>32.669932490609</v>
      </c>
      <c r="P60" s="53">
        <v>30.540057087687131</v>
      </c>
      <c r="Q60" s="53">
        <v>4.45466E-3</v>
      </c>
      <c r="R60" s="53">
        <f>109-104.5</f>
        <v>4.5</v>
      </c>
      <c r="S60" s="53">
        <f t="shared" si="3"/>
        <v>50.392081447963797</v>
      </c>
      <c r="T60" s="53">
        <v>64.7</v>
      </c>
      <c r="U60" s="53">
        <v>65.501500000000007</v>
      </c>
      <c r="V60" s="53">
        <v>128</v>
      </c>
      <c r="W60" s="53">
        <v>62.9</v>
      </c>
      <c r="X60" s="53">
        <v>16.666666666666668</v>
      </c>
    </row>
    <row r="61" spans="1:24" x14ac:dyDescent="0.3">
      <c r="A61" s="62" t="s">
        <v>143</v>
      </c>
      <c r="B61" s="53">
        <v>7</v>
      </c>
      <c r="C61" s="62">
        <v>6</v>
      </c>
      <c r="D61" s="52">
        <v>10.3</v>
      </c>
      <c r="E61" s="52">
        <v>3</v>
      </c>
      <c r="F61" s="53">
        <v>0.23</v>
      </c>
      <c r="G61" s="53">
        <v>75.878291220881692</v>
      </c>
      <c r="H61" s="53">
        <v>14</v>
      </c>
      <c r="I61" s="53">
        <v>1.3524230769230767</v>
      </c>
      <c r="J61" s="53">
        <v>5.36638461538461</v>
      </c>
      <c r="K61" s="53">
        <v>69.7</v>
      </c>
      <c r="L61" s="53">
        <v>112.89647583843451</v>
      </c>
      <c r="M61" s="53">
        <v>26.542800265428035</v>
      </c>
      <c r="N61" s="53">
        <v>34.076892143571833</v>
      </c>
      <c r="O61" s="53">
        <v>29.905478380147557</v>
      </c>
      <c r="P61" s="53">
        <v>26.537068311294043</v>
      </c>
      <c r="Q61" s="53">
        <v>1.7141099999999999E-2</v>
      </c>
      <c r="R61" s="53">
        <f>122.1-115.2</f>
        <v>6.8999999999999915</v>
      </c>
      <c r="S61" s="53">
        <f t="shared" si="3"/>
        <v>245.92682926829264</v>
      </c>
      <c r="T61" s="53">
        <v>67.3</v>
      </c>
      <c r="U61" s="53">
        <v>69.993230769230763</v>
      </c>
      <c r="V61" s="53">
        <v>125.7</v>
      </c>
      <c r="W61" s="53">
        <v>64.099999999999994</v>
      </c>
      <c r="X61" s="53">
        <v>18</v>
      </c>
    </row>
    <row r="62" spans="1:24" x14ac:dyDescent="0.3">
      <c r="A62" s="62" t="s">
        <v>148</v>
      </c>
      <c r="B62" s="53">
        <v>7</v>
      </c>
      <c r="C62" s="62">
        <v>7</v>
      </c>
      <c r="D62" s="52">
        <v>10.45</v>
      </c>
      <c r="E62" s="52">
        <v>3</v>
      </c>
      <c r="F62" s="53">
        <v>0.56000000000000005</v>
      </c>
      <c r="G62" s="53">
        <v>110.53387863380129</v>
      </c>
      <c r="H62" s="53">
        <v>24</v>
      </c>
      <c r="I62" s="53">
        <v>1.2082150000000003</v>
      </c>
      <c r="J62" s="53">
        <v>6.5078562499999997</v>
      </c>
      <c r="K62" s="53">
        <v>67.3</v>
      </c>
      <c r="L62" s="53">
        <v>82.540941982902524</v>
      </c>
      <c r="M62" s="53">
        <v>45.741469215991287</v>
      </c>
      <c r="N62" s="53">
        <v>28.100440564158422</v>
      </c>
      <c r="O62" s="53">
        <v>49.333564854047602</v>
      </c>
      <c r="P62" s="53">
        <v>24.496214021428251</v>
      </c>
      <c r="Q62" s="55">
        <v>1.3509E-2</v>
      </c>
      <c r="R62" s="53">
        <v>0.01</v>
      </c>
      <c r="S62" s="53">
        <f t="shared" si="3"/>
        <v>200.72808320950966</v>
      </c>
      <c r="T62" s="53">
        <v>66.7</v>
      </c>
      <c r="U62" s="53">
        <v>55.046068749999996</v>
      </c>
      <c r="V62" s="53">
        <v>112.9</v>
      </c>
      <c r="W62" s="53">
        <v>55.8</v>
      </c>
      <c r="X62" s="53">
        <v>13.333333333333334</v>
      </c>
    </row>
    <row r="63" spans="1:24" x14ac:dyDescent="0.3">
      <c r="A63" s="62" t="s">
        <v>150</v>
      </c>
      <c r="B63" s="53">
        <v>7</v>
      </c>
      <c r="C63" s="62">
        <v>7</v>
      </c>
      <c r="D63" s="52">
        <v>10.5</v>
      </c>
      <c r="E63" s="52">
        <v>3</v>
      </c>
      <c r="F63" s="53">
        <v>0.36</v>
      </c>
      <c r="G63" s="53">
        <v>109.89010989010961</v>
      </c>
      <c r="H63" s="53">
        <v>27</v>
      </c>
      <c r="I63" s="53">
        <v>0.86603200000000025</v>
      </c>
      <c r="J63" s="53">
        <v>12.6374947368421</v>
      </c>
      <c r="K63" s="53">
        <v>53.6</v>
      </c>
      <c r="L63" s="53">
        <v>97.11627071274485</v>
      </c>
      <c r="M63" s="53">
        <v>53.561863952865352</v>
      </c>
      <c r="N63" s="53">
        <v>33.933737712936193</v>
      </c>
      <c r="O63" s="53">
        <v>56.726731010102235</v>
      </c>
      <c r="P63" s="53">
        <v>35.633327100757867</v>
      </c>
      <c r="Q63" s="53">
        <v>1.6214099999999999E-2</v>
      </c>
      <c r="R63" s="53">
        <f>97.32-94.1</f>
        <v>3.2199999999999989</v>
      </c>
      <c r="S63" s="53">
        <f t="shared" si="3"/>
        <v>302.50186567164172</v>
      </c>
      <c r="T63" s="53">
        <v>66.8</v>
      </c>
      <c r="U63" s="53">
        <v>70.897163157894724</v>
      </c>
      <c r="V63" s="53">
        <f>178.8</f>
        <v>178.8</v>
      </c>
      <c r="W63" s="53">
        <v>109.6</v>
      </c>
      <c r="X63" s="53">
        <v>19</v>
      </c>
    </row>
    <row r="64" spans="1:24" x14ac:dyDescent="0.3">
      <c r="A64" s="62" t="s">
        <v>152</v>
      </c>
      <c r="B64" s="53">
        <v>7</v>
      </c>
      <c r="C64" s="62">
        <v>7</v>
      </c>
      <c r="D64" s="52">
        <v>10.55</v>
      </c>
      <c r="E64" s="52">
        <v>3</v>
      </c>
      <c r="F64" s="53">
        <v>0.4</v>
      </c>
      <c r="G64" s="53">
        <v>134.95276653171396</v>
      </c>
      <c r="H64" s="53">
        <v>27</v>
      </c>
      <c r="I64" s="53">
        <v>0.94637957692307695</v>
      </c>
      <c r="J64" s="53">
        <v>11.218730769230801</v>
      </c>
      <c r="K64" s="53">
        <v>68.099999999999994</v>
      </c>
      <c r="L64" s="53">
        <v>77.812469089429143</v>
      </c>
      <c r="M64" s="53">
        <v>52.246603970741937</v>
      </c>
      <c r="N64" s="53">
        <v>25.414274818035651</v>
      </c>
      <c r="O64" s="53">
        <v>56.716245405978661</v>
      </c>
      <c r="P64" s="53">
        <v>22.947651320819158</v>
      </c>
      <c r="Q64" s="53">
        <v>1.3807E-2</v>
      </c>
      <c r="R64" s="53">
        <f>108.35-103.921</f>
        <v>4.4289999999999878</v>
      </c>
      <c r="S64" s="53">
        <f t="shared" si="3"/>
        <v>202.7459618208517</v>
      </c>
      <c r="T64" s="53">
        <v>63</v>
      </c>
      <c r="U64" s="53">
        <v>72.798507692307695</v>
      </c>
      <c r="V64" s="53">
        <v>201.5</v>
      </c>
      <c r="W64" s="53">
        <v>97.6</v>
      </c>
      <c r="X64" s="53">
        <v>12.5</v>
      </c>
    </row>
    <row r="65" spans="1:24" x14ac:dyDescent="0.3">
      <c r="A65" s="62" t="s">
        <v>154</v>
      </c>
      <c r="B65" s="53">
        <v>7</v>
      </c>
      <c r="C65" s="62">
        <v>7</v>
      </c>
      <c r="D65" s="52">
        <v>10.6</v>
      </c>
      <c r="E65" s="52">
        <v>3</v>
      </c>
      <c r="F65" s="53">
        <v>0.56000000000000005</v>
      </c>
      <c r="G65" s="53">
        <v>109.15838882218097</v>
      </c>
      <c r="H65" s="53">
        <v>25</v>
      </c>
      <c r="I65" s="53">
        <v>1.0822286363636364</v>
      </c>
      <c r="J65" s="53">
        <v>10.8892318181818</v>
      </c>
      <c r="K65" s="53">
        <v>35.4</v>
      </c>
      <c r="L65" s="53">
        <v>78.870851676123493</v>
      </c>
      <c r="M65" s="53">
        <v>43.325679130020546</v>
      </c>
      <c r="N65" s="53">
        <v>23.966900712183392</v>
      </c>
      <c r="O65" s="53">
        <v>51.34622020879101</v>
      </c>
      <c r="P65" s="53">
        <v>18.90152391719128</v>
      </c>
      <c r="Q65" s="53">
        <v>1.05722E-2</v>
      </c>
      <c r="R65" s="53">
        <f>114.6-110.7</f>
        <v>3.8999999999999915</v>
      </c>
      <c r="S65" s="53">
        <f t="shared" si="3"/>
        <v>298.64971751412429</v>
      </c>
      <c r="T65" s="53">
        <v>66</v>
      </c>
      <c r="U65" s="53">
        <v>58.427281818181811</v>
      </c>
      <c r="V65" s="53">
        <v>119.7</v>
      </c>
      <c r="W65" s="53">
        <v>80</v>
      </c>
      <c r="X65" s="53">
        <v>13.333333333333334</v>
      </c>
    </row>
    <row r="66" spans="1:24" x14ac:dyDescent="0.3">
      <c r="A66" s="62" t="s">
        <v>156</v>
      </c>
      <c r="B66" s="53">
        <v>7</v>
      </c>
      <c r="C66" s="62">
        <v>7</v>
      </c>
      <c r="D66" s="52">
        <v>10.65</v>
      </c>
      <c r="E66" s="52">
        <v>3</v>
      </c>
      <c r="F66" s="53">
        <v>0.36</v>
      </c>
      <c r="G66" s="53">
        <v>125.86532410320922</v>
      </c>
      <c r="H66" s="53">
        <v>20</v>
      </c>
      <c r="I66" s="53">
        <v>0.9336488235294117</v>
      </c>
      <c r="J66" s="53">
        <v>12.199847058823501</v>
      </c>
      <c r="K66" s="53">
        <v>56.9</v>
      </c>
      <c r="L66" s="53">
        <v>93.941374517899064</v>
      </c>
      <c r="M66" s="53">
        <v>39.38868756893033</v>
      </c>
      <c r="N66" s="53">
        <v>27.993461843239871</v>
      </c>
      <c r="O66" s="53">
        <v>42.92356302571725</v>
      </c>
      <c r="P66" s="53">
        <v>22.60055114646552</v>
      </c>
      <c r="Q66" s="53">
        <v>1.63032E-2</v>
      </c>
      <c r="R66" s="53">
        <f>104.9-100.6</f>
        <v>4.3000000000000114</v>
      </c>
      <c r="S66" s="53">
        <f t="shared" si="3"/>
        <v>286.52372583479792</v>
      </c>
      <c r="T66" s="53">
        <v>60</v>
      </c>
      <c r="U66" s="53">
        <v>71.888647058823523</v>
      </c>
      <c r="V66" s="53">
        <v>163.1</v>
      </c>
      <c r="W66" s="53">
        <v>91</v>
      </c>
      <c r="X66" s="53">
        <v>14.166666666666666</v>
      </c>
    </row>
    <row r="67" spans="1:24" x14ac:dyDescent="0.3">
      <c r="A67" s="54" t="s">
        <v>95</v>
      </c>
      <c r="B67" s="53">
        <v>7</v>
      </c>
      <c r="C67" s="54">
        <v>7</v>
      </c>
      <c r="D67" s="52">
        <v>12.1</v>
      </c>
      <c r="E67" s="52">
        <v>4</v>
      </c>
      <c r="F67" s="54">
        <v>0.54</v>
      </c>
      <c r="G67" s="54">
        <v>180.53800324968361</v>
      </c>
      <c r="H67" s="54">
        <v>39</v>
      </c>
      <c r="I67" s="54">
        <v>0.72852476666666677</v>
      </c>
      <c r="J67" s="54">
        <v>17.298376666666702</v>
      </c>
      <c r="K67" s="54">
        <v>40.0625</v>
      </c>
      <c r="L67" s="54">
        <v>68.875316795737845</v>
      </c>
      <c r="M67" s="54">
        <v>73.69739848183319</v>
      </c>
      <c r="N67" s="53">
        <v>22.869375327810527</v>
      </c>
      <c r="O67" s="54">
        <v>80.778548212989222</v>
      </c>
      <c r="P67" s="54">
        <v>22.643409102248139</v>
      </c>
      <c r="Q67" s="53">
        <v>1.17E-2</v>
      </c>
      <c r="R67" s="52">
        <f>103.73-101.07</f>
        <v>2.6600000000000108</v>
      </c>
      <c r="S67" s="53">
        <f>(Q67/K67)*1000000</f>
        <v>292.04368174726989</v>
      </c>
      <c r="T67" s="53">
        <v>64</v>
      </c>
      <c r="U67" s="53">
        <f>37.8+39.3</f>
        <v>77.099999999999994</v>
      </c>
      <c r="V67" s="53">
        <v>221.8</v>
      </c>
      <c r="W67" s="53">
        <v>115.64</v>
      </c>
      <c r="X67" s="53">
        <v>15.238095238095237</v>
      </c>
    </row>
    <row r="68" spans="1:24" x14ac:dyDescent="0.3">
      <c r="A68" s="54" t="s">
        <v>97</v>
      </c>
      <c r="B68" s="53">
        <v>7</v>
      </c>
      <c r="C68" s="54">
        <v>7</v>
      </c>
      <c r="D68" s="52">
        <v>12.15</v>
      </c>
      <c r="E68" s="52">
        <v>4</v>
      </c>
      <c r="F68" s="54">
        <v>0.42</v>
      </c>
      <c r="G68" s="54">
        <v>183.2172957127153</v>
      </c>
      <c r="H68" s="54">
        <v>26</v>
      </c>
      <c r="I68" s="54">
        <v>0.76785043333333336</v>
      </c>
      <c r="J68" s="54">
        <v>13.9272166666667</v>
      </c>
      <c r="K68" s="54">
        <v>49.5625</v>
      </c>
      <c r="L68" s="54">
        <v>100.44676265148409</v>
      </c>
      <c r="M68" s="54">
        <v>54.02485143165859</v>
      </c>
      <c r="N68" s="54">
        <v>22.87123879681344</v>
      </c>
      <c r="O68" s="54">
        <v>57.700861530634434</v>
      </c>
      <c r="P68" s="54">
        <v>21.287532516063688</v>
      </c>
      <c r="Q68" s="53">
        <v>1.18701E-2</v>
      </c>
      <c r="R68" s="53">
        <f>101.6-98.5</f>
        <v>3.0999999999999943</v>
      </c>
      <c r="S68" s="53">
        <f>(Q68/K68)*1000000</f>
        <v>239.49760403530894</v>
      </c>
      <c r="T68" s="53">
        <v>65</v>
      </c>
      <c r="U68" s="53">
        <f>41.4+39.1</f>
        <v>80.5</v>
      </c>
      <c r="V68" s="53">
        <v>231.33</v>
      </c>
      <c r="W68" s="53">
        <v>107.7</v>
      </c>
      <c r="X68" s="53">
        <v>14.193548387096774</v>
      </c>
    </row>
    <row r="69" spans="1:24" x14ac:dyDescent="0.3">
      <c r="A69" s="54" t="s">
        <v>99</v>
      </c>
      <c r="B69" s="53">
        <v>7</v>
      </c>
      <c r="C69" s="54">
        <v>7</v>
      </c>
      <c r="D69" s="52">
        <v>12.2</v>
      </c>
      <c r="E69" s="52">
        <v>4</v>
      </c>
      <c r="F69" s="54">
        <v>0.4</v>
      </c>
      <c r="G69" s="54">
        <v>150.3759398496239</v>
      </c>
      <c r="H69" s="54">
        <v>25</v>
      </c>
      <c r="I69" s="54">
        <v>0.86486243333333312</v>
      </c>
      <c r="J69" s="54">
        <v>18.934626666666698</v>
      </c>
      <c r="K69" s="54">
        <v>52.75</v>
      </c>
      <c r="L69" s="54">
        <v>98.195388400995199</v>
      </c>
      <c r="M69" s="54">
        <v>53.89</v>
      </c>
      <c r="N69" s="54">
        <v>30.22682040081289</v>
      </c>
      <c r="O69" s="54">
        <v>57.853002438777942</v>
      </c>
      <c r="P69" s="54">
        <v>25.401948851858794</v>
      </c>
      <c r="Q69" s="53">
        <v>1.2354499999999999E-2</v>
      </c>
      <c r="R69" s="54">
        <v>0.01</v>
      </c>
      <c r="S69" s="53">
        <f>(Q69/K69)*1000000</f>
        <v>234.20853080568719</v>
      </c>
      <c r="T69" s="53">
        <v>64.5</v>
      </c>
      <c r="U69" s="53">
        <f>26+46.5</f>
        <v>72.5</v>
      </c>
      <c r="V69" s="53">
        <v>180.7</v>
      </c>
      <c r="W69" s="53">
        <v>87.9</v>
      </c>
      <c r="X69" s="53">
        <v>15.65217391304348</v>
      </c>
    </row>
    <row r="70" spans="1:24" x14ac:dyDescent="0.3">
      <c r="A70" s="54" t="s">
        <v>101</v>
      </c>
      <c r="B70" s="53">
        <v>7</v>
      </c>
      <c r="C70" s="54">
        <v>7</v>
      </c>
      <c r="D70" s="52">
        <v>12.25</v>
      </c>
      <c r="E70" s="52">
        <v>4</v>
      </c>
      <c r="F70" s="54">
        <v>0.8</v>
      </c>
      <c r="G70" s="54">
        <v>175.43859649122751</v>
      </c>
      <c r="H70" s="54">
        <v>41</v>
      </c>
      <c r="I70" s="54">
        <v>0.58078639534883736</v>
      </c>
      <c r="J70" s="54">
        <v>18.061081395348801</v>
      </c>
      <c r="K70" s="54">
        <v>21.643750000000001</v>
      </c>
      <c r="L70" s="54">
        <v>60.243240097915617</v>
      </c>
      <c r="M70" s="54">
        <v>80.276149955848155</v>
      </c>
      <c r="N70" s="54">
        <v>25.503106126382363</v>
      </c>
      <c r="O70" s="54">
        <v>82.820069210880348</v>
      </c>
      <c r="P70" s="54">
        <v>22.465448417811601</v>
      </c>
      <c r="Q70" s="53">
        <v>1.28363E-2</v>
      </c>
      <c r="R70" s="54">
        <f>86.66-84.1</f>
        <v>2.5600000000000023</v>
      </c>
      <c r="S70" s="53">
        <f>(Q70/K70)*1000000</f>
        <v>593.07190297429975</v>
      </c>
      <c r="T70" s="53">
        <v>65</v>
      </c>
      <c r="U70" s="53">
        <f>44.1+36.1</f>
        <v>80.2</v>
      </c>
      <c r="V70" s="53">
        <v>333.92</v>
      </c>
      <c r="W70" s="53">
        <v>163.19999999999999</v>
      </c>
      <c r="X70" s="53">
        <v>13.461538461538462</v>
      </c>
    </row>
    <row r="71" spans="1:24" x14ac:dyDescent="0.3">
      <c r="A71" s="54" t="s">
        <v>104</v>
      </c>
      <c r="B71" s="53">
        <v>7</v>
      </c>
      <c r="C71" s="54">
        <v>7</v>
      </c>
      <c r="D71" s="52">
        <v>12.3</v>
      </c>
      <c r="E71" s="52">
        <v>4</v>
      </c>
      <c r="F71" s="54">
        <v>1.3</v>
      </c>
      <c r="G71" s="54">
        <v>185.56318426424161</v>
      </c>
      <c r="H71" s="54">
        <v>34</v>
      </c>
      <c r="I71" s="54">
        <v>0.67242964102564085</v>
      </c>
      <c r="J71" s="54">
        <v>14.0208717948718</v>
      </c>
      <c r="K71" s="54">
        <v>19.1875</v>
      </c>
      <c r="L71" s="54">
        <v>86.423045034207206</v>
      </c>
      <c r="M71" s="54">
        <v>67.006164567140274</v>
      </c>
      <c r="N71" s="54">
        <v>26.989727009542765</v>
      </c>
      <c r="O71" s="54">
        <v>67.006164567140274</v>
      </c>
      <c r="P71" s="54">
        <v>19.450197253228868</v>
      </c>
      <c r="Q71" s="53">
        <v>1.1466499999999999E-2</v>
      </c>
      <c r="R71" s="54">
        <v>0.01</v>
      </c>
      <c r="S71" s="53">
        <f>(Q71/K71)*1000000</f>
        <v>597.60260586319214</v>
      </c>
      <c r="T71" s="53">
        <v>62</v>
      </c>
      <c r="U71" s="53">
        <f>19.1+46.3</f>
        <v>65.400000000000006</v>
      </c>
      <c r="V71" s="53">
        <v>204.8</v>
      </c>
      <c r="W71" s="53">
        <v>105.6</v>
      </c>
      <c r="X71" s="53">
        <v>12.558139534883779</v>
      </c>
    </row>
    <row r="72" spans="1:24" x14ac:dyDescent="0.3">
      <c r="A72" s="54" t="s">
        <v>108</v>
      </c>
      <c r="B72" s="53">
        <v>7</v>
      </c>
      <c r="C72" s="54">
        <v>6</v>
      </c>
      <c r="D72" s="52">
        <v>12.4</v>
      </c>
      <c r="E72" s="52">
        <v>4</v>
      </c>
      <c r="F72" s="54">
        <v>1.1000000000000001</v>
      </c>
      <c r="G72" s="54">
        <v>216.73168617251821</v>
      </c>
      <c r="H72" s="54">
        <v>46</v>
      </c>
      <c r="I72" s="54">
        <v>0.71984819999999994</v>
      </c>
      <c r="J72" s="54">
        <v>8.6685266666666703</v>
      </c>
      <c r="K72" s="54">
        <v>26.306249999999999</v>
      </c>
      <c r="L72" s="54">
        <v>77.113743673654596</v>
      </c>
      <c r="M72" s="54">
        <v>97.751710654936829</v>
      </c>
      <c r="N72" s="54">
        <v>30.674949015894903</v>
      </c>
      <c r="O72" s="54">
        <v>93.552364752586897</v>
      </c>
      <c r="P72" s="54">
        <v>26.489868525839825</v>
      </c>
      <c r="Q72" s="54">
        <v>1.5702600000000001E-2</v>
      </c>
      <c r="R72" s="53">
        <f>84.64-84.11</f>
        <v>0.53000000000000114</v>
      </c>
      <c r="S72" s="53">
        <f t="shared" ref="S72:S103" si="4">(Q72/K72)*1000000</f>
        <v>596.91518175338558</v>
      </c>
      <c r="T72" s="53">
        <v>62</v>
      </c>
      <c r="U72" s="53">
        <f>37.4+29.5</f>
        <v>66.900000000000006</v>
      </c>
      <c r="V72" s="53">
        <v>170</v>
      </c>
      <c r="W72" s="53">
        <v>102.4</v>
      </c>
      <c r="X72" s="53">
        <v>15.600000000000062</v>
      </c>
    </row>
    <row r="73" spans="1:24" x14ac:dyDescent="0.3">
      <c r="A73" s="54" t="s">
        <v>114</v>
      </c>
      <c r="B73" s="53">
        <v>7</v>
      </c>
      <c r="C73" s="54">
        <v>7</v>
      </c>
      <c r="D73" s="52">
        <v>12.55</v>
      </c>
      <c r="E73" s="52">
        <v>4</v>
      </c>
      <c r="F73" s="54">
        <v>0.4</v>
      </c>
      <c r="G73" s="54">
        <v>163.61256544502629</v>
      </c>
      <c r="H73" s="54">
        <v>35</v>
      </c>
      <c r="I73" s="54">
        <v>0.95615986666666664</v>
      </c>
      <c r="J73" s="54">
        <v>14.080819999999999</v>
      </c>
      <c r="K73" s="54">
        <v>38.733333333333327</v>
      </c>
      <c r="L73" s="54">
        <v>85.327853862077205</v>
      </c>
      <c r="M73" s="54">
        <v>65.997888067582139</v>
      </c>
      <c r="N73" s="54">
        <v>30.113098948903222</v>
      </c>
      <c r="O73" s="54">
        <v>71.917693251181731</v>
      </c>
      <c r="P73" s="54">
        <v>23.95046292006754</v>
      </c>
      <c r="Q73" s="53">
        <v>1.6097299999999998E-2</v>
      </c>
      <c r="R73" s="53">
        <f>103.67-100.4</f>
        <v>3.269999999999996</v>
      </c>
      <c r="S73" s="53">
        <f t="shared" si="4"/>
        <v>415.59294320137695</v>
      </c>
      <c r="T73" s="53">
        <v>60</v>
      </c>
      <c r="U73" s="53">
        <f>25.6+39.1</f>
        <v>64.7</v>
      </c>
      <c r="V73" s="53">
        <v>137.5</v>
      </c>
      <c r="W73" s="53">
        <v>77.400000000000006</v>
      </c>
      <c r="X73" s="53">
        <v>16.875</v>
      </c>
    </row>
    <row r="74" spans="1:24" x14ac:dyDescent="0.3">
      <c r="A74" s="54" t="s">
        <v>116</v>
      </c>
      <c r="B74" s="53">
        <v>7</v>
      </c>
      <c r="C74" s="54">
        <v>7</v>
      </c>
      <c r="D74" s="52">
        <v>12.6</v>
      </c>
      <c r="E74" s="52">
        <v>4</v>
      </c>
      <c r="F74" s="54">
        <v>0.2</v>
      </c>
      <c r="G74" s="54">
        <v>114.968958381237</v>
      </c>
      <c r="H74" s="54">
        <v>26</v>
      </c>
      <c r="I74" s="54">
        <v>1.2990516666666669</v>
      </c>
      <c r="J74" s="54">
        <v>16.776533333333301</v>
      </c>
      <c r="K74" s="54">
        <v>120.4666666666667</v>
      </c>
      <c r="L74" s="54">
        <v>71.061736718958855</v>
      </c>
      <c r="M74" s="54">
        <v>51.075131518463643</v>
      </c>
      <c r="N74" s="54">
        <v>27.880335760043426</v>
      </c>
      <c r="O74" s="54">
        <v>52.784731460426613</v>
      </c>
      <c r="P74" s="54">
        <v>24.939096556705302</v>
      </c>
      <c r="Q74" s="54">
        <v>2.0426300000000001E-2</v>
      </c>
      <c r="R74" s="53">
        <f>135.04-130.05</f>
        <v>4.9899999999999807</v>
      </c>
      <c r="S74" s="53">
        <f t="shared" si="4"/>
        <v>169.5597675705589</v>
      </c>
      <c r="T74" s="53">
        <v>67</v>
      </c>
      <c r="U74" s="53">
        <f>19.2+37.7</f>
        <v>56.900000000000006</v>
      </c>
      <c r="V74" s="53">
        <v>102.3</v>
      </c>
      <c r="W74" s="53">
        <v>49.8</v>
      </c>
      <c r="X74" s="53">
        <v>15.714285714285714</v>
      </c>
    </row>
    <row r="75" spans="1:24" x14ac:dyDescent="0.3">
      <c r="A75" s="54" t="s">
        <v>118</v>
      </c>
      <c r="B75" s="53">
        <v>7</v>
      </c>
      <c r="C75" s="54">
        <v>7</v>
      </c>
      <c r="D75" s="52">
        <v>12.65</v>
      </c>
      <c r="E75" s="52">
        <v>4</v>
      </c>
      <c r="F75" s="54">
        <v>0.35</v>
      </c>
      <c r="G75" s="54">
        <v>164.7717910693685</v>
      </c>
      <c r="H75" s="54">
        <v>27</v>
      </c>
      <c r="I75" s="54">
        <v>1.0104812999999999</v>
      </c>
      <c r="J75" s="54">
        <v>10.576370000000001</v>
      </c>
      <c r="K75" s="54">
        <v>42.8</v>
      </c>
      <c r="L75" s="54">
        <v>65.842252845880168</v>
      </c>
      <c r="M75" s="54">
        <v>47.621315300728547</v>
      </c>
      <c r="N75" s="54">
        <v>16.543137713990237</v>
      </c>
      <c r="O75" s="54">
        <v>55.92547027312304</v>
      </c>
      <c r="P75" s="54">
        <v>10.847762614333048</v>
      </c>
      <c r="Q75" s="53">
        <v>1.3561699999999999E-2</v>
      </c>
      <c r="R75" s="54">
        <f>108.063-103.129</f>
        <v>4.9339999999999975</v>
      </c>
      <c r="S75" s="53">
        <f t="shared" si="4"/>
        <v>316.86214953271025</v>
      </c>
      <c r="T75" s="53">
        <v>62</v>
      </c>
      <c r="U75" s="53">
        <f>44.3+31.8</f>
        <v>76.099999999999994</v>
      </c>
      <c r="V75" s="53">
        <v>182.3</v>
      </c>
      <c r="W75" s="53">
        <v>74.599999999999994</v>
      </c>
      <c r="X75" s="53">
        <v>10.303030303030303</v>
      </c>
    </row>
    <row r="76" spans="1:24" x14ac:dyDescent="0.3">
      <c r="A76" s="54" t="s">
        <v>120</v>
      </c>
      <c r="B76" s="53">
        <v>7</v>
      </c>
      <c r="C76" s="67">
        <v>6</v>
      </c>
      <c r="D76" s="52">
        <v>12.7</v>
      </c>
      <c r="E76" s="52">
        <v>4</v>
      </c>
      <c r="F76" s="67">
        <v>0.2</v>
      </c>
      <c r="G76" s="67">
        <v>114.2074006395614</v>
      </c>
      <c r="H76" s="67">
        <v>23</v>
      </c>
      <c r="I76" s="67">
        <v>1.1067776666666671</v>
      </c>
      <c r="J76" s="67">
        <v>5.6448852272727299</v>
      </c>
      <c r="K76" s="67">
        <v>81.333333333333343</v>
      </c>
      <c r="L76" s="67">
        <v>82.23745434577809</v>
      </c>
      <c r="M76" s="67">
        <v>41.946308724832363</v>
      </c>
      <c r="N76" s="67">
        <v>30.681951089650415</v>
      </c>
      <c r="O76" s="67">
        <v>46.880569057845719</v>
      </c>
      <c r="P76" s="67">
        <v>25.439276808248259</v>
      </c>
      <c r="Q76" s="67">
        <v>1.7289599999999999E-2</v>
      </c>
      <c r="R76" s="64">
        <f>118.08-108.66</f>
        <v>9.4200000000000017</v>
      </c>
      <c r="S76" s="53">
        <f t="shared" si="4"/>
        <v>212.57704918032783</v>
      </c>
      <c r="T76" s="68">
        <v>60</v>
      </c>
      <c r="U76" s="53">
        <f>36.8+44.7</f>
        <v>81.5</v>
      </c>
      <c r="V76" s="68">
        <v>159.9</v>
      </c>
      <c r="W76" s="53">
        <v>81.099999999999994</v>
      </c>
      <c r="X76" s="53">
        <v>14.615384615384617</v>
      </c>
    </row>
    <row r="77" spans="1:24" x14ac:dyDescent="0.3">
      <c r="A77" s="54" t="s">
        <v>122</v>
      </c>
      <c r="B77" s="53">
        <v>7</v>
      </c>
      <c r="C77" s="67">
        <v>6</v>
      </c>
      <c r="D77" s="52">
        <v>12.75</v>
      </c>
      <c r="E77" s="52">
        <v>4</v>
      </c>
      <c r="F77" s="67">
        <v>1.25</v>
      </c>
      <c r="G77" s="67">
        <v>98.54158454867958</v>
      </c>
      <c r="H77" s="67">
        <v>19</v>
      </c>
      <c r="I77" s="67">
        <v>0.89301147999999986</v>
      </c>
      <c r="J77" s="67">
        <v>3.1470712328767099</v>
      </c>
      <c r="K77" s="67">
        <v>20.8</v>
      </c>
      <c r="L77" s="67">
        <v>115.9779020670932</v>
      </c>
      <c r="M77" s="67">
        <v>35.560613064969118</v>
      </c>
      <c r="N77" s="67">
        <v>36.253889483355238</v>
      </c>
      <c r="O77" s="67">
        <v>39.691355721737629</v>
      </c>
      <c r="P77" s="64">
        <v>25.660464041669705</v>
      </c>
      <c r="Q77" s="67">
        <v>7.0925600000000004E-3</v>
      </c>
      <c r="R77" s="67">
        <f>86.91-85.485</f>
        <v>1.4249999999999972</v>
      </c>
      <c r="S77" s="53">
        <f t="shared" si="4"/>
        <v>340.98846153846154</v>
      </c>
      <c r="T77" s="69">
        <v>67</v>
      </c>
      <c r="U77" s="53">
        <f>28.1+40.9</f>
        <v>69</v>
      </c>
      <c r="V77" s="68">
        <v>148.4</v>
      </c>
      <c r="W77" s="53">
        <v>73.3</v>
      </c>
      <c r="X77" s="53">
        <v>18.571428571428573</v>
      </c>
    </row>
    <row r="78" spans="1:24" x14ac:dyDescent="0.3">
      <c r="A78" s="54" t="s">
        <v>124</v>
      </c>
      <c r="B78" s="53">
        <v>7</v>
      </c>
      <c r="C78" s="67"/>
      <c r="D78" s="52">
        <v>12.8</v>
      </c>
      <c r="E78" s="52">
        <v>4</v>
      </c>
      <c r="F78" s="67">
        <v>0.1</v>
      </c>
      <c r="G78" s="67">
        <v>116.85</v>
      </c>
      <c r="H78" s="67">
        <v>20</v>
      </c>
      <c r="I78" s="67">
        <v>1.5</v>
      </c>
      <c r="J78" s="67">
        <v>24.305566666666699</v>
      </c>
      <c r="K78" s="67">
        <v>190</v>
      </c>
      <c r="L78" s="67">
        <v>108.61</v>
      </c>
      <c r="M78" s="67">
        <v>41.088000000000001</v>
      </c>
      <c r="N78" s="67">
        <v>30.831106823316134</v>
      </c>
      <c r="O78" s="67">
        <v>41.17591389968139</v>
      </c>
      <c r="P78" s="67">
        <v>31.157964854723062</v>
      </c>
      <c r="Q78" s="67">
        <v>3.8369E-2</v>
      </c>
      <c r="R78" s="64">
        <f>104.7-102.9</f>
        <v>1.7999999999999972</v>
      </c>
      <c r="S78" s="53">
        <f t="shared" si="4"/>
        <v>201.94210526315791</v>
      </c>
      <c r="T78" s="61">
        <v>67.5</v>
      </c>
      <c r="U78" s="60">
        <f>52+28.5</f>
        <v>80.5</v>
      </c>
      <c r="V78" s="61">
        <v>173.6</v>
      </c>
      <c r="W78" s="61">
        <v>51.7</v>
      </c>
      <c r="X78" s="53">
        <v>18.666666666666668</v>
      </c>
    </row>
    <row r="79" spans="1:24" x14ac:dyDescent="0.3">
      <c r="A79" s="54" t="s">
        <v>126</v>
      </c>
      <c r="B79" s="53">
        <v>7</v>
      </c>
      <c r="C79" s="54">
        <v>7</v>
      </c>
      <c r="D79" s="52">
        <v>12.9</v>
      </c>
      <c r="E79" s="52">
        <v>4</v>
      </c>
      <c r="F79" s="54">
        <v>0.83</v>
      </c>
      <c r="G79" s="54">
        <v>141.26289023873468</v>
      </c>
      <c r="H79" s="54">
        <v>23</v>
      </c>
      <c r="I79" s="54">
        <v>0.90130440909090903</v>
      </c>
      <c r="J79" s="54">
        <v>11.599449999999999</v>
      </c>
      <c r="K79" s="54">
        <v>44.4</v>
      </c>
      <c r="L79" s="54">
        <v>72.483577477489817</v>
      </c>
      <c r="M79" s="54">
        <v>52.350539210553933</v>
      </c>
      <c r="N79" s="54">
        <v>17.16325957077429</v>
      </c>
      <c r="O79" s="54">
        <v>48.678110694203731</v>
      </c>
      <c r="P79" s="54">
        <v>16.641200481271596</v>
      </c>
      <c r="Q79" s="54">
        <v>7.8779000000000002E-3</v>
      </c>
      <c r="R79" s="54">
        <f>97.07-93.6</f>
        <v>3.4699999999999989</v>
      </c>
      <c r="S79" s="53">
        <f t="shared" si="4"/>
        <v>177.4301801801802</v>
      </c>
      <c r="T79" s="61">
        <v>65</v>
      </c>
      <c r="U79" s="60">
        <f>41.2+32.2</f>
        <v>73.400000000000006</v>
      </c>
      <c r="V79" s="61">
        <v>184.3</v>
      </c>
      <c r="W79" s="61">
        <v>79.8</v>
      </c>
      <c r="X79" s="53">
        <v>9.7142857142857135</v>
      </c>
    </row>
    <row r="80" spans="1:24" x14ac:dyDescent="0.3">
      <c r="A80" s="62" t="s">
        <v>128</v>
      </c>
      <c r="B80" s="53">
        <v>7</v>
      </c>
      <c r="C80" s="70">
        <v>7</v>
      </c>
      <c r="D80" s="52">
        <v>12.95</v>
      </c>
      <c r="E80" s="52">
        <v>4</v>
      </c>
      <c r="F80" s="70">
        <v>1.2</v>
      </c>
      <c r="G80" s="53">
        <v>109.22992900054614</v>
      </c>
      <c r="H80" s="53">
        <v>23</v>
      </c>
      <c r="I80" s="53">
        <v>1.1050270000000002</v>
      </c>
      <c r="J80" s="53">
        <v>12.4587915</v>
      </c>
      <c r="K80" s="53">
        <v>31.9</v>
      </c>
      <c r="L80" s="53">
        <v>67.652128902234793</v>
      </c>
      <c r="M80" s="53">
        <v>39.3391030684501</v>
      </c>
      <c r="N80" s="53">
        <v>23.230123596285377</v>
      </c>
      <c r="O80" s="53">
        <v>47.551293926584236</v>
      </c>
      <c r="P80" s="53">
        <v>17.629799579594916</v>
      </c>
      <c r="Q80" s="53">
        <v>1.46975E-2</v>
      </c>
      <c r="R80" s="53">
        <f>112.82-111.58</f>
        <v>1.2399999999999949</v>
      </c>
      <c r="S80" s="53">
        <f t="shared" si="4"/>
        <v>460.7366771159875</v>
      </c>
      <c r="T80" s="61">
        <v>68.900000000000006</v>
      </c>
      <c r="U80" s="53">
        <v>68.829340000000002</v>
      </c>
      <c r="V80" s="61">
        <v>142.44</v>
      </c>
      <c r="W80" s="61">
        <v>72.28</v>
      </c>
      <c r="X80" s="53">
        <v>11.428571428571429</v>
      </c>
    </row>
    <row r="81" spans="1:24" x14ac:dyDescent="0.3">
      <c r="A81" s="62" t="s">
        <v>130</v>
      </c>
      <c r="B81" s="53">
        <v>7</v>
      </c>
      <c r="C81" s="62">
        <v>6</v>
      </c>
      <c r="D81" s="52">
        <v>13</v>
      </c>
      <c r="E81" s="52">
        <v>4</v>
      </c>
      <c r="F81" s="70">
        <v>0.46400000000000002</v>
      </c>
      <c r="G81" s="53">
        <v>143.51320321469538</v>
      </c>
      <c r="H81" s="53">
        <v>31</v>
      </c>
      <c r="I81" s="53">
        <v>0.846531148148148</v>
      </c>
      <c r="J81" s="53">
        <v>13.262718518518501</v>
      </c>
      <c r="K81" s="61">
        <v>33</v>
      </c>
      <c r="L81" s="53">
        <v>50.179780371946407</v>
      </c>
      <c r="M81" s="53">
        <v>61.57256326580881</v>
      </c>
      <c r="N81" s="53">
        <v>20.818327162915494</v>
      </c>
      <c r="O81" s="53">
        <v>64.662820911261292</v>
      </c>
      <c r="P81" s="53">
        <v>19.413446343700667</v>
      </c>
      <c r="Q81" s="53">
        <v>1.37374E-2</v>
      </c>
      <c r="R81" s="53">
        <f>96.04-94.41</f>
        <v>1.6300000000000097</v>
      </c>
      <c r="S81" s="53">
        <f t="shared" si="4"/>
        <v>416.28484848484851</v>
      </c>
      <c r="T81" s="61">
        <v>62.8</v>
      </c>
      <c r="U81" s="53">
        <v>64.163762962962949</v>
      </c>
      <c r="V81" s="61">
        <v>171.3</v>
      </c>
      <c r="W81" s="61">
        <v>89.4</v>
      </c>
      <c r="X81" s="53">
        <v>10</v>
      </c>
    </row>
    <row r="82" spans="1:24" x14ac:dyDescent="0.3">
      <c r="A82" s="62" t="s">
        <v>132</v>
      </c>
      <c r="B82" s="53">
        <v>7</v>
      </c>
      <c r="C82" s="62">
        <v>6</v>
      </c>
      <c r="D82" s="52">
        <v>13.05</v>
      </c>
      <c r="E82" s="52">
        <v>4</v>
      </c>
      <c r="F82" s="70">
        <v>0.55000000000000004</v>
      </c>
      <c r="G82" s="53">
        <v>87.519691930684502</v>
      </c>
      <c r="H82" s="53">
        <v>17</v>
      </c>
      <c r="I82" s="53">
        <v>1.1858865517241381</v>
      </c>
      <c r="J82" s="53">
        <v>6.0382689655172399</v>
      </c>
      <c r="K82" s="53">
        <v>44.3</v>
      </c>
      <c r="L82" s="53">
        <v>152.2585688050498</v>
      </c>
      <c r="M82" s="53">
        <v>31.213908917813743</v>
      </c>
      <c r="N82" s="53">
        <v>45.917628188302146</v>
      </c>
      <c r="O82" s="53">
        <v>35.312593030162773</v>
      </c>
      <c r="P82" s="53">
        <v>38.423185378136623</v>
      </c>
      <c r="Q82" s="53">
        <v>1.6027799999999998E-2</v>
      </c>
      <c r="R82" s="53">
        <f>101.02-99.34</f>
        <v>1.6799999999999926</v>
      </c>
      <c r="S82" s="53">
        <f t="shared" si="4"/>
        <v>361.80135440180584</v>
      </c>
      <c r="T82" s="61">
        <v>68.5</v>
      </c>
      <c r="U82" s="53">
        <v>66.244193103448282</v>
      </c>
      <c r="V82" s="61">
        <v>150.4</v>
      </c>
      <c r="W82" s="61">
        <v>61.6</v>
      </c>
      <c r="X82" s="53">
        <v>22</v>
      </c>
    </row>
    <row r="83" spans="1:24" x14ac:dyDescent="0.3">
      <c r="A83" s="62" t="s">
        <v>134</v>
      </c>
      <c r="B83" s="53">
        <v>7</v>
      </c>
      <c r="C83" s="62">
        <v>6</v>
      </c>
      <c r="D83" s="52">
        <v>13.1</v>
      </c>
      <c r="E83" s="52">
        <v>4</v>
      </c>
      <c r="F83" s="70">
        <v>0.4</v>
      </c>
      <c r="G83" s="53">
        <v>100.90817356205856</v>
      </c>
      <c r="H83" s="53">
        <v>21</v>
      </c>
      <c r="I83" s="53">
        <v>0.91222379310344814</v>
      </c>
      <c r="J83" s="53">
        <v>14.086499999999999</v>
      </c>
      <c r="K83" s="53">
        <v>55</v>
      </c>
      <c r="L83" s="53">
        <v>98.291111882695006</v>
      </c>
      <c r="M83" s="53">
        <v>40.746475429875453</v>
      </c>
      <c r="N83" s="53">
        <v>35.209879244806388</v>
      </c>
      <c r="O83" s="53">
        <v>42.106713529987445</v>
      </c>
      <c r="P83" s="53">
        <v>32.656087778006849</v>
      </c>
      <c r="Q83" s="53">
        <v>1.41853E-2</v>
      </c>
      <c r="R83" s="53">
        <f>115-113</f>
        <v>2</v>
      </c>
      <c r="S83" s="53">
        <f t="shared" si="4"/>
        <v>257.91454545454548</v>
      </c>
      <c r="T83" s="61">
        <v>70.53</v>
      </c>
      <c r="U83" s="53">
        <v>73.446337931034492</v>
      </c>
      <c r="V83" s="61">
        <v>211</v>
      </c>
      <c r="W83" s="61">
        <v>87.9</v>
      </c>
      <c r="X83" s="53">
        <v>20</v>
      </c>
    </row>
    <row r="84" spans="1:24" x14ac:dyDescent="0.3">
      <c r="A84" s="62" t="s">
        <v>136</v>
      </c>
      <c r="B84" s="53">
        <v>7</v>
      </c>
      <c r="C84" s="62">
        <v>7</v>
      </c>
      <c r="D84" s="52">
        <v>13.15</v>
      </c>
      <c r="E84" s="52">
        <v>4</v>
      </c>
      <c r="F84" s="70">
        <v>0.76</v>
      </c>
      <c r="G84" s="53">
        <v>179.6622349982033</v>
      </c>
      <c r="H84" s="53">
        <v>45</v>
      </c>
      <c r="I84" s="53">
        <v>0.7313647692307691</v>
      </c>
      <c r="J84" s="53">
        <v>18.956088461538499</v>
      </c>
      <c r="K84" s="53">
        <v>29.3</v>
      </c>
      <c r="L84" s="53">
        <v>45.272110809534702</v>
      </c>
      <c r="M84" s="53">
        <v>80.860354168350767</v>
      </c>
      <c r="N84" s="53">
        <v>21.799142906487415</v>
      </c>
      <c r="O84" s="53">
        <v>93.249035243560101</v>
      </c>
      <c r="P84" s="53">
        <v>16.73432770241239</v>
      </c>
      <c r="Q84" s="53">
        <v>1.3153099999999999E-2</v>
      </c>
      <c r="R84" s="53">
        <f>93.002-89.035</f>
        <v>3.9669999999999987</v>
      </c>
      <c r="S84" s="53">
        <f t="shared" si="4"/>
        <v>448.91126279863477</v>
      </c>
      <c r="T84" s="61">
        <v>66.099999999999994</v>
      </c>
      <c r="U84" s="53">
        <v>62.619723076923066</v>
      </c>
      <c r="V84" s="61">
        <v>163.1</v>
      </c>
      <c r="W84" s="61">
        <v>102.3</v>
      </c>
      <c r="X84" s="53">
        <v>10.526315789473683</v>
      </c>
    </row>
    <row r="85" spans="1:24" x14ac:dyDescent="0.3">
      <c r="A85" s="62" t="s">
        <v>138</v>
      </c>
      <c r="B85" s="53">
        <v>7</v>
      </c>
      <c r="C85" s="62">
        <v>7</v>
      </c>
      <c r="D85" s="52">
        <v>13.2</v>
      </c>
      <c r="E85" s="52">
        <v>4</v>
      </c>
      <c r="F85" s="69">
        <v>0.75</v>
      </c>
      <c r="G85" s="53">
        <v>146.77821811243174</v>
      </c>
      <c r="H85" s="53">
        <v>33</v>
      </c>
      <c r="I85" s="53">
        <v>0.70781695000000011</v>
      </c>
      <c r="J85" s="53">
        <v>17.611695000000001</v>
      </c>
      <c r="K85" s="53">
        <v>24.1</v>
      </c>
      <c r="L85" s="53">
        <v>54.171440556872362</v>
      </c>
      <c r="M85" s="53">
        <v>59.241706161137458</v>
      </c>
      <c r="N85" s="53">
        <v>23.764951869885202</v>
      </c>
      <c r="O85" s="53">
        <v>65.428318405240162</v>
      </c>
      <c r="P85" s="53">
        <v>21.064610075636583</v>
      </c>
      <c r="Q85" s="53">
        <v>1.4778700000000001E-2</v>
      </c>
      <c r="R85" s="53">
        <f>90.52-86.56</f>
        <v>3.9599999999999937</v>
      </c>
      <c r="S85" s="53">
        <f t="shared" si="4"/>
        <v>613.22406639004146</v>
      </c>
      <c r="T85" s="61">
        <v>66.8</v>
      </c>
      <c r="U85" s="53">
        <v>70.703130000000002</v>
      </c>
      <c r="V85" s="61">
        <v>202.8</v>
      </c>
      <c r="W85" s="61">
        <v>116.7</v>
      </c>
      <c r="X85" s="53">
        <v>12.272727272727272</v>
      </c>
    </row>
    <row r="86" spans="1:24" x14ac:dyDescent="0.3">
      <c r="A86" s="62" t="s">
        <v>140</v>
      </c>
      <c r="B86" s="53">
        <v>7</v>
      </c>
      <c r="C86" s="62">
        <v>7</v>
      </c>
      <c r="D86" s="52">
        <v>13.25</v>
      </c>
      <c r="E86" s="52">
        <v>4</v>
      </c>
      <c r="F86" s="69">
        <v>1.2</v>
      </c>
      <c r="G86" s="53">
        <v>179.9532121648366</v>
      </c>
      <c r="H86" s="53">
        <v>35</v>
      </c>
      <c r="I86" s="53">
        <v>0.76865976923076929</v>
      </c>
      <c r="J86" s="53">
        <v>12.6342615384615</v>
      </c>
      <c r="K86" s="61">
        <v>27</v>
      </c>
      <c r="L86" s="53">
        <v>55.735142364164311</v>
      </c>
      <c r="M86" s="53">
        <v>62.640942119769711</v>
      </c>
      <c r="N86" s="53">
        <v>19.140205596151642</v>
      </c>
      <c r="O86" s="53">
        <v>72.293411299425642</v>
      </c>
      <c r="P86" s="53">
        <v>15.049868747388709</v>
      </c>
      <c r="Q86" s="53">
        <v>9.0756499999999993E-3</v>
      </c>
      <c r="R86" s="53">
        <f>94.36-91.112</f>
        <v>3.2480000000000047</v>
      </c>
      <c r="S86" s="53">
        <f t="shared" si="4"/>
        <v>336.13518518518515</v>
      </c>
      <c r="T86" s="61">
        <v>66.7</v>
      </c>
      <c r="U86" s="61">
        <v>64.040000000000006</v>
      </c>
      <c r="V86" s="61">
        <v>172.2</v>
      </c>
      <c r="W86" s="61">
        <v>100.7</v>
      </c>
      <c r="X86" s="53">
        <v>9</v>
      </c>
    </row>
    <row r="87" spans="1:24" x14ac:dyDescent="0.3">
      <c r="A87" s="62" t="s">
        <v>142</v>
      </c>
      <c r="B87" s="53">
        <v>7</v>
      </c>
      <c r="C87" s="62">
        <v>7</v>
      </c>
      <c r="D87" s="52">
        <v>13.3</v>
      </c>
      <c r="E87" s="52">
        <v>4</v>
      </c>
      <c r="F87" s="69">
        <v>1</v>
      </c>
      <c r="G87" s="53">
        <v>171.26220243192333</v>
      </c>
      <c r="H87" s="53">
        <v>41</v>
      </c>
      <c r="I87" s="53">
        <v>0.62497059999999982</v>
      </c>
      <c r="J87" s="53">
        <v>16.642243333333301</v>
      </c>
      <c r="K87" s="61">
        <v>32</v>
      </c>
      <c r="L87" s="53">
        <v>72.813287069925792</v>
      </c>
      <c r="M87" s="53">
        <v>74.766355140186917</v>
      </c>
      <c r="N87" s="53">
        <v>31.297069825088599</v>
      </c>
      <c r="O87" s="53">
        <v>82.505880236834841</v>
      </c>
      <c r="P87" s="53">
        <v>27.098237610032491</v>
      </c>
      <c r="Q87" s="53">
        <v>8.9782100000000004E-3</v>
      </c>
      <c r="R87" s="53">
        <f>89.38-85.6</f>
        <v>3.7800000000000011</v>
      </c>
      <c r="S87" s="53">
        <f t="shared" si="4"/>
        <v>280.56906250000003</v>
      </c>
      <c r="T87" s="61">
        <v>62</v>
      </c>
      <c r="U87" s="53">
        <v>73.073319999999981</v>
      </c>
      <c r="V87" s="61">
        <v>230</v>
      </c>
      <c r="W87" s="61">
        <v>138.85</v>
      </c>
      <c r="X87" s="53">
        <v>16.81818181818182</v>
      </c>
    </row>
    <row r="88" spans="1:24" x14ac:dyDescent="0.3">
      <c r="A88" s="62" t="s">
        <v>144</v>
      </c>
      <c r="B88" s="53">
        <v>7</v>
      </c>
      <c r="C88" s="62">
        <v>7</v>
      </c>
      <c r="D88" s="52">
        <v>13.35</v>
      </c>
      <c r="E88" s="52">
        <v>4</v>
      </c>
      <c r="F88" s="69">
        <v>1.23</v>
      </c>
      <c r="G88" s="53">
        <v>174.42874585731715</v>
      </c>
      <c r="H88" s="53">
        <v>37</v>
      </c>
      <c r="I88" s="53">
        <v>0.57466417241379308</v>
      </c>
      <c r="J88" s="53">
        <v>19.090928571428599</v>
      </c>
      <c r="K88" s="61">
        <v>25</v>
      </c>
      <c r="L88" s="53">
        <v>60.724494378892736</v>
      </c>
      <c r="M88" s="53">
        <v>68.027210884353536</v>
      </c>
      <c r="N88" s="53">
        <v>23.278047378283748</v>
      </c>
      <c r="O88" s="53">
        <v>77.02566730350236</v>
      </c>
      <c r="P88" s="53">
        <v>21.866325824530215</v>
      </c>
      <c r="Q88" s="53">
        <v>1.1724699999999999E-2</v>
      </c>
      <c r="R88" s="54">
        <v>0.01</v>
      </c>
      <c r="S88" s="53">
        <f t="shared" si="4"/>
        <v>468.988</v>
      </c>
      <c r="T88" s="61">
        <v>67.599999999999994</v>
      </c>
      <c r="U88" s="53">
        <v>59.869175862068971</v>
      </c>
      <c r="V88" s="61">
        <v>211.98</v>
      </c>
      <c r="W88" s="61">
        <v>125.05</v>
      </c>
      <c r="X88" s="53">
        <v>12.727272727272728</v>
      </c>
    </row>
    <row r="89" spans="1:24" x14ac:dyDescent="0.3">
      <c r="A89" s="62" t="s">
        <v>146</v>
      </c>
      <c r="B89" s="53">
        <v>7</v>
      </c>
      <c r="C89" s="62">
        <v>7</v>
      </c>
      <c r="D89" s="52">
        <v>13.4</v>
      </c>
      <c r="E89" s="52">
        <v>4</v>
      </c>
      <c r="F89" s="69">
        <v>0.96</v>
      </c>
      <c r="G89" s="53">
        <v>139.23698134224475</v>
      </c>
      <c r="H89" s="53">
        <v>24</v>
      </c>
      <c r="I89" s="53">
        <v>0.74995249999999991</v>
      </c>
      <c r="J89" s="53">
        <v>16.506030434782598</v>
      </c>
      <c r="K89" s="61">
        <v>35</v>
      </c>
      <c r="L89" s="53">
        <v>58.350436087672911</v>
      </c>
      <c r="M89" s="53">
        <v>44.953922229714536</v>
      </c>
      <c r="N89" s="53">
        <v>16.113315160868567</v>
      </c>
      <c r="O89" s="53">
        <v>49.415556925242349</v>
      </c>
      <c r="P89" s="53">
        <v>12.371105793786462</v>
      </c>
      <c r="Q89" s="53">
        <v>8.3253300000000006E-3</v>
      </c>
      <c r="R89" s="53">
        <f>92.05-90.9</f>
        <v>1.1499999999999915</v>
      </c>
      <c r="S89" s="61">
        <f t="shared" si="4"/>
        <v>237.86657142857143</v>
      </c>
      <c r="T89" s="61">
        <v>69.8</v>
      </c>
      <c r="U89" s="53">
        <v>69.806420833333348</v>
      </c>
      <c r="V89" s="61">
        <v>213.02</v>
      </c>
      <c r="W89" s="61">
        <v>117.6</v>
      </c>
      <c r="X89" s="53">
        <v>7.7272727272727275</v>
      </c>
    </row>
    <row r="90" spans="1:24" x14ac:dyDescent="0.3">
      <c r="A90" s="62" t="s">
        <v>147</v>
      </c>
      <c r="B90" s="53">
        <v>7</v>
      </c>
      <c r="C90" s="62">
        <v>7</v>
      </c>
      <c r="D90" s="52">
        <v>13.45</v>
      </c>
      <c r="E90" s="52">
        <v>4</v>
      </c>
      <c r="F90" s="69">
        <v>0.56000000000000005</v>
      </c>
      <c r="G90" s="53">
        <v>181.38944313440942</v>
      </c>
      <c r="H90" s="53">
        <v>35</v>
      </c>
      <c r="I90" s="53">
        <v>0.92443805263157885</v>
      </c>
      <c r="J90" s="53">
        <v>9.1424315789473702</v>
      </c>
      <c r="K90" s="61">
        <v>29.9</v>
      </c>
      <c r="L90" s="53">
        <v>56.268428862500656</v>
      </c>
      <c r="M90" s="53">
        <v>61.293288384921645</v>
      </c>
      <c r="N90" s="53">
        <v>19.050051427851958</v>
      </c>
      <c r="O90" s="53">
        <v>72.895466206472776</v>
      </c>
      <c r="P90" s="53">
        <v>15.074794975631205</v>
      </c>
      <c r="Q90" s="53">
        <v>6.3354300000000004E-3</v>
      </c>
      <c r="R90" s="53">
        <f>102.17-101.9</f>
        <v>0.26999999999999602</v>
      </c>
      <c r="S90" s="53">
        <f t="shared" si="4"/>
        <v>211.88729096989968</v>
      </c>
      <c r="T90" s="61">
        <v>62</v>
      </c>
      <c r="U90" s="53">
        <v>59.384</v>
      </c>
      <c r="V90" s="61">
        <v>144.30000000000001</v>
      </c>
      <c r="W90" s="61">
        <v>76.7</v>
      </c>
      <c r="X90" s="53">
        <v>9</v>
      </c>
    </row>
    <row r="91" spans="1:24" x14ac:dyDescent="0.3">
      <c r="A91" s="62" t="s">
        <v>149</v>
      </c>
      <c r="B91" s="53">
        <v>7</v>
      </c>
      <c r="C91" s="62">
        <v>7</v>
      </c>
      <c r="D91" s="52">
        <v>13.5</v>
      </c>
      <c r="E91" s="52">
        <v>4</v>
      </c>
      <c r="F91" s="69">
        <v>1.35</v>
      </c>
      <c r="G91" s="53">
        <v>197.90223629527026</v>
      </c>
      <c r="H91" s="53">
        <v>40</v>
      </c>
      <c r="I91" s="53">
        <v>0.68345956521739126</v>
      </c>
      <c r="J91" s="53">
        <v>12.1804826086957</v>
      </c>
      <c r="K91" s="61">
        <v>26</v>
      </c>
      <c r="L91" s="53">
        <v>81.478522771509162</v>
      </c>
      <c r="M91" s="53">
        <v>74.682598954443691</v>
      </c>
      <c r="N91" s="53">
        <v>25.655119270524022</v>
      </c>
      <c r="O91" s="53">
        <v>82.969632894976627</v>
      </c>
      <c r="P91" s="53">
        <v>20.16338496630495</v>
      </c>
      <c r="Q91" s="53">
        <v>6.2374800000000001E-3</v>
      </c>
      <c r="R91" s="53">
        <f>93.54-92.09</f>
        <v>1.4500000000000028</v>
      </c>
      <c r="S91" s="53">
        <f t="shared" si="4"/>
        <v>239.90307692307692</v>
      </c>
      <c r="T91" s="61">
        <v>66.900000000000006</v>
      </c>
      <c r="U91" s="53">
        <v>62.038252173913051</v>
      </c>
      <c r="V91" s="61">
        <v>192.6</v>
      </c>
      <c r="W91" s="61">
        <v>109.01</v>
      </c>
      <c r="X91" s="53">
        <v>12.272727272727272</v>
      </c>
    </row>
    <row r="92" spans="1:24" x14ac:dyDescent="0.3">
      <c r="A92" s="62" t="s">
        <v>151</v>
      </c>
      <c r="B92" s="53">
        <v>7</v>
      </c>
      <c r="C92" s="62">
        <v>7</v>
      </c>
      <c r="D92" s="52">
        <v>13.6</v>
      </c>
      <c r="E92" s="52">
        <v>4</v>
      </c>
      <c r="F92" s="69">
        <v>2.2000000000000002</v>
      </c>
      <c r="G92" s="53">
        <v>190.47619047619048</v>
      </c>
      <c r="H92" s="53">
        <v>41</v>
      </c>
      <c r="I92" s="53">
        <v>0.65189900000000001</v>
      </c>
      <c r="J92" s="53">
        <v>12.240080000000001</v>
      </c>
      <c r="K92" s="61">
        <v>22</v>
      </c>
      <c r="L92" s="53">
        <v>53.698150525263614</v>
      </c>
      <c r="M92" s="53">
        <v>72.098053352559461</v>
      </c>
      <c r="N92" s="53">
        <v>17.30683446919544</v>
      </c>
      <c r="O92" s="53">
        <v>84.764428086311355</v>
      </c>
      <c r="P92" s="53">
        <v>16.243345578663767</v>
      </c>
      <c r="Q92" s="53">
        <v>8.7574699999999998E-3</v>
      </c>
      <c r="R92" s="53">
        <f>93.52-91.92</f>
        <v>1.5999999999999943</v>
      </c>
      <c r="S92" s="61">
        <f t="shared" si="4"/>
        <v>398.06681818181818</v>
      </c>
      <c r="T92" s="61">
        <v>65</v>
      </c>
      <c r="U92" s="53">
        <v>60.722345833333321</v>
      </c>
      <c r="V92" s="61">
        <v>215.4</v>
      </c>
      <c r="W92" s="61">
        <v>128.5</v>
      </c>
      <c r="X92" s="53">
        <v>9.0625</v>
      </c>
    </row>
    <row r="93" spans="1:24" x14ac:dyDescent="0.3">
      <c r="A93" s="62" t="s">
        <v>153</v>
      </c>
      <c r="B93" s="53">
        <v>7</v>
      </c>
      <c r="C93" s="62">
        <v>7</v>
      </c>
      <c r="D93" s="52">
        <v>13.65</v>
      </c>
      <c r="E93" s="52">
        <v>4</v>
      </c>
      <c r="F93" s="69">
        <v>0.86</v>
      </c>
      <c r="G93" s="53">
        <v>189.75332068311158</v>
      </c>
      <c r="H93" s="53">
        <v>42</v>
      </c>
      <c r="I93" s="53">
        <v>0.66099196551724138</v>
      </c>
      <c r="J93" s="53">
        <v>13.404593103448301</v>
      </c>
      <c r="K93" s="61">
        <v>35.6</v>
      </c>
      <c r="L93" s="53">
        <v>55.34476854072313</v>
      </c>
      <c r="M93" s="53">
        <v>74.305245950364267</v>
      </c>
      <c r="N93" s="53">
        <v>23.059143031994068</v>
      </c>
      <c r="O93" s="53">
        <v>87.167654575923464</v>
      </c>
      <c r="P93" s="53">
        <v>18.979536031945678</v>
      </c>
      <c r="Q93" s="53">
        <v>7.3898999999999996E-3</v>
      </c>
      <c r="R93" s="53">
        <f>85.89-83.64</f>
        <v>2.25</v>
      </c>
      <c r="S93" s="61">
        <f t="shared" si="4"/>
        <v>207.58146067415728</v>
      </c>
      <c r="T93" s="61">
        <v>62.92</v>
      </c>
      <c r="U93" s="53">
        <v>68.224675862068949</v>
      </c>
      <c r="V93" s="61">
        <v>207.8</v>
      </c>
      <c r="W93" s="61">
        <v>122.7</v>
      </c>
      <c r="X93" s="53">
        <v>11.875</v>
      </c>
    </row>
    <row r="94" spans="1:24" x14ac:dyDescent="0.3">
      <c r="A94" s="62" t="s">
        <v>155</v>
      </c>
      <c r="B94" s="53">
        <v>7</v>
      </c>
      <c r="C94" s="62">
        <v>7</v>
      </c>
      <c r="D94" s="52">
        <v>13.7</v>
      </c>
      <c r="E94" s="52">
        <v>4</v>
      </c>
      <c r="F94" s="69">
        <v>1.32</v>
      </c>
      <c r="G94" s="53">
        <v>158.12776723592631</v>
      </c>
      <c r="H94" s="53">
        <v>30</v>
      </c>
      <c r="I94" s="53">
        <v>0.55044696551724137</v>
      </c>
      <c r="J94" s="53">
        <v>22.618786551724099</v>
      </c>
      <c r="K94" s="61">
        <v>27.5</v>
      </c>
      <c r="L94" s="53">
        <v>59.754790386447205</v>
      </c>
      <c r="M94" s="53">
        <v>57.234432234432298</v>
      </c>
      <c r="N94" s="53">
        <v>20.282777455866015</v>
      </c>
      <c r="O94" s="53">
        <v>63.920945877186107</v>
      </c>
      <c r="P94" s="53">
        <v>17.344173406872436</v>
      </c>
      <c r="Q94" s="53">
        <v>9.7110700000000005E-3</v>
      </c>
      <c r="R94" s="53">
        <f>87.23-85.73</f>
        <v>1.5</v>
      </c>
      <c r="S94" s="61">
        <f t="shared" si="4"/>
        <v>353.12981818181817</v>
      </c>
      <c r="T94" s="61">
        <v>66.599999999999994</v>
      </c>
      <c r="U94" s="53">
        <v>52.824872413793102</v>
      </c>
      <c r="V94" s="61">
        <v>200.32</v>
      </c>
      <c r="W94" s="61">
        <v>115.51</v>
      </c>
      <c r="X94" s="53">
        <v>9.5833333333333321</v>
      </c>
    </row>
    <row r="95" spans="1:24" x14ac:dyDescent="0.3">
      <c r="A95" s="62" t="s">
        <v>157</v>
      </c>
      <c r="B95" s="53">
        <v>7</v>
      </c>
      <c r="C95" s="62">
        <v>7</v>
      </c>
      <c r="D95" s="52">
        <v>13.75</v>
      </c>
      <c r="E95" s="52">
        <v>4</v>
      </c>
      <c r="F95" s="69">
        <v>0.86</v>
      </c>
      <c r="G95" s="53">
        <v>181.68604651162821</v>
      </c>
      <c r="H95" s="53">
        <v>36</v>
      </c>
      <c r="I95" s="53">
        <v>0.6181389310344827</v>
      </c>
      <c r="J95" s="53">
        <v>15.6818310344828</v>
      </c>
      <c r="K95" s="61">
        <v>30.2</v>
      </c>
      <c r="L95" s="53">
        <v>52.341560185067607</v>
      </c>
      <c r="M95" s="53">
        <v>65.526505471463352</v>
      </c>
      <c r="N95" s="53">
        <v>18.395313687905411</v>
      </c>
      <c r="O95" s="53">
        <v>75.196980990571248</v>
      </c>
      <c r="P95" s="53">
        <v>15.254162637434955</v>
      </c>
      <c r="Q95" s="53">
        <v>1.24464E-2</v>
      </c>
      <c r="R95" s="53">
        <f>82.46-81.31</f>
        <v>1.1499999999999915</v>
      </c>
      <c r="S95" s="61">
        <f t="shared" si="4"/>
        <v>412.13245033112588</v>
      </c>
      <c r="T95" s="61">
        <v>64.849999999999994</v>
      </c>
      <c r="U95" s="53">
        <v>72.694972413793096</v>
      </c>
      <c r="V95" s="61">
        <v>246.29</v>
      </c>
      <c r="W95" s="61">
        <v>140.27000000000001</v>
      </c>
      <c r="X95" s="53">
        <v>9.0625</v>
      </c>
    </row>
    <row r="96" spans="1:24" x14ac:dyDescent="0.3">
      <c r="A96" s="62" t="s">
        <v>158</v>
      </c>
      <c r="B96" s="53">
        <v>7</v>
      </c>
      <c r="C96" s="62">
        <v>7</v>
      </c>
      <c r="D96" s="52">
        <v>13.8</v>
      </c>
      <c r="E96" s="52">
        <v>4</v>
      </c>
      <c r="F96" s="69">
        <v>0.78500000000000003</v>
      </c>
      <c r="G96" s="53">
        <v>218.15008726003475</v>
      </c>
      <c r="H96" s="53">
        <v>46</v>
      </c>
      <c r="I96" s="53">
        <v>0.61669329629629621</v>
      </c>
      <c r="J96" s="53">
        <v>18.3738407407407</v>
      </c>
      <c r="K96" s="61">
        <v>28.5</v>
      </c>
      <c r="L96" s="53">
        <v>43.265862750178535</v>
      </c>
      <c r="M96" s="53">
        <v>85.859019489997905</v>
      </c>
      <c r="N96" s="53">
        <v>16.868665621909784</v>
      </c>
      <c r="O96" s="53">
        <v>92.679732741662932</v>
      </c>
      <c r="P96" s="53">
        <v>15.2076983955331</v>
      </c>
      <c r="Q96" s="53">
        <v>1.42121E-2</v>
      </c>
      <c r="R96" s="53">
        <f>84.28-82.19</f>
        <v>2.0900000000000034</v>
      </c>
      <c r="S96" s="53">
        <f t="shared" si="4"/>
        <v>498.67017543859646</v>
      </c>
      <c r="T96" s="61">
        <v>63.2</v>
      </c>
      <c r="U96" s="53">
        <v>67.925333333333327</v>
      </c>
      <c r="V96" s="61">
        <v>244.75</v>
      </c>
      <c r="W96" s="61">
        <v>131.16</v>
      </c>
      <c r="X96" s="53">
        <v>8.75</v>
      </c>
    </row>
    <row r="97" spans="1:24" x14ac:dyDescent="0.3">
      <c r="A97" s="54" t="s">
        <v>172</v>
      </c>
      <c r="B97" s="53">
        <v>14</v>
      </c>
      <c r="C97" s="54">
        <v>21</v>
      </c>
      <c r="D97" s="52">
        <v>16.100000000000001</v>
      </c>
      <c r="E97" s="52">
        <v>5</v>
      </c>
      <c r="F97" s="54">
        <v>0.2</v>
      </c>
      <c r="G97" s="54">
        <v>157.15857300015716</v>
      </c>
      <c r="H97" s="54">
        <v>30</v>
      </c>
      <c r="I97" s="53">
        <v>0.98917826666666664</v>
      </c>
      <c r="J97" s="53">
        <v>14.803046666666701</v>
      </c>
      <c r="K97" s="53">
        <f>(0.00671/0.0000000001)/1000000</f>
        <v>67.099999999999994</v>
      </c>
      <c r="L97" s="54">
        <v>75.873122620835375</v>
      </c>
      <c r="M97" s="54">
        <v>55.00550055005516</v>
      </c>
      <c r="N97" s="53">
        <f>0.043330474462752*1000</f>
        <v>43.330474462751994</v>
      </c>
      <c r="O97" s="53">
        <v>62.810414493462943</v>
      </c>
      <c r="P97" s="53">
        <f>0.0373623095098193*1000</f>
        <v>37.362309509819298</v>
      </c>
      <c r="Q97" s="53">
        <v>1.55783E-2</v>
      </c>
      <c r="R97" s="53">
        <f>137.6-105.8</f>
        <v>31.799999999999997</v>
      </c>
      <c r="S97" s="53">
        <f t="shared" si="4"/>
        <v>232.16542473919526</v>
      </c>
      <c r="T97" s="53">
        <v>63</v>
      </c>
      <c r="U97" s="53">
        <v>71.89</v>
      </c>
      <c r="V97" s="53">
        <v>177.8</v>
      </c>
      <c r="W97" s="53">
        <v>85.4</v>
      </c>
      <c r="X97" s="53">
        <f>0.02*1000</f>
        <v>20</v>
      </c>
    </row>
    <row r="98" spans="1:24" x14ac:dyDescent="0.3">
      <c r="A98" s="54" t="s">
        <v>174</v>
      </c>
      <c r="B98" s="53">
        <v>14</v>
      </c>
      <c r="C98" s="54">
        <v>18</v>
      </c>
      <c r="D98" s="52">
        <v>16.149999999999999</v>
      </c>
      <c r="E98" s="52">
        <v>5</v>
      </c>
      <c r="F98" s="54">
        <v>1.7</v>
      </c>
      <c r="G98" s="54">
        <v>194.81784531463046</v>
      </c>
      <c r="H98" s="54">
        <v>34</v>
      </c>
      <c r="I98" s="53">
        <v>0.66781932142857137</v>
      </c>
      <c r="J98" s="53">
        <v>17.255503571428601</v>
      </c>
      <c r="K98" s="61">
        <v>21.8</v>
      </c>
      <c r="L98" s="54">
        <v>56.275414427433617</v>
      </c>
      <c r="M98" s="54">
        <v>63.698324734059447</v>
      </c>
      <c r="N98" s="53">
        <f>0.019196806036618*1000</f>
        <v>19.196806036618</v>
      </c>
      <c r="O98" s="53">
        <v>85.704192484863356</v>
      </c>
      <c r="P98" s="53">
        <f>0.0166366004315254*1000</f>
        <v>16.636600431525402</v>
      </c>
      <c r="Q98" s="53">
        <v>8.4251699999999992E-3</v>
      </c>
      <c r="R98" s="53">
        <f>91.52-86.52</f>
        <v>5</v>
      </c>
      <c r="S98" s="53">
        <f t="shared" si="4"/>
        <v>386.47568807339445</v>
      </c>
      <c r="T98" s="53">
        <v>71.2</v>
      </c>
      <c r="U98" s="53">
        <v>66.839600000000004</v>
      </c>
      <c r="V98" s="53">
        <v>219.3</v>
      </c>
      <c r="W98" s="53">
        <v>118.7</v>
      </c>
      <c r="X98" s="53">
        <f>0.009375*1000</f>
        <v>9.375</v>
      </c>
    </row>
    <row r="99" spans="1:24" x14ac:dyDescent="0.3">
      <c r="A99" s="54" t="s">
        <v>176</v>
      </c>
      <c r="B99" s="53">
        <v>14</v>
      </c>
      <c r="C99" s="54">
        <v>18</v>
      </c>
      <c r="D99" s="52">
        <v>16.2</v>
      </c>
      <c r="E99" s="52">
        <v>5</v>
      </c>
      <c r="F99" s="54">
        <v>0.65</v>
      </c>
      <c r="G99" s="54">
        <v>181.35654697134626</v>
      </c>
      <c r="H99" s="54">
        <v>39</v>
      </c>
      <c r="I99" s="53">
        <v>0.71107163157894737</v>
      </c>
      <c r="J99" s="53">
        <v>16.6272736842105</v>
      </c>
      <c r="K99" s="53">
        <v>35.5</v>
      </c>
      <c r="L99" s="54">
        <v>74.256242082909296</v>
      </c>
      <c r="M99" s="54">
        <v>67.168189145621</v>
      </c>
      <c r="N99" s="53">
        <f>0.0317400935661911*1000</f>
        <v>31.740093566191099</v>
      </c>
      <c r="O99" s="53">
        <v>82.766143111749784</v>
      </c>
      <c r="P99" s="53">
        <v>25.396587737529625</v>
      </c>
      <c r="Q99" s="53">
        <v>9.2708500000000006E-3</v>
      </c>
      <c r="R99" s="53">
        <f>103.2-93.9</f>
        <v>9.2999999999999972</v>
      </c>
      <c r="S99" s="53">
        <f t="shared" si="4"/>
        <v>261.15070422535211</v>
      </c>
      <c r="T99" s="53">
        <v>72</v>
      </c>
      <c r="U99" s="53">
        <v>78.002921052631578</v>
      </c>
      <c r="V99" s="53">
        <v>224.94</v>
      </c>
      <c r="W99" s="53">
        <v>134.63</v>
      </c>
      <c r="X99" s="53">
        <v>14.666666666666666</v>
      </c>
    </row>
    <row r="100" spans="1:24" x14ac:dyDescent="0.3">
      <c r="A100" s="54" t="s">
        <v>178</v>
      </c>
      <c r="B100" s="53">
        <v>14</v>
      </c>
      <c r="C100" s="54">
        <v>18</v>
      </c>
      <c r="D100" s="52">
        <v>16.25</v>
      </c>
      <c r="E100" s="52">
        <v>5</v>
      </c>
      <c r="F100" s="54">
        <v>3.67</v>
      </c>
      <c r="G100" s="54">
        <v>225.07314877335216</v>
      </c>
      <c r="H100" s="54">
        <v>26</v>
      </c>
      <c r="I100" s="53">
        <v>0.71281663157894759</v>
      </c>
      <c r="J100" s="54">
        <v>13.9058411111111</v>
      </c>
      <c r="K100" s="54">
        <v>11.4</v>
      </c>
      <c r="L100" s="54">
        <v>42.627259880732474</v>
      </c>
      <c r="M100" s="54">
        <v>44.273254526940299</v>
      </c>
      <c r="N100" s="53">
        <v>9.4460006879060643</v>
      </c>
      <c r="O100" s="53">
        <v>67.47016243301421</v>
      </c>
      <c r="P100" s="53">
        <v>3.6662247217262256</v>
      </c>
      <c r="Q100" s="53">
        <v>4.5520700000000001E-3</v>
      </c>
      <c r="R100" s="53">
        <f>93.76-89.37</f>
        <v>4.3900000000000006</v>
      </c>
      <c r="S100" s="53">
        <f t="shared" si="4"/>
        <v>399.30438596491229</v>
      </c>
      <c r="T100" s="53">
        <v>69.5</v>
      </c>
      <c r="U100" s="53">
        <v>58.67</v>
      </c>
      <c r="V100" s="53">
        <v>122.7</v>
      </c>
      <c r="W100" s="53">
        <v>92</v>
      </c>
      <c r="X100" s="53">
        <v>5.5882352941176476</v>
      </c>
    </row>
    <row r="101" spans="1:24" x14ac:dyDescent="0.3">
      <c r="A101" s="54" t="s">
        <v>180</v>
      </c>
      <c r="B101" s="53">
        <v>14</v>
      </c>
      <c r="C101" s="54">
        <v>20</v>
      </c>
      <c r="D101" s="52">
        <v>16.3</v>
      </c>
      <c r="E101" s="52">
        <v>5</v>
      </c>
      <c r="F101" s="54">
        <v>0.8</v>
      </c>
      <c r="G101" s="54">
        <v>168.54879487611683</v>
      </c>
      <c r="H101" s="54">
        <v>21</v>
      </c>
      <c r="I101" s="54">
        <v>0.6947153181818182</v>
      </c>
      <c r="J101" s="54">
        <v>22.0307761904762</v>
      </c>
      <c r="K101" s="62">
        <v>35.4</v>
      </c>
      <c r="L101" s="54">
        <v>97.699910443943608</v>
      </c>
      <c r="M101" s="54">
        <v>49.522111622839638</v>
      </c>
      <c r="N101" s="53">
        <v>25.977798957572428</v>
      </c>
      <c r="O101" s="53">
        <v>68.767484711743634</v>
      </c>
      <c r="P101" s="53">
        <v>23.819089860472193</v>
      </c>
      <c r="Q101" s="53">
        <v>1.11E-2</v>
      </c>
      <c r="R101" s="53">
        <f>94.4-68.9</f>
        <v>25.5</v>
      </c>
      <c r="S101" s="53">
        <f t="shared" si="4"/>
        <v>313.55932203389835</v>
      </c>
      <c r="T101" s="53">
        <v>70.099999999999994</v>
      </c>
      <c r="U101" s="53">
        <v>57.988940909090907</v>
      </c>
      <c r="V101" s="53">
        <v>179.8</v>
      </c>
      <c r="W101" s="53">
        <v>104.4</v>
      </c>
      <c r="X101" s="53">
        <v>10</v>
      </c>
    </row>
    <row r="102" spans="1:24" x14ac:dyDescent="0.3">
      <c r="A102" s="54" t="s">
        <v>182</v>
      </c>
      <c r="B102" s="53">
        <v>14</v>
      </c>
      <c r="C102" s="54">
        <v>20</v>
      </c>
      <c r="D102" s="52">
        <v>16.350000000000001</v>
      </c>
      <c r="E102" s="52">
        <v>5</v>
      </c>
      <c r="F102" s="54">
        <v>0.28000000000000003</v>
      </c>
      <c r="G102" s="54">
        <v>116.10356437942646</v>
      </c>
      <c r="H102" s="54">
        <v>14</v>
      </c>
      <c r="I102" s="53">
        <v>1.1282678571428573</v>
      </c>
      <c r="J102" s="53">
        <v>8.9764999999999997</v>
      </c>
      <c r="K102" s="53">
        <f>(0.00899/0.0000000001)/1000000</f>
        <v>89.9</v>
      </c>
      <c r="L102" s="54">
        <v>44.418976565806332</v>
      </c>
      <c r="M102" s="54">
        <v>28.636884306987433</v>
      </c>
      <c r="N102" s="53">
        <v>3.7813252151700283</v>
      </c>
      <c r="O102" s="53">
        <v>33.047183856419224</v>
      </c>
      <c r="P102" s="53">
        <v>28.636884306987433</v>
      </c>
      <c r="Q102" s="53">
        <v>1.6865700000000001E-2</v>
      </c>
      <c r="R102" s="53">
        <f>147.5-143.31</f>
        <v>4.1899999999999977</v>
      </c>
      <c r="S102" s="53">
        <f t="shared" si="4"/>
        <v>187.60511679644048</v>
      </c>
      <c r="T102" s="53">
        <v>72</v>
      </c>
      <c r="U102" s="53">
        <v>79.870599999999982</v>
      </c>
      <c r="V102" s="53">
        <v>212.8</v>
      </c>
      <c r="W102" s="53">
        <v>71.8</v>
      </c>
      <c r="X102" s="53">
        <v>7.8260869565217401</v>
      </c>
    </row>
    <row r="103" spans="1:24" x14ac:dyDescent="0.3">
      <c r="A103" s="54" t="s">
        <v>184</v>
      </c>
      <c r="B103" s="53">
        <v>14</v>
      </c>
      <c r="C103" s="54">
        <v>15</v>
      </c>
      <c r="D103" s="52">
        <v>16.399999999999999</v>
      </c>
      <c r="E103" s="52">
        <v>5</v>
      </c>
      <c r="F103" s="54">
        <v>0.5</v>
      </c>
      <c r="G103" s="54">
        <v>148.21402104639068</v>
      </c>
      <c r="H103" s="54">
        <v>28</v>
      </c>
      <c r="I103" s="53">
        <v>1.0393810000000001</v>
      </c>
      <c r="J103" s="54">
        <v>13.729710526315801</v>
      </c>
      <c r="K103" s="54">
        <v>42.6</v>
      </c>
      <c r="L103" s="54">
        <v>53.75069593948394</v>
      </c>
      <c r="M103" s="54">
        <v>48.642864091837744</v>
      </c>
      <c r="N103" s="53">
        <v>31.064006681309554</v>
      </c>
      <c r="O103" s="53">
        <v>60.422099027245018</v>
      </c>
      <c r="P103" s="53">
        <v>32.666471539607507</v>
      </c>
      <c r="Q103" s="53">
        <v>8.6993499999999998E-3</v>
      </c>
      <c r="R103" s="53">
        <f>121.6-108.3</f>
        <v>13.299999999999997</v>
      </c>
      <c r="S103" s="53">
        <f t="shared" si="4"/>
        <v>204.2100938967136</v>
      </c>
      <c r="T103" s="53">
        <v>65.599999999999994</v>
      </c>
      <c r="U103" s="53">
        <v>68.701170000000019</v>
      </c>
      <c r="V103" s="53">
        <v>145.5</v>
      </c>
      <c r="W103" s="53">
        <v>79.5</v>
      </c>
      <c r="X103" s="53">
        <v>18.095238095238095</v>
      </c>
    </row>
    <row r="104" spans="1:24" ht="15" thickBot="1" x14ac:dyDescent="0.35">
      <c r="A104" s="54" t="s">
        <v>186</v>
      </c>
      <c r="B104" s="53">
        <v>14</v>
      </c>
      <c r="C104" s="71">
        <v>15</v>
      </c>
      <c r="D104" s="52">
        <v>16.45</v>
      </c>
      <c r="E104" s="52">
        <v>5</v>
      </c>
      <c r="F104" s="71">
        <v>0.25</v>
      </c>
      <c r="G104" s="71">
        <v>67.953248165262266</v>
      </c>
      <c r="H104" s="71">
        <v>10</v>
      </c>
      <c r="I104" s="53">
        <v>1.2564378571428569</v>
      </c>
      <c r="J104" s="53">
        <v>22.3529384615385</v>
      </c>
      <c r="K104" s="53">
        <f>(0.00821/0.0000000001)/1000000</f>
        <v>82.1</v>
      </c>
      <c r="L104" s="71">
        <v>114.7324597339405</v>
      </c>
      <c r="M104" s="71">
        <v>18.026137899954929</v>
      </c>
      <c r="N104" s="53">
        <v>31.538137121645335</v>
      </c>
      <c r="O104" s="53">
        <v>41.090648733156804</v>
      </c>
      <c r="P104" s="53">
        <v>15.729934354594834</v>
      </c>
      <c r="Q104" s="53">
        <v>1.8761900000000001E-2</v>
      </c>
      <c r="R104" s="53">
        <f>138.59-131.61</f>
        <v>6.9799999999999898</v>
      </c>
      <c r="S104" s="53">
        <f t="shared" ref="S104:S134" si="5">(Q104/K104)*1000000</f>
        <v>228.52496954933011</v>
      </c>
      <c r="T104" s="53">
        <v>65.599999999999994</v>
      </c>
      <c r="U104" s="53">
        <f>AVERAGE(U24:U102)</f>
        <v>67.451437556332749</v>
      </c>
      <c r="V104" s="53">
        <v>124</v>
      </c>
      <c r="W104" s="53">
        <v>51.8</v>
      </c>
      <c r="X104" s="53">
        <v>12.727272727272728</v>
      </c>
    </row>
    <row r="105" spans="1:24" x14ac:dyDescent="0.3">
      <c r="A105" s="54" t="s">
        <v>188</v>
      </c>
      <c r="B105" s="53">
        <v>14</v>
      </c>
      <c r="C105" s="64">
        <v>15</v>
      </c>
      <c r="D105" s="52">
        <v>16.5</v>
      </c>
      <c r="E105" s="52">
        <v>5</v>
      </c>
      <c r="F105" s="70">
        <v>0.93</v>
      </c>
      <c r="G105" s="64">
        <v>178.31669044222525</v>
      </c>
      <c r="H105" s="70">
        <v>40</v>
      </c>
      <c r="I105" s="53">
        <v>0.84036874999999978</v>
      </c>
      <c r="J105" s="53">
        <v>16.530366666666701</v>
      </c>
      <c r="K105" s="53">
        <f>(0.00387/0.0000000001)/1000000</f>
        <v>38.700000000000003</v>
      </c>
      <c r="L105" s="64">
        <v>33.74781204811444</v>
      </c>
      <c r="M105" s="64">
        <v>65.802461012041832</v>
      </c>
      <c r="N105" s="53">
        <v>29.512673443562189</v>
      </c>
      <c r="O105" s="53">
        <v>84.808515506909785</v>
      </c>
      <c r="P105" s="53">
        <v>26.662981284405774</v>
      </c>
      <c r="Q105" s="55">
        <v>8.0309500000000002E-3</v>
      </c>
      <c r="R105" s="66"/>
      <c r="S105" s="53">
        <f t="shared" si="5"/>
        <v>207.51808785529715</v>
      </c>
      <c r="T105" s="53">
        <v>65.599999999999994</v>
      </c>
      <c r="U105" s="53">
        <v>63.181566666666676</v>
      </c>
      <c r="V105" s="53">
        <v>158.69999999999999</v>
      </c>
      <c r="W105" s="53">
        <v>86.3</v>
      </c>
      <c r="X105" s="53">
        <v>16.315789473684209</v>
      </c>
    </row>
    <row r="106" spans="1:24" x14ac:dyDescent="0.3">
      <c r="A106" s="62" t="s">
        <v>190</v>
      </c>
      <c r="B106" s="53">
        <v>14</v>
      </c>
      <c r="C106" s="72">
        <v>19</v>
      </c>
      <c r="D106" s="52">
        <v>16.55</v>
      </c>
      <c r="E106" s="52">
        <v>5</v>
      </c>
      <c r="F106" s="62">
        <v>0.6</v>
      </c>
      <c r="G106" s="53">
        <v>161.36840406648372</v>
      </c>
      <c r="H106" s="62">
        <v>32</v>
      </c>
      <c r="I106" s="53">
        <v>0.93849554166666682</v>
      </c>
      <c r="J106" s="53">
        <v>12.613047826087</v>
      </c>
      <c r="K106" s="61">
        <v>28.9</v>
      </c>
      <c r="L106" s="53">
        <v>41.256923322245754</v>
      </c>
      <c r="M106" s="53">
        <v>60.67961165048537</v>
      </c>
      <c r="N106" s="53">
        <v>15.434358764965921</v>
      </c>
      <c r="O106" s="53">
        <v>65.832932957626667</v>
      </c>
      <c r="P106" s="53">
        <v>14.0778857596006</v>
      </c>
      <c r="Q106" s="55">
        <v>1.31678E-2</v>
      </c>
      <c r="R106" s="53">
        <f>102.95-90.62</f>
        <v>12.329999999999998</v>
      </c>
      <c r="S106" s="53">
        <f t="shared" si="5"/>
        <v>455.63321799307965</v>
      </c>
      <c r="T106" s="53">
        <v>68.5</v>
      </c>
      <c r="U106" s="53">
        <v>73.23965833333331</v>
      </c>
      <c r="V106" s="53">
        <v>200.2</v>
      </c>
      <c r="W106" s="53">
        <v>85.3</v>
      </c>
      <c r="X106" s="53">
        <v>7.3684210526315788</v>
      </c>
    </row>
    <row r="107" spans="1:24" x14ac:dyDescent="0.3">
      <c r="A107" s="62" t="s">
        <v>192</v>
      </c>
      <c r="B107" s="53">
        <v>14</v>
      </c>
      <c r="C107" s="72">
        <v>22</v>
      </c>
      <c r="D107" s="52">
        <v>16.600000000000001</v>
      </c>
      <c r="E107" s="52">
        <v>5</v>
      </c>
      <c r="F107" s="62">
        <v>0.36699999999999999</v>
      </c>
      <c r="G107" s="53">
        <v>194.09937888198809</v>
      </c>
      <c r="H107" s="53">
        <v>40</v>
      </c>
      <c r="I107" s="53">
        <v>1.0599146153846153</v>
      </c>
      <c r="J107" s="53">
        <v>10.46245</v>
      </c>
      <c r="K107" s="53">
        <v>50</v>
      </c>
      <c r="L107" s="53">
        <v>64.75791591750675</v>
      </c>
      <c r="M107" s="53">
        <v>73.653973631877449</v>
      </c>
      <c r="N107" s="53">
        <v>38.506228434081294</v>
      </c>
      <c r="O107" s="53">
        <v>83.684767490227898</v>
      </c>
      <c r="P107" s="53">
        <v>40.484120277483143</v>
      </c>
      <c r="Q107" s="53">
        <v>8.1545999999999997E-3</v>
      </c>
      <c r="R107" s="53">
        <f>97-60.4</f>
        <v>36.6</v>
      </c>
      <c r="S107" s="53">
        <f t="shared" si="5"/>
        <v>163.09199999999998</v>
      </c>
      <c r="T107" s="53">
        <v>65.099999999999994</v>
      </c>
      <c r="U107" s="53">
        <v>52.091169230769232</v>
      </c>
      <c r="V107" s="53">
        <v>113.2</v>
      </c>
      <c r="W107" s="53">
        <v>63.8</v>
      </c>
      <c r="X107" s="53">
        <v>23.448275862068964</v>
      </c>
    </row>
    <row r="108" spans="1:24" x14ac:dyDescent="0.3">
      <c r="A108" s="62" t="s">
        <v>194</v>
      </c>
      <c r="B108" s="53">
        <v>14</v>
      </c>
      <c r="C108" s="72">
        <v>22</v>
      </c>
      <c r="D108" s="52">
        <v>16.649999999999999</v>
      </c>
      <c r="E108" s="52">
        <v>5</v>
      </c>
      <c r="F108" s="62">
        <v>0.48599999999999999</v>
      </c>
      <c r="G108" s="53">
        <v>169.57775139901588</v>
      </c>
      <c r="H108" s="53">
        <v>29</v>
      </c>
      <c r="I108" s="53">
        <v>0.79607337499999986</v>
      </c>
      <c r="J108" s="53">
        <v>17.252587500000001</v>
      </c>
      <c r="K108" s="53">
        <v>30</v>
      </c>
      <c r="L108" s="53">
        <v>46.84229605344288</v>
      </c>
      <c r="M108" s="53">
        <v>51.639555899819236</v>
      </c>
      <c r="N108" s="53">
        <v>19.134816788906637</v>
      </c>
      <c r="O108" s="53">
        <v>69.445215343780674</v>
      </c>
      <c r="P108" s="53">
        <v>32.925254887191592</v>
      </c>
      <c r="Q108" s="53">
        <v>9.2408300000000002E-3</v>
      </c>
      <c r="R108" s="53">
        <f>97-60.4</f>
        <v>36.6</v>
      </c>
      <c r="S108" s="53">
        <f t="shared" si="5"/>
        <v>308.02766666666668</v>
      </c>
      <c r="T108" s="53">
        <v>62.6</v>
      </c>
      <c r="U108" s="53">
        <v>65.42968333333333</v>
      </c>
      <c r="V108" s="53">
        <v>175.8</v>
      </c>
      <c r="W108" s="53">
        <v>103.8</v>
      </c>
      <c r="X108" s="53">
        <v>19.230769230769234</v>
      </c>
    </row>
    <row r="109" spans="1:24" x14ac:dyDescent="0.3">
      <c r="A109" s="62" t="s">
        <v>196</v>
      </c>
      <c r="B109" s="53">
        <v>14</v>
      </c>
      <c r="C109" s="72">
        <v>22</v>
      </c>
      <c r="D109" s="52">
        <v>16.7</v>
      </c>
      <c r="E109" s="52">
        <v>5</v>
      </c>
      <c r="F109" s="62">
        <v>2.6</v>
      </c>
      <c r="G109" s="53">
        <v>220.94564737074629</v>
      </c>
      <c r="H109" s="53">
        <v>30</v>
      </c>
      <c r="I109" s="53">
        <v>0.65295580000000009</v>
      </c>
      <c r="J109" s="53">
        <v>15.360526666666701</v>
      </c>
      <c r="K109" s="53">
        <f>(0.00161/0.0000000001)/1000000</f>
        <v>16.100000000000001</v>
      </c>
      <c r="L109" s="53">
        <v>58.103042392154791</v>
      </c>
      <c r="M109" s="53">
        <v>53.092646668436316</v>
      </c>
      <c r="N109" s="53">
        <v>14.914113830434998</v>
      </c>
      <c r="O109" s="53">
        <v>67.891072296897164</v>
      </c>
      <c r="P109" s="53">
        <v>9.1002969003493828</v>
      </c>
      <c r="Q109" s="53">
        <v>6.7328800000000001E-3</v>
      </c>
      <c r="R109" s="53">
        <f>82.62-65.59</f>
        <v>17.03</v>
      </c>
      <c r="S109" s="53">
        <f t="shared" si="5"/>
        <v>418.19130434782608</v>
      </c>
      <c r="T109" s="53">
        <v>65</v>
      </c>
      <c r="U109" s="53">
        <v>65.661626666666663</v>
      </c>
      <c r="V109" s="53">
        <v>207.8</v>
      </c>
      <c r="W109" s="53">
        <v>133.30000000000001</v>
      </c>
      <c r="X109" s="53">
        <v>7.2727272727272725</v>
      </c>
    </row>
    <row r="110" spans="1:24" x14ac:dyDescent="0.3">
      <c r="A110" s="62" t="s">
        <v>198</v>
      </c>
      <c r="B110" s="53">
        <v>14</v>
      </c>
      <c r="C110" s="72">
        <v>19</v>
      </c>
      <c r="D110" s="52">
        <v>16.75</v>
      </c>
      <c r="E110" s="52">
        <v>5</v>
      </c>
      <c r="F110" s="62">
        <v>4.16</v>
      </c>
      <c r="G110" s="53">
        <v>221.63120567375884</v>
      </c>
      <c r="H110" s="53">
        <v>18</v>
      </c>
      <c r="I110" s="53">
        <v>0.69293559999999998</v>
      </c>
      <c r="J110" s="53">
        <v>15.886578571428601</v>
      </c>
      <c r="K110" s="61">
        <v>24.4</v>
      </c>
      <c r="L110" s="53">
        <v>65.234549090644506</v>
      </c>
      <c r="M110" s="53">
        <v>31.226580064951285</v>
      </c>
      <c r="N110" s="53">
        <v>11.485346090192815</v>
      </c>
      <c r="O110" s="53">
        <v>48.660918775143905</v>
      </c>
      <c r="P110" s="53">
        <v>8.7984425954317018</v>
      </c>
      <c r="Q110" s="53">
        <v>1.5065200000000001E-2</v>
      </c>
      <c r="R110" s="53">
        <f>94.49-89.61</f>
        <v>4.8799999999999955</v>
      </c>
      <c r="S110" s="53">
        <f t="shared" si="5"/>
        <v>617.4262295081968</v>
      </c>
      <c r="T110" s="53">
        <v>67.8</v>
      </c>
      <c r="U110" s="53">
        <v>57.202146666666671</v>
      </c>
      <c r="V110" s="53">
        <v>172.4</v>
      </c>
      <c r="W110" s="53">
        <v>106.4</v>
      </c>
      <c r="X110" s="53">
        <v>5.3571428571428568</v>
      </c>
    </row>
    <row r="111" spans="1:24" x14ac:dyDescent="0.3">
      <c r="A111" s="62" t="s">
        <v>199</v>
      </c>
      <c r="B111" s="53">
        <v>14</v>
      </c>
      <c r="C111" s="72">
        <v>19</v>
      </c>
      <c r="D111" s="52">
        <v>16.8</v>
      </c>
      <c r="E111" s="52">
        <v>5</v>
      </c>
      <c r="F111" s="62">
        <v>1.591</v>
      </c>
      <c r="G111" s="53">
        <v>198.01980198019868</v>
      </c>
      <c r="H111" s="53">
        <v>24</v>
      </c>
      <c r="I111" s="53">
        <v>0.54685449999999991</v>
      </c>
      <c r="J111" s="53">
        <v>19.061285000000002</v>
      </c>
      <c r="K111" s="61">
        <v>18.100000000000001</v>
      </c>
      <c r="L111" s="53">
        <v>60.790166905412349</v>
      </c>
      <c r="M111" s="53">
        <v>49.830576041459082</v>
      </c>
      <c r="N111" s="53">
        <v>5.4006744538614546</v>
      </c>
      <c r="O111" s="53">
        <v>59.784394033000602</v>
      </c>
      <c r="P111" s="53">
        <v>11.044982882772725</v>
      </c>
      <c r="Q111" s="53">
        <v>9.68019E-3</v>
      </c>
      <c r="R111" s="53">
        <f>90.13-82.72</f>
        <v>7.4099999999999966</v>
      </c>
      <c r="S111" s="53">
        <f t="shared" si="5"/>
        <v>534.81712707182317</v>
      </c>
      <c r="T111" s="53">
        <v>63</v>
      </c>
      <c r="U111" s="53">
        <v>70.129384999999985</v>
      </c>
      <c r="V111" s="53">
        <v>244.17</v>
      </c>
      <c r="W111" s="53">
        <v>153</v>
      </c>
      <c r="X111" s="53">
        <v>12.5</v>
      </c>
    </row>
    <row r="112" spans="1:24" x14ac:dyDescent="0.3">
      <c r="A112" s="62" t="s">
        <v>200</v>
      </c>
      <c r="B112" s="53">
        <v>14</v>
      </c>
      <c r="C112" s="72">
        <v>19</v>
      </c>
      <c r="D112" s="52">
        <v>16.850000000000001</v>
      </c>
      <c r="E112" s="52">
        <v>5</v>
      </c>
      <c r="F112" s="62">
        <v>0.8</v>
      </c>
      <c r="G112" s="53">
        <v>162.89297931259136</v>
      </c>
      <c r="H112" s="53">
        <v>30</v>
      </c>
      <c r="I112" s="53">
        <v>0.69982861538461549</v>
      </c>
      <c r="J112" s="53">
        <v>21.404576923076899</v>
      </c>
      <c r="K112" s="61">
        <v>30</v>
      </c>
      <c r="L112" s="53">
        <v>69.087318595865312</v>
      </c>
      <c r="M112" s="53">
        <v>61.425061425061102</v>
      </c>
      <c r="N112" s="53">
        <v>25.272117440565982</v>
      </c>
      <c r="O112" s="53">
        <v>63.609065101886863</v>
      </c>
      <c r="P112" s="53">
        <v>24.198899379043194</v>
      </c>
      <c r="Q112" s="53">
        <v>7.2293399999999999E-3</v>
      </c>
      <c r="R112" s="53">
        <f>96.95-84.66</f>
        <v>12.290000000000006</v>
      </c>
      <c r="S112" s="53">
        <f t="shared" si="5"/>
        <v>240.97800000000001</v>
      </c>
      <c r="T112" s="53">
        <v>66.040000000000006</v>
      </c>
      <c r="U112" s="53">
        <v>60.011646153846151</v>
      </c>
      <c r="V112" s="53">
        <v>210.7</v>
      </c>
      <c r="W112" s="53">
        <v>101.8</v>
      </c>
      <c r="X112" s="53">
        <v>11.818181818181818</v>
      </c>
    </row>
    <row r="113" spans="1:24" x14ac:dyDescent="0.3">
      <c r="A113" s="62" t="s">
        <v>201</v>
      </c>
      <c r="B113" s="53">
        <v>14</v>
      </c>
      <c r="C113" s="72">
        <v>16</v>
      </c>
      <c r="D113" s="52">
        <v>16.899999999999999</v>
      </c>
      <c r="E113" s="52">
        <v>5</v>
      </c>
      <c r="F113" s="62">
        <v>1.77</v>
      </c>
      <c r="G113" s="53">
        <v>226.75736961451264</v>
      </c>
      <c r="H113" s="53">
        <v>34</v>
      </c>
      <c r="I113" s="63">
        <v>0.60072928000000003</v>
      </c>
      <c r="J113" s="63">
        <v>12.24854</v>
      </c>
      <c r="K113" s="53">
        <v>26.7</v>
      </c>
      <c r="L113" s="53">
        <v>32.511696903100834</v>
      </c>
      <c r="M113" s="53">
        <v>60.474117077890448</v>
      </c>
      <c r="N113" s="53">
        <v>8.6195003653692304</v>
      </c>
      <c r="O113" s="53">
        <v>73.63850951037962</v>
      </c>
      <c r="P113" s="53">
        <v>6.3670629449809013</v>
      </c>
      <c r="Q113" s="53">
        <v>7.89692E-3</v>
      </c>
      <c r="R113" s="53">
        <f>76.8-74.14</f>
        <v>2.6599999999999966</v>
      </c>
      <c r="S113" s="53">
        <f t="shared" si="5"/>
        <v>295.76479400749065</v>
      </c>
      <c r="T113" s="53">
        <v>64.42</v>
      </c>
      <c r="U113" s="53">
        <v>81.923839999999998</v>
      </c>
      <c r="V113" s="53">
        <v>273</v>
      </c>
      <c r="W113" s="53">
        <v>153</v>
      </c>
      <c r="X113" s="53">
        <v>3.75</v>
      </c>
    </row>
    <row r="114" spans="1:24" x14ac:dyDescent="0.3">
      <c r="A114" s="62" t="s">
        <v>202</v>
      </c>
      <c r="B114" s="53">
        <v>14</v>
      </c>
      <c r="C114" s="72">
        <v>16</v>
      </c>
      <c r="D114" s="52">
        <v>16.95</v>
      </c>
      <c r="E114" s="52">
        <v>5</v>
      </c>
      <c r="F114" s="62">
        <v>2.1</v>
      </c>
      <c r="G114" s="53">
        <v>250.87807325639622</v>
      </c>
      <c r="H114" s="53">
        <v>40</v>
      </c>
      <c r="I114" s="53">
        <v>0.52446637499999993</v>
      </c>
      <c r="J114" s="53">
        <v>13.239343478260899</v>
      </c>
      <c r="K114" s="53">
        <v>12.74</v>
      </c>
      <c r="L114" s="53">
        <v>34.166482233987402</v>
      </c>
      <c r="M114" s="53">
        <v>75.872534142639992</v>
      </c>
      <c r="N114" s="53">
        <v>10.264279335098612</v>
      </c>
      <c r="O114" s="53">
        <v>84.08601496617257</v>
      </c>
      <c r="P114" s="53">
        <v>9.1578626760830257</v>
      </c>
      <c r="Q114" s="53">
        <v>6.5080600000000004E-3</v>
      </c>
      <c r="R114" s="53">
        <f>76.63-74.97</f>
        <v>1.6599999999999966</v>
      </c>
      <c r="S114" s="53">
        <f t="shared" si="5"/>
        <v>510.83673469387753</v>
      </c>
      <c r="T114" s="53">
        <v>66</v>
      </c>
      <c r="U114" s="53">
        <v>82.308449999999993</v>
      </c>
      <c r="V114" s="53">
        <v>295.64999999999998</v>
      </c>
      <c r="W114" s="53">
        <v>174.22</v>
      </c>
      <c r="X114" s="53">
        <v>4.6875</v>
      </c>
    </row>
    <row r="115" spans="1:24" x14ac:dyDescent="0.3">
      <c r="A115" s="52" t="s">
        <v>161</v>
      </c>
      <c r="B115" s="53">
        <v>14</v>
      </c>
      <c r="C115" s="53">
        <v>16</v>
      </c>
      <c r="D115" s="53">
        <v>19</v>
      </c>
      <c r="E115" s="62">
        <v>6</v>
      </c>
      <c r="F115" s="53">
        <v>1.31</v>
      </c>
      <c r="G115" s="53">
        <v>253.61399949277305</v>
      </c>
      <c r="H115" s="53">
        <v>58</v>
      </c>
      <c r="I115" s="53">
        <v>0.59651900000000002</v>
      </c>
      <c r="J115" s="53">
        <v>17.511536363636399</v>
      </c>
      <c r="K115" s="53">
        <v>26.5</v>
      </c>
      <c r="L115" s="53">
        <v>53.214708958908489</v>
      </c>
      <c r="M115" s="53">
        <v>112.08249271463765</v>
      </c>
      <c r="N115" s="53">
        <v>23.687254628078581</v>
      </c>
      <c r="O115" s="53">
        <v>119.97815459475405</v>
      </c>
      <c r="P115" s="53">
        <v>21.600150464215464</v>
      </c>
      <c r="Q115" s="53">
        <v>8.9700000000000005E-3</v>
      </c>
      <c r="R115" s="53">
        <f>90.28-84.08</f>
        <v>6.2000000000000028</v>
      </c>
      <c r="S115" s="53">
        <f t="shared" si="5"/>
        <v>338.4905660377359</v>
      </c>
      <c r="T115" s="53">
        <v>67.03</v>
      </c>
      <c r="U115" s="53">
        <v>63.711990476190479</v>
      </c>
      <c r="V115" s="53">
        <v>212.5</v>
      </c>
      <c r="W115" s="53">
        <v>130.19</v>
      </c>
      <c r="X115" s="53">
        <v>11.428571428571429</v>
      </c>
    </row>
    <row r="116" spans="1:24" x14ac:dyDescent="0.3">
      <c r="A116" s="52" t="s">
        <v>162</v>
      </c>
      <c r="B116" s="53">
        <v>14</v>
      </c>
      <c r="C116" s="52">
        <v>16</v>
      </c>
      <c r="D116" s="54">
        <v>19.05</v>
      </c>
      <c r="E116" s="62">
        <v>6</v>
      </c>
      <c r="F116" s="54">
        <v>0.7</v>
      </c>
      <c r="G116" s="53">
        <v>169.72165648336738</v>
      </c>
      <c r="H116" s="53">
        <v>24</v>
      </c>
      <c r="I116" s="53">
        <v>0.43777560714285718</v>
      </c>
      <c r="J116" s="53">
        <v>25.299067857142902</v>
      </c>
      <c r="K116" s="53">
        <v>25.7</v>
      </c>
      <c r="L116" s="53">
        <v>91.99585025232372</v>
      </c>
      <c r="M116" s="53">
        <v>49.385154822460308</v>
      </c>
      <c r="N116" s="53">
        <v>24.018593603208032</v>
      </c>
      <c r="O116" s="53">
        <v>51.909233718957637</v>
      </c>
      <c r="P116" s="53">
        <v>21.055415018364858</v>
      </c>
      <c r="Q116" s="53">
        <v>9.7796900000000006E-3</v>
      </c>
      <c r="R116" s="53">
        <f>88.26-78.13</f>
        <v>10.13000000000001</v>
      </c>
      <c r="S116" s="53">
        <f t="shared" si="5"/>
        <v>380.53268482490279</v>
      </c>
      <c r="T116" s="53">
        <v>65.39</v>
      </c>
      <c r="U116" s="53">
        <v>67.949571428571431</v>
      </c>
      <c r="V116" s="53">
        <v>284.10000000000002</v>
      </c>
      <c r="W116" s="53">
        <v>186.1</v>
      </c>
      <c r="X116" s="53">
        <v>11.111111111111111</v>
      </c>
    </row>
    <row r="117" spans="1:24" x14ac:dyDescent="0.3">
      <c r="A117" s="54" t="s">
        <v>163</v>
      </c>
      <c r="B117" s="53">
        <v>14</v>
      </c>
      <c r="C117" s="52">
        <v>17</v>
      </c>
      <c r="D117" s="52">
        <v>19.100000000000001</v>
      </c>
      <c r="E117" s="62">
        <v>6</v>
      </c>
      <c r="F117" s="52">
        <v>1.35</v>
      </c>
      <c r="G117" s="53">
        <v>251.88916876574314</v>
      </c>
      <c r="H117" s="53">
        <v>46</v>
      </c>
      <c r="I117" s="53">
        <v>0.57406783333333322</v>
      </c>
      <c r="J117" s="53">
        <v>18.7988</v>
      </c>
      <c r="K117" s="61">
        <v>16.5</v>
      </c>
      <c r="L117" s="53">
        <v>42.359360389130806</v>
      </c>
      <c r="M117" s="53">
        <v>79.113924050633003</v>
      </c>
      <c r="N117" s="53">
        <v>14.738011048545561</v>
      </c>
      <c r="O117" s="53">
        <v>96.082524103320608</v>
      </c>
      <c r="P117" s="53">
        <v>11.509598948366358</v>
      </c>
      <c r="Q117" s="53">
        <v>5.5132999999999996E-3</v>
      </c>
      <c r="R117" s="53">
        <f>86.82-81.29</f>
        <v>5.5299999999999869</v>
      </c>
      <c r="S117" s="53">
        <f t="shared" si="5"/>
        <v>334.13939393939393</v>
      </c>
      <c r="T117" s="53">
        <v>67</v>
      </c>
      <c r="U117" s="53">
        <v>68.433972222222224</v>
      </c>
      <c r="V117" s="53">
        <v>262.49</v>
      </c>
      <c r="W117" s="53">
        <v>138.6</v>
      </c>
      <c r="X117" s="53">
        <v>7.2222222222222223</v>
      </c>
    </row>
    <row r="118" spans="1:24" x14ac:dyDescent="0.3">
      <c r="A118" s="54" t="s">
        <v>164</v>
      </c>
      <c r="B118" s="53">
        <v>14</v>
      </c>
      <c r="C118" s="54">
        <v>17</v>
      </c>
      <c r="D118" s="54">
        <v>19.149999999999999</v>
      </c>
      <c r="E118" s="62">
        <v>6</v>
      </c>
      <c r="F118" s="54">
        <v>1.1000000000000001</v>
      </c>
      <c r="G118" s="61">
        <v>229.46305644791167</v>
      </c>
      <c r="H118" s="53">
        <v>36</v>
      </c>
      <c r="I118" s="53">
        <v>0.44420399999999999</v>
      </c>
      <c r="J118" s="53">
        <v>28.691608333333299</v>
      </c>
      <c r="K118" s="61">
        <v>20.05</v>
      </c>
      <c r="L118" s="61">
        <v>43.005378060065702</v>
      </c>
      <c r="M118" s="53">
        <v>66.666666666666671</v>
      </c>
      <c r="N118" s="53">
        <v>10.470319648969241</v>
      </c>
      <c r="O118" s="61">
        <v>74.976529857201697</v>
      </c>
      <c r="P118" s="53">
        <v>11.301313830657529</v>
      </c>
      <c r="Q118" s="53">
        <v>8.2363499999999999E-3</v>
      </c>
      <c r="R118" s="53">
        <f>85.84-83.4</f>
        <v>2.4399999999999977</v>
      </c>
      <c r="S118" s="53">
        <f t="shared" si="5"/>
        <v>410.79052369077306</v>
      </c>
      <c r="T118" s="53">
        <v>65.95</v>
      </c>
      <c r="U118" s="53">
        <v>58.466788000000008</v>
      </c>
      <c r="V118" s="53">
        <v>274</v>
      </c>
      <c r="W118" s="53">
        <v>172</v>
      </c>
      <c r="X118" s="63">
        <v>7.0454545454545459</v>
      </c>
    </row>
    <row r="119" spans="1:24" x14ac:dyDescent="0.3">
      <c r="A119" s="54" t="s">
        <v>166</v>
      </c>
      <c r="B119" s="53">
        <v>14</v>
      </c>
      <c r="C119" s="54">
        <v>17</v>
      </c>
      <c r="D119" s="53">
        <v>19.2</v>
      </c>
      <c r="E119" s="62">
        <v>6</v>
      </c>
      <c r="F119" s="54">
        <v>0.9</v>
      </c>
      <c r="G119" s="53">
        <v>239.23444976076516</v>
      </c>
      <c r="H119" s="53">
        <v>45</v>
      </c>
      <c r="I119" s="53">
        <v>0.68177335714285714</v>
      </c>
      <c r="J119" s="53">
        <v>16.775269230769201</v>
      </c>
      <c r="K119" s="61">
        <v>26.1</v>
      </c>
      <c r="L119" s="53">
        <v>51.328463360674519</v>
      </c>
      <c r="M119" s="53">
        <v>81.947062197820372</v>
      </c>
      <c r="N119" s="53">
        <v>18.169736143577932</v>
      </c>
      <c r="O119" s="53">
        <v>90.770034366988256</v>
      </c>
      <c r="P119" s="53">
        <v>16.696508715810143</v>
      </c>
      <c r="Q119" s="53">
        <v>5.6049799999999999E-3</v>
      </c>
      <c r="R119" s="53">
        <f>95.54-88.44</f>
        <v>7.1000000000000085</v>
      </c>
      <c r="S119" s="53">
        <f t="shared" si="5"/>
        <v>214.75019157088121</v>
      </c>
      <c r="T119" s="53">
        <v>65.8</v>
      </c>
      <c r="U119" s="53">
        <v>67.073264285714274</v>
      </c>
      <c r="V119" s="53">
        <v>226.56</v>
      </c>
      <c r="W119" s="53">
        <v>123.29</v>
      </c>
      <c r="X119" s="53">
        <v>9.0909090909090899</v>
      </c>
    </row>
    <row r="120" spans="1:24" x14ac:dyDescent="0.3">
      <c r="A120" s="54" t="s">
        <v>169</v>
      </c>
      <c r="B120" s="53">
        <v>14</v>
      </c>
      <c r="C120" s="54">
        <v>19</v>
      </c>
      <c r="D120" s="54">
        <v>19.25</v>
      </c>
      <c r="E120" s="62">
        <v>6</v>
      </c>
      <c r="F120" s="54">
        <v>0.77</v>
      </c>
      <c r="G120" s="53">
        <v>231.64234422052465</v>
      </c>
      <c r="H120" s="53">
        <v>59</v>
      </c>
      <c r="I120" s="53">
        <v>0.43186160869565227</v>
      </c>
      <c r="J120" s="53">
        <v>22.224743478260901</v>
      </c>
      <c r="K120" s="54">
        <v>17.7</v>
      </c>
      <c r="L120" s="53">
        <v>46.362468778572044</v>
      </c>
      <c r="M120" s="53">
        <v>109.03936321011827</v>
      </c>
      <c r="N120" s="53">
        <v>23.208798364452527</v>
      </c>
      <c r="O120" s="53">
        <v>121.4068249033804</v>
      </c>
      <c r="P120" s="53">
        <v>20.665024458328702</v>
      </c>
      <c r="Q120" s="53">
        <v>1.0199400000000001E-2</v>
      </c>
      <c r="R120" s="53">
        <f>77.7-66.8</f>
        <v>10.900000000000006</v>
      </c>
      <c r="S120" s="53">
        <f t="shared" si="5"/>
        <v>576.23728813559319</v>
      </c>
      <c r="T120" s="53">
        <v>66.650000000000006</v>
      </c>
      <c r="U120" s="53">
        <v>80.813199999999995</v>
      </c>
      <c r="V120" s="53">
        <v>334.1</v>
      </c>
      <c r="W120" s="53">
        <v>230.5</v>
      </c>
      <c r="X120" s="53">
        <v>11.25</v>
      </c>
    </row>
    <row r="121" spans="1:24" x14ac:dyDescent="0.3">
      <c r="A121" s="54" t="s">
        <v>171</v>
      </c>
      <c r="B121" s="53">
        <v>14</v>
      </c>
      <c r="C121" s="54">
        <v>17</v>
      </c>
      <c r="D121" s="52">
        <v>19.3</v>
      </c>
      <c r="E121" s="62">
        <v>6</v>
      </c>
      <c r="F121" s="62">
        <v>0.73</v>
      </c>
      <c r="G121" s="53">
        <v>227.94620469569179</v>
      </c>
      <c r="H121" s="53">
        <v>48</v>
      </c>
      <c r="I121" s="53">
        <v>0.59243139130434763</v>
      </c>
      <c r="J121" s="53">
        <v>15.4021043478261</v>
      </c>
      <c r="K121" s="62">
        <v>23.8</v>
      </c>
      <c r="L121" s="53">
        <v>50.956261899104781</v>
      </c>
      <c r="M121" s="53">
        <v>87.950747581354406</v>
      </c>
      <c r="N121" s="53">
        <v>20.324462940744667</v>
      </c>
      <c r="O121" s="53">
        <v>97.366213363995129</v>
      </c>
      <c r="P121" s="53">
        <v>18.076218695802158</v>
      </c>
      <c r="Q121" s="53">
        <v>8.0454299999999992E-3</v>
      </c>
      <c r="R121" s="53">
        <f>91.63-81.69</f>
        <v>9.9399999999999977</v>
      </c>
      <c r="S121" s="53">
        <f t="shared" si="5"/>
        <v>338.04327731092434</v>
      </c>
      <c r="T121" s="53">
        <f>65.9</f>
        <v>65.900000000000006</v>
      </c>
      <c r="U121" s="53">
        <v>83.244</v>
      </c>
      <c r="V121" s="53">
        <v>299.41000000000003</v>
      </c>
      <c r="W121" s="53">
        <v>164.6</v>
      </c>
      <c r="X121" s="53">
        <v>10</v>
      </c>
    </row>
    <row r="122" spans="1:24" x14ac:dyDescent="0.3">
      <c r="A122" s="54" t="s">
        <v>173</v>
      </c>
      <c r="B122" s="53">
        <v>14</v>
      </c>
      <c r="C122" s="54">
        <v>16</v>
      </c>
      <c r="D122" s="54">
        <v>19.350000000000001</v>
      </c>
      <c r="E122" s="62">
        <v>6</v>
      </c>
      <c r="F122" s="54">
        <v>1.1499999999999999</v>
      </c>
      <c r="G122" s="53">
        <v>196.07843137254923</v>
      </c>
      <c r="H122" s="53">
        <v>35</v>
      </c>
      <c r="I122" s="53">
        <v>0.73856293103448289</v>
      </c>
      <c r="J122" s="53">
        <v>25.7947275862069</v>
      </c>
      <c r="K122" s="65">
        <v>33.5</v>
      </c>
      <c r="L122" s="53">
        <v>44.00898532339545</v>
      </c>
      <c r="M122" s="53">
        <v>63.19115323854642</v>
      </c>
      <c r="N122" s="53">
        <v>13.651919400134286</v>
      </c>
      <c r="O122" s="53">
        <v>74.048684506656841</v>
      </c>
      <c r="P122" s="53">
        <v>11.291706914511861</v>
      </c>
      <c r="Q122" s="53">
        <v>6.2831099999999997E-3</v>
      </c>
      <c r="R122" s="53">
        <f>94.32-88.06</f>
        <v>6.2599999999999909</v>
      </c>
      <c r="S122" s="53">
        <f t="shared" si="5"/>
        <v>187.5555223880597</v>
      </c>
      <c r="T122" s="53">
        <v>66.41</v>
      </c>
      <c r="U122" s="53">
        <v>66.199996551724098</v>
      </c>
      <c r="V122" s="53">
        <v>220.4</v>
      </c>
      <c r="W122" s="53">
        <v>106.4</v>
      </c>
      <c r="X122" s="53">
        <v>6.5</v>
      </c>
    </row>
    <row r="123" spans="1:24" x14ac:dyDescent="0.3">
      <c r="A123" s="54" t="s">
        <v>175</v>
      </c>
      <c r="B123" s="53">
        <v>14</v>
      </c>
      <c r="C123" s="54">
        <v>16</v>
      </c>
      <c r="D123" s="53">
        <v>19.399999999999999</v>
      </c>
      <c r="E123" s="62">
        <v>6</v>
      </c>
      <c r="F123" s="54">
        <v>1.85</v>
      </c>
      <c r="G123" s="62">
        <v>171.90991920233861</v>
      </c>
      <c r="H123" s="53">
        <v>23</v>
      </c>
      <c r="I123" s="53">
        <v>0.85713493333333324</v>
      </c>
      <c r="J123" s="54">
        <v>17.8875103448276</v>
      </c>
      <c r="K123" s="54">
        <v>21.7</v>
      </c>
      <c r="L123" s="62">
        <v>49.266284214708463</v>
      </c>
      <c r="M123" s="62">
        <v>50.423557886244467</v>
      </c>
      <c r="N123" s="62">
        <v>13.697555825614067</v>
      </c>
      <c r="O123" s="62">
        <v>60.89460419231974</v>
      </c>
      <c r="P123" s="62">
        <v>7.3457422064955225</v>
      </c>
      <c r="Q123" s="53">
        <v>4.8682300000000003E-3</v>
      </c>
      <c r="R123" s="53">
        <f>88.11-81.9</f>
        <v>6.2099999999999937</v>
      </c>
      <c r="S123" s="53">
        <f t="shared" si="5"/>
        <v>224.34239631336408</v>
      </c>
      <c r="T123" s="61">
        <v>71</v>
      </c>
      <c r="U123" s="53">
        <v>74.070233333333363</v>
      </c>
      <c r="V123" s="53">
        <v>194.6</v>
      </c>
      <c r="W123" s="53">
        <v>93.4</v>
      </c>
      <c r="X123" s="53">
        <v>5</v>
      </c>
    </row>
    <row r="124" spans="1:24" ht="15" thickBot="1" x14ac:dyDescent="0.35">
      <c r="A124" s="54" t="s">
        <v>177</v>
      </c>
      <c r="B124" s="53">
        <v>14</v>
      </c>
      <c r="C124" s="71">
        <v>16</v>
      </c>
      <c r="D124" s="54">
        <v>19.45</v>
      </c>
      <c r="E124" s="62">
        <v>6</v>
      </c>
      <c r="F124" s="71">
        <v>1.3</v>
      </c>
      <c r="G124" s="53">
        <v>168.77637130801736</v>
      </c>
      <c r="H124" s="53">
        <v>28</v>
      </c>
      <c r="I124" s="72">
        <v>0.75680099999999972</v>
      </c>
      <c r="J124" s="53">
        <v>20.943196666666701</v>
      </c>
      <c r="K124" s="65">
        <v>20</v>
      </c>
      <c r="L124" s="53">
        <v>34.348372997843512</v>
      </c>
      <c r="M124" s="53">
        <v>44.873233116446102</v>
      </c>
      <c r="N124" s="53">
        <v>9.8430241977622988</v>
      </c>
      <c r="O124" s="53">
        <v>60.149269283997398</v>
      </c>
      <c r="P124" s="53">
        <v>6.4200921815980871</v>
      </c>
      <c r="Q124" s="53">
        <v>4.57487E-3</v>
      </c>
      <c r="R124" s="53">
        <f>80.5-76.5</f>
        <v>4</v>
      </c>
      <c r="S124" s="53">
        <f t="shared" si="5"/>
        <v>228.74350000000001</v>
      </c>
      <c r="T124" s="61">
        <v>68</v>
      </c>
      <c r="U124" s="53">
        <v>74.328620000000015</v>
      </c>
      <c r="V124" s="53">
        <v>210</v>
      </c>
      <c r="W124" s="53">
        <v>118.55</v>
      </c>
      <c r="X124" s="53">
        <v>4.3181818181818183</v>
      </c>
    </row>
    <row r="125" spans="1:24" x14ac:dyDescent="0.3">
      <c r="A125" s="54" t="s">
        <v>179</v>
      </c>
      <c r="B125" s="53">
        <v>14</v>
      </c>
      <c r="C125" s="64">
        <v>15</v>
      </c>
      <c r="D125" s="52">
        <v>19.5</v>
      </c>
      <c r="E125" s="62">
        <v>6</v>
      </c>
      <c r="F125" s="70">
        <v>0.47599999999999998</v>
      </c>
      <c r="G125" s="53">
        <v>177.49378771742943</v>
      </c>
      <c r="H125" s="53">
        <v>34</v>
      </c>
      <c r="I125" s="53">
        <v>0.70381073333333333</v>
      </c>
      <c r="J125" s="53">
        <v>11.9852833333333</v>
      </c>
      <c r="K125" s="65">
        <v>36.9</v>
      </c>
      <c r="L125" s="53">
        <v>65.048437307648541</v>
      </c>
      <c r="M125" s="53">
        <v>64.226075786769229</v>
      </c>
      <c r="N125" s="53">
        <v>23.323171846891</v>
      </c>
      <c r="O125" s="53">
        <v>71.517836829727472</v>
      </c>
      <c r="P125" s="53">
        <v>20.466764471228466</v>
      </c>
      <c r="Q125" s="55">
        <v>1.4364999999999999E-2</v>
      </c>
      <c r="R125" s="53">
        <f>96.39-90.2</f>
        <v>6.1899999999999977</v>
      </c>
      <c r="S125" s="53">
        <f t="shared" si="5"/>
        <v>389.29539295392954</v>
      </c>
      <c r="T125" s="53">
        <v>65</v>
      </c>
      <c r="U125" s="53">
        <v>64.039961538461526</v>
      </c>
      <c r="V125" s="53">
        <v>220.27</v>
      </c>
      <c r="W125" s="53">
        <v>132.97</v>
      </c>
      <c r="X125" s="53">
        <v>11.153846153846153</v>
      </c>
    </row>
    <row r="126" spans="1:24" x14ac:dyDescent="0.3">
      <c r="A126" s="54" t="s">
        <v>181</v>
      </c>
      <c r="B126" s="53">
        <v>14</v>
      </c>
      <c r="C126" s="72">
        <v>14</v>
      </c>
      <c r="D126" s="54">
        <v>19.55</v>
      </c>
      <c r="E126" s="62">
        <v>6</v>
      </c>
      <c r="F126" s="62">
        <v>1.94</v>
      </c>
      <c r="G126" s="53">
        <v>234.7417840375592</v>
      </c>
      <c r="H126" s="53">
        <v>41</v>
      </c>
      <c r="I126" s="53">
        <v>0.61288623529411768</v>
      </c>
      <c r="J126" s="53">
        <v>13.384623529411799</v>
      </c>
      <c r="K126" s="53">
        <v>23.2</v>
      </c>
      <c r="L126" s="53">
        <v>40.53154703685896</v>
      </c>
      <c r="M126" s="53">
        <v>74.872716382150372</v>
      </c>
      <c r="N126" s="53">
        <v>12.884465976967769</v>
      </c>
      <c r="O126" s="53">
        <v>86.547394114663916</v>
      </c>
      <c r="P126" s="53">
        <v>10.485104198948871</v>
      </c>
      <c r="Q126" s="55">
        <v>9.2205900000000007E-3</v>
      </c>
      <c r="R126" s="53">
        <f>83.4-80.4</f>
        <v>3</v>
      </c>
      <c r="S126" s="53">
        <f t="shared" si="5"/>
        <v>397.43922413793103</v>
      </c>
      <c r="T126" s="53">
        <v>66.599999999999994</v>
      </c>
      <c r="U126" s="53">
        <v>76.477047058823516</v>
      </c>
      <c r="V126" s="53">
        <v>243.04</v>
      </c>
      <c r="W126" s="53">
        <v>150.34</v>
      </c>
      <c r="X126" s="53">
        <v>6.0714285714285712</v>
      </c>
    </row>
    <row r="127" spans="1:24" x14ac:dyDescent="0.3">
      <c r="A127" s="54" t="s">
        <v>183</v>
      </c>
      <c r="B127" s="53">
        <v>14</v>
      </c>
      <c r="C127" s="72">
        <v>14</v>
      </c>
      <c r="D127" s="53">
        <v>19.600000000000001</v>
      </c>
      <c r="E127" s="62">
        <v>6</v>
      </c>
      <c r="F127" s="62">
        <v>1.04</v>
      </c>
      <c r="G127" s="53">
        <v>219.78021978021923</v>
      </c>
      <c r="H127" s="53">
        <v>37</v>
      </c>
      <c r="I127" s="53">
        <v>0.71910734482758598</v>
      </c>
      <c r="J127" s="53">
        <v>13.833927586206901</v>
      </c>
      <c r="K127" s="53">
        <v>29.3</v>
      </c>
      <c r="L127" s="53">
        <v>55.973063302217092</v>
      </c>
      <c r="M127" s="53">
        <v>65.312520410162477</v>
      </c>
      <c r="N127" s="53">
        <v>16.884957422845364</v>
      </c>
      <c r="O127" s="53">
        <v>81.784904598260766</v>
      </c>
      <c r="P127" s="53">
        <v>14.343956035656374</v>
      </c>
      <c r="Q127" s="53">
        <v>7.3106100000000004E-3</v>
      </c>
      <c r="R127" s="53">
        <f>92.7-85.78</f>
        <v>6.9200000000000017</v>
      </c>
      <c r="S127" s="53">
        <f t="shared" si="5"/>
        <v>249.50887372013651</v>
      </c>
      <c r="T127" s="53">
        <v>67.5</v>
      </c>
      <c r="U127" s="53">
        <v>76.285531034482744</v>
      </c>
      <c r="V127" s="53">
        <v>208.05</v>
      </c>
      <c r="W127" s="53">
        <v>120.22</v>
      </c>
      <c r="X127" s="53">
        <v>6.5909090909090908</v>
      </c>
    </row>
    <row r="128" spans="1:24" x14ac:dyDescent="0.3">
      <c r="A128" s="54" t="s">
        <v>185</v>
      </c>
      <c r="B128" s="53">
        <v>14</v>
      </c>
      <c r="C128" s="72">
        <v>14</v>
      </c>
      <c r="D128" s="54">
        <v>19.649999999999999</v>
      </c>
      <c r="E128" s="62">
        <v>6</v>
      </c>
      <c r="F128" s="62">
        <v>1.1399999999999999</v>
      </c>
      <c r="G128" s="53">
        <v>233.31777881474562</v>
      </c>
      <c r="H128" s="53">
        <v>42</v>
      </c>
      <c r="I128" s="53">
        <v>0.61940659999999992</v>
      </c>
      <c r="J128" s="53">
        <v>12.2884233333333</v>
      </c>
      <c r="K128" s="53">
        <v>32.9</v>
      </c>
      <c r="L128" s="53">
        <v>47.529964724667032</v>
      </c>
      <c r="M128" s="53">
        <v>76.405867970659685</v>
      </c>
      <c r="N128" s="53">
        <v>16.616740130627342</v>
      </c>
      <c r="O128" s="53">
        <v>88.236669808071653</v>
      </c>
      <c r="P128" s="53">
        <v>14.479808319702482</v>
      </c>
      <c r="Q128" s="53">
        <v>7.62073E-3</v>
      </c>
      <c r="R128" s="53">
        <f>87.48-83.43</f>
        <v>4.0499999999999972</v>
      </c>
      <c r="S128" s="53">
        <f t="shared" si="5"/>
        <v>231.63313069908816</v>
      </c>
      <c r="T128" s="53">
        <v>63</v>
      </c>
      <c r="U128" s="53">
        <v>76.293943333333331</v>
      </c>
      <c r="V128" s="53">
        <v>265.45</v>
      </c>
      <c r="W128" s="53">
        <v>148.01</v>
      </c>
      <c r="X128" s="53">
        <v>7.916666666666667</v>
      </c>
    </row>
    <row r="129" spans="1:24" x14ac:dyDescent="0.3">
      <c r="A129" s="62" t="s">
        <v>187</v>
      </c>
      <c r="B129" s="53">
        <v>14</v>
      </c>
      <c r="C129" s="72">
        <v>14</v>
      </c>
      <c r="D129" s="52">
        <v>19.7</v>
      </c>
      <c r="E129" s="62">
        <v>6</v>
      </c>
      <c r="F129" s="62">
        <v>1.25</v>
      </c>
      <c r="G129" s="53">
        <v>205.0440844781624</v>
      </c>
      <c r="H129" s="53">
        <v>35</v>
      </c>
      <c r="I129" s="53">
        <v>0.70102951851851847</v>
      </c>
      <c r="J129" s="53">
        <v>17.0649814814815</v>
      </c>
      <c r="K129" s="53">
        <v>23.2</v>
      </c>
      <c r="L129" s="53">
        <v>45.310683623975834</v>
      </c>
      <c r="M129" s="53">
        <v>48.030739673390855</v>
      </c>
      <c r="N129" s="53">
        <v>11.828160498820138</v>
      </c>
      <c r="O129" s="53">
        <v>64.426726782203147</v>
      </c>
      <c r="P129" s="53">
        <v>7.5614981981624636</v>
      </c>
      <c r="Q129" s="53">
        <v>1.90361E-2</v>
      </c>
      <c r="R129" s="53">
        <f>88.2-83.96</f>
        <v>4.2400000000000091</v>
      </c>
      <c r="S129" s="53">
        <f t="shared" si="5"/>
        <v>820.52155172413802</v>
      </c>
      <c r="T129" s="53">
        <v>60</v>
      </c>
      <c r="U129" s="53">
        <v>71.354614814814823</v>
      </c>
      <c r="V129" s="53">
        <v>204.66</v>
      </c>
      <c r="W129" s="53">
        <v>116.61</v>
      </c>
      <c r="X129" s="53">
        <v>5</v>
      </c>
    </row>
    <row r="130" spans="1:24" x14ac:dyDescent="0.3">
      <c r="A130" s="62" t="s">
        <v>189</v>
      </c>
      <c r="B130" s="53">
        <v>14</v>
      </c>
      <c r="C130" s="72">
        <v>18</v>
      </c>
      <c r="D130" s="54">
        <v>19.75</v>
      </c>
      <c r="E130" s="62">
        <v>6</v>
      </c>
      <c r="F130" s="62">
        <v>0.64800000000000002</v>
      </c>
      <c r="G130" s="53">
        <v>201.04543626859711</v>
      </c>
      <c r="H130" s="53">
        <v>39</v>
      </c>
      <c r="I130" s="53">
        <v>0.50786206896551722</v>
      </c>
      <c r="J130" s="53">
        <v>20.002686206896598</v>
      </c>
      <c r="K130" s="53">
        <v>26.9</v>
      </c>
      <c r="L130" s="53">
        <v>31.753094405557103</v>
      </c>
      <c r="M130" s="53">
        <v>70.126227208976204</v>
      </c>
      <c r="N130" s="53">
        <v>11.798285996296812</v>
      </c>
      <c r="O130" s="53">
        <v>82.724623049821005</v>
      </c>
      <c r="P130" s="53">
        <v>9.3154438382385525</v>
      </c>
      <c r="Q130" s="53">
        <v>1.11501E-2</v>
      </c>
      <c r="R130" s="53">
        <f>93.78-85.05</f>
        <v>8.730000000000004</v>
      </c>
      <c r="S130" s="53">
        <f t="shared" si="5"/>
        <v>414.50185873605949</v>
      </c>
      <c r="T130" s="53">
        <v>70</v>
      </c>
      <c r="U130" s="53">
        <v>87.86957241379308</v>
      </c>
      <c r="V130" s="53">
        <v>350.8</v>
      </c>
      <c r="W130" s="53">
        <v>215.95</v>
      </c>
      <c r="X130" s="53">
        <v>5.5</v>
      </c>
    </row>
    <row r="131" spans="1:24" x14ac:dyDescent="0.3">
      <c r="A131" s="62" t="s">
        <v>191</v>
      </c>
      <c r="B131" s="53">
        <v>14</v>
      </c>
      <c r="C131" s="72">
        <v>18</v>
      </c>
      <c r="D131" s="53">
        <v>19.8</v>
      </c>
      <c r="E131" s="62">
        <v>6</v>
      </c>
      <c r="F131" s="62">
        <v>1</v>
      </c>
      <c r="G131" s="53">
        <v>221.97558268590478</v>
      </c>
      <c r="H131" s="53">
        <v>34</v>
      </c>
      <c r="I131" s="53">
        <v>0.58646034482758624</v>
      </c>
      <c r="J131" s="53">
        <v>14.991486206896599</v>
      </c>
      <c r="K131" s="53">
        <v>36.6</v>
      </c>
      <c r="L131" s="53">
        <v>41.603111594982295</v>
      </c>
      <c r="M131" s="53">
        <v>57.803468208092255</v>
      </c>
      <c r="N131" s="53">
        <v>10.850562490276165</v>
      </c>
      <c r="O131" s="53">
        <v>70.392269291537318</v>
      </c>
      <c r="P131" s="53">
        <v>8.3444050551417259</v>
      </c>
      <c r="Q131" s="53">
        <v>6.6858000000000004E-3</v>
      </c>
      <c r="R131" s="53">
        <f>97.69-85.86</f>
        <v>11.829999999999998</v>
      </c>
      <c r="S131" s="53">
        <f t="shared" si="5"/>
        <v>182.67213114754097</v>
      </c>
      <c r="T131" s="53">
        <v>69.75</v>
      </c>
      <c r="U131" s="53">
        <v>86.051151724137938</v>
      </c>
      <c r="V131" s="53">
        <v>301.89</v>
      </c>
      <c r="W131" s="53">
        <v>170.11</v>
      </c>
      <c r="X131" s="53">
        <v>5</v>
      </c>
    </row>
    <row r="132" spans="1:24" x14ac:dyDescent="0.3">
      <c r="A132" s="62" t="s">
        <v>193</v>
      </c>
      <c r="B132" s="53">
        <v>14</v>
      </c>
      <c r="C132" s="72">
        <v>15</v>
      </c>
      <c r="D132" s="54">
        <v>19.850000000000001</v>
      </c>
      <c r="E132" s="62">
        <v>6</v>
      </c>
      <c r="F132" s="62">
        <v>2.95</v>
      </c>
      <c r="G132" s="53">
        <v>224.61814914645112</v>
      </c>
      <c r="H132" s="53">
        <v>23</v>
      </c>
      <c r="I132" s="53">
        <v>0.58253524137931023</v>
      </c>
      <c r="J132" s="53">
        <v>18.678875862068999</v>
      </c>
      <c r="K132" s="53">
        <v>20</v>
      </c>
      <c r="L132" s="53">
        <v>55.261393061683336</v>
      </c>
      <c r="M132" s="53">
        <v>44.931703810208312</v>
      </c>
      <c r="N132" s="53">
        <v>12.409369677919248</v>
      </c>
      <c r="O132" s="53">
        <v>58.880835586176794</v>
      </c>
      <c r="P132" s="53">
        <v>8.4448019979527977</v>
      </c>
      <c r="Q132" s="53">
        <v>5.4415599999999998E-3</v>
      </c>
      <c r="R132" s="53">
        <f>85.46-81.51</f>
        <v>3.9499999999999886</v>
      </c>
      <c r="S132" s="53">
        <f t="shared" si="5"/>
        <v>272.07799999999997</v>
      </c>
      <c r="T132" s="53">
        <v>66.87</v>
      </c>
      <c r="U132" s="53">
        <v>73.793613793103461</v>
      </c>
      <c r="V132" s="53">
        <v>250.82</v>
      </c>
      <c r="W132" s="53">
        <v>136.63999999999999</v>
      </c>
      <c r="X132" s="53">
        <v>5.2777777777777777</v>
      </c>
    </row>
    <row r="133" spans="1:24" x14ac:dyDescent="0.3">
      <c r="A133" s="62" t="s">
        <v>195</v>
      </c>
      <c r="B133" s="53">
        <v>14</v>
      </c>
      <c r="C133" s="72">
        <v>15</v>
      </c>
      <c r="D133" s="52">
        <v>19.899999999999999</v>
      </c>
      <c r="E133" s="62">
        <v>6</v>
      </c>
      <c r="F133" s="62">
        <v>1.9</v>
      </c>
      <c r="G133" s="53">
        <v>240.15369836695393</v>
      </c>
      <c r="H133" s="53">
        <v>42</v>
      </c>
      <c r="I133" s="53">
        <v>0.58458258620689652</v>
      </c>
      <c r="J133" s="53">
        <v>14.2990724137931</v>
      </c>
      <c r="K133" s="53">
        <v>17.8</v>
      </c>
      <c r="L133" s="53">
        <v>29.3951373550318</v>
      </c>
      <c r="M133" s="53">
        <v>70.906899241296415</v>
      </c>
      <c r="N133" s="53">
        <v>8.5703774456426913</v>
      </c>
      <c r="O133" s="53">
        <v>87.386756664070688</v>
      </c>
      <c r="P133" s="53">
        <v>6.8421226424859904</v>
      </c>
      <c r="Q133" s="53">
        <v>6.7315200000000004E-3</v>
      </c>
      <c r="R133" s="53">
        <f>79.54-76.01</f>
        <v>3.5300000000000011</v>
      </c>
      <c r="S133" s="53">
        <f t="shared" si="5"/>
        <v>378.17528089887639</v>
      </c>
      <c r="T133" s="53">
        <v>65.09</v>
      </c>
      <c r="U133" s="53">
        <v>80.050765517241388</v>
      </c>
      <c r="V133" s="53">
        <v>274.32</v>
      </c>
      <c r="W133" s="53">
        <v>154.19</v>
      </c>
      <c r="X133" s="53">
        <v>3.8888888888888888</v>
      </c>
    </row>
    <row r="134" spans="1:24" x14ac:dyDescent="0.3">
      <c r="A134" s="62" t="s">
        <v>197</v>
      </c>
      <c r="B134" s="53">
        <v>14</v>
      </c>
      <c r="C134" s="72">
        <v>15</v>
      </c>
      <c r="D134" s="54">
        <v>19.95</v>
      </c>
      <c r="E134" s="62">
        <v>6</v>
      </c>
      <c r="F134" s="62">
        <v>0.64</v>
      </c>
      <c r="G134" s="53">
        <v>196.03999215840034</v>
      </c>
      <c r="H134" s="53">
        <v>38</v>
      </c>
      <c r="I134" s="53">
        <v>0.7134968965517241</v>
      </c>
      <c r="J134" s="53">
        <v>13.3898551724138</v>
      </c>
      <c r="K134" s="53">
        <v>44.7</v>
      </c>
      <c r="L134" s="53">
        <v>15.893766178984807</v>
      </c>
      <c r="M134" s="53">
        <v>64.345923685734761</v>
      </c>
      <c r="N134" s="53">
        <v>19.253620475296948</v>
      </c>
      <c r="O134" s="53">
        <v>81.360104296228357</v>
      </c>
      <c r="P134" s="53">
        <v>25.476048288819086</v>
      </c>
      <c r="Q134" s="53">
        <v>7.0010300000000001E-3</v>
      </c>
      <c r="R134" s="53">
        <f>94.24-79.37</f>
        <v>14.86999999999999</v>
      </c>
      <c r="S134" s="53">
        <f t="shared" si="5"/>
        <v>156.62259507829975</v>
      </c>
      <c r="T134" s="53">
        <v>65</v>
      </c>
      <c r="U134" s="53">
        <v>70.8618275862069</v>
      </c>
      <c r="V134" s="53">
        <v>185</v>
      </c>
      <c r="W134" s="53">
        <v>115</v>
      </c>
      <c r="X134" s="53">
        <v>14.545454545454545</v>
      </c>
    </row>
  </sheetData>
  <autoFilter ref="A1:X13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134"/>
  <sheetViews>
    <sheetView zoomScale="50" zoomScaleNormal="50" workbookViewId="0">
      <selection activeCell="S30" sqref="S30"/>
    </sheetView>
  </sheetViews>
  <sheetFormatPr defaultRowHeight="14.4" x14ac:dyDescent="0.3"/>
  <cols>
    <col min="1" max="24" width="9.109375" style="53"/>
  </cols>
  <sheetData>
    <row r="1" spans="1:24" x14ac:dyDescent="0.3">
      <c r="A1" s="53" t="s">
        <v>1</v>
      </c>
      <c r="B1" s="53" t="s">
        <v>234</v>
      </c>
      <c r="C1" s="53" t="s">
        <v>8</v>
      </c>
      <c r="D1" s="53" t="s">
        <v>9</v>
      </c>
      <c r="E1" s="53" t="s">
        <v>10</v>
      </c>
      <c r="F1" s="53" t="s">
        <v>3</v>
      </c>
      <c r="G1" s="53" t="s">
        <v>83</v>
      </c>
      <c r="H1" s="53" t="s">
        <v>5</v>
      </c>
      <c r="I1" s="53" t="s">
        <v>6</v>
      </c>
      <c r="J1" s="53" t="s">
        <v>7</v>
      </c>
      <c r="K1" s="53" t="s">
        <v>11</v>
      </c>
      <c r="L1" s="53" t="s">
        <v>12</v>
      </c>
      <c r="M1" s="53" t="s">
        <v>13</v>
      </c>
      <c r="N1" s="53" t="s">
        <v>14</v>
      </c>
      <c r="O1" s="53" t="s">
        <v>15</v>
      </c>
      <c r="P1" s="53" t="s">
        <v>16</v>
      </c>
      <c r="Q1" s="53" t="s">
        <v>17</v>
      </c>
      <c r="R1" s="53" t="s">
        <v>18</v>
      </c>
      <c r="S1" s="53" t="s">
        <v>19</v>
      </c>
      <c r="T1" s="53" t="s">
        <v>20</v>
      </c>
      <c r="U1" s="53" t="s">
        <v>21</v>
      </c>
      <c r="V1" s="53" t="s">
        <v>84</v>
      </c>
      <c r="W1" s="53" t="s">
        <v>23</v>
      </c>
      <c r="X1" s="53" t="s">
        <v>24</v>
      </c>
    </row>
    <row r="2" spans="1:24" x14ac:dyDescent="0.3">
      <c r="A2" s="53" t="s">
        <v>29</v>
      </c>
      <c r="B2" s="53">
        <v>3</v>
      </c>
      <c r="C2" s="53">
        <v>3</v>
      </c>
      <c r="D2" s="53">
        <v>1</v>
      </c>
      <c r="E2" s="53" t="s">
        <v>235</v>
      </c>
      <c r="F2" s="53">
        <v>0.06</v>
      </c>
      <c r="G2" s="53">
        <v>77.549437766576133</v>
      </c>
      <c r="H2" s="53">
        <v>16</v>
      </c>
      <c r="I2" s="53">
        <v>1.6787210714285712</v>
      </c>
      <c r="J2" s="53">
        <v>22.304966666666701</v>
      </c>
      <c r="K2" s="53">
        <v>99</v>
      </c>
      <c r="L2" s="53">
        <v>154.34216907199172</v>
      </c>
      <c r="M2" s="53">
        <v>35.172874679047467</v>
      </c>
      <c r="N2" s="53">
        <v>54.455264954119357</v>
      </c>
      <c r="O2" s="53">
        <v>32.612620210124575</v>
      </c>
      <c r="P2" s="53">
        <v>38.722649925064523</v>
      </c>
      <c r="Q2" s="53">
        <v>1.8208100000000001E-2</v>
      </c>
      <c r="R2" s="53">
        <v>7.7000000000000028</v>
      </c>
      <c r="S2" s="53">
        <v>151.65</v>
      </c>
      <c r="T2" s="53">
        <v>65.2</v>
      </c>
      <c r="U2" s="53">
        <v>65.5</v>
      </c>
      <c r="V2" s="53">
        <v>96.9</v>
      </c>
      <c r="W2" s="53">
        <v>37.4</v>
      </c>
      <c r="X2" s="53">
        <v>25</v>
      </c>
    </row>
    <row r="3" spans="1:24" x14ac:dyDescent="0.3">
      <c r="A3" s="53" t="s">
        <v>32</v>
      </c>
      <c r="B3" s="53">
        <v>3</v>
      </c>
      <c r="C3" s="53">
        <v>3</v>
      </c>
      <c r="D3" s="53">
        <v>1</v>
      </c>
      <c r="E3" s="53" t="s">
        <v>235</v>
      </c>
      <c r="F3" s="53">
        <v>1.4</v>
      </c>
      <c r="G3" s="53">
        <v>122.9105211406097</v>
      </c>
      <c r="H3" s="53">
        <v>29</v>
      </c>
      <c r="I3" s="53">
        <v>1.1895036666666665</v>
      </c>
      <c r="J3" s="53">
        <v>7.1390068965517202</v>
      </c>
      <c r="K3" s="53">
        <v>64.7</v>
      </c>
      <c r="L3" s="53">
        <v>85.928817008238866</v>
      </c>
      <c r="M3" s="53">
        <v>52.90165582182717</v>
      </c>
      <c r="N3" s="53">
        <v>36.601035346339991</v>
      </c>
      <c r="O3" s="53">
        <v>57.160249562243465</v>
      </c>
      <c r="P3" s="53">
        <v>34.046266666252833</v>
      </c>
      <c r="Q3" s="53">
        <v>1.53467E-2</v>
      </c>
      <c r="R3" s="53">
        <v>8.7999999999999972</v>
      </c>
      <c r="S3" s="53">
        <v>237.19</v>
      </c>
      <c r="T3" s="53">
        <v>65</v>
      </c>
      <c r="U3" s="53">
        <v>78.599999999999994</v>
      </c>
      <c r="V3" s="53">
        <v>205.7</v>
      </c>
      <c r="W3" s="53">
        <v>65.3</v>
      </c>
      <c r="X3" s="53">
        <v>18.399999999999999</v>
      </c>
    </row>
    <row r="4" spans="1:24" x14ac:dyDescent="0.3">
      <c r="A4" s="53" t="s">
        <v>34</v>
      </c>
      <c r="B4" s="53">
        <v>3</v>
      </c>
      <c r="C4" s="53">
        <v>3</v>
      </c>
      <c r="D4" s="53">
        <v>1</v>
      </c>
      <c r="E4" s="53" t="s">
        <v>235</v>
      </c>
      <c r="F4" s="53">
        <v>0.36</v>
      </c>
      <c r="G4" s="53">
        <v>138.66258572218629</v>
      </c>
      <c r="H4" s="53">
        <v>22</v>
      </c>
      <c r="I4" s="53">
        <v>0.98629673333333345</v>
      </c>
      <c r="J4" s="53">
        <v>5.3563655172413798</v>
      </c>
      <c r="K4" s="53">
        <v>52.8</v>
      </c>
      <c r="L4" s="53">
        <v>138.66258572218629</v>
      </c>
      <c r="M4" s="53">
        <v>46.74207721791155</v>
      </c>
      <c r="N4" s="53">
        <v>48.47300021882721</v>
      </c>
      <c r="O4" s="53">
        <v>42.84169722220431</v>
      </c>
      <c r="P4" s="53">
        <v>38.353048866016657</v>
      </c>
      <c r="Q4" s="53">
        <v>1.2986599999999999E-2</v>
      </c>
      <c r="R4" s="53">
        <v>7.1000000000000085</v>
      </c>
      <c r="S4" s="53">
        <v>212.89508196721309</v>
      </c>
      <c r="T4" s="53">
        <v>65</v>
      </c>
      <c r="U4" s="53">
        <v>71.759999999999991</v>
      </c>
      <c r="V4" s="53">
        <v>168.7</v>
      </c>
      <c r="W4" s="53">
        <v>72.599999999999994</v>
      </c>
      <c r="X4" s="53">
        <v>25.757575760000002</v>
      </c>
    </row>
    <row r="5" spans="1:24" x14ac:dyDescent="0.3">
      <c r="A5" s="53" t="s">
        <v>36</v>
      </c>
      <c r="B5" s="53">
        <v>3</v>
      </c>
      <c r="C5" s="53">
        <v>3</v>
      </c>
      <c r="D5" s="53">
        <v>1</v>
      </c>
      <c r="E5" s="53" t="s">
        <v>235</v>
      </c>
      <c r="F5" s="53">
        <v>0.33</v>
      </c>
      <c r="G5" s="53">
        <v>151.05740181268936</v>
      </c>
      <c r="H5" s="53">
        <v>25</v>
      </c>
      <c r="I5" s="53">
        <v>1.0856079166666668</v>
      </c>
      <c r="J5" s="53">
        <v>7.07213478260869</v>
      </c>
      <c r="K5" s="53">
        <v>46.699999999999996</v>
      </c>
      <c r="L5" s="53">
        <v>96.827480458593911</v>
      </c>
      <c r="M5" s="53">
        <v>51.064698973599626</v>
      </c>
      <c r="N5" s="53">
        <v>30.765043223897777</v>
      </c>
      <c r="O5" s="53">
        <v>57.556769979018881</v>
      </c>
      <c r="P5" s="53">
        <v>21.645961903995346</v>
      </c>
      <c r="Q5" s="53">
        <v>1.36533E-2</v>
      </c>
      <c r="R5" s="53">
        <v>2.1700000000000017</v>
      </c>
      <c r="S5" s="53">
        <v>292.36188436830838</v>
      </c>
      <c r="T5" s="53">
        <v>60.9</v>
      </c>
      <c r="U5" s="53">
        <v>60.7</v>
      </c>
      <c r="V5" s="53">
        <v>119.4</v>
      </c>
      <c r="W5" s="53">
        <v>57.3</v>
      </c>
      <c r="X5" s="53">
        <v>18.18181818181818</v>
      </c>
    </row>
    <row r="6" spans="1:24" x14ac:dyDescent="0.3">
      <c r="A6" s="53" t="s">
        <v>38</v>
      </c>
      <c r="B6" s="53">
        <v>3</v>
      </c>
      <c r="C6" s="53">
        <v>3</v>
      </c>
      <c r="D6" s="53">
        <v>1</v>
      </c>
      <c r="E6" s="53" t="s">
        <v>235</v>
      </c>
      <c r="F6" s="53">
        <v>0.25</v>
      </c>
      <c r="G6" s="53">
        <v>135.2447930754665</v>
      </c>
      <c r="H6" s="53">
        <v>26</v>
      </c>
      <c r="I6" s="53">
        <v>1.1950000000000001</v>
      </c>
      <c r="J6" s="53">
        <v>7.8070000000000004</v>
      </c>
      <c r="K6" s="53">
        <v>81.400000000000006</v>
      </c>
      <c r="L6" s="53">
        <v>123.2084915901869</v>
      </c>
      <c r="M6" s="53">
        <v>37.94638696326507</v>
      </c>
      <c r="N6" s="53">
        <v>41.517383479595537</v>
      </c>
      <c r="O6" s="53">
        <v>54.773227477637072</v>
      </c>
      <c r="P6" s="53">
        <v>37.94638696326507</v>
      </c>
      <c r="Q6" s="53">
        <v>1.6842599999999999E-2</v>
      </c>
      <c r="R6" s="53">
        <v>13.299999999999997</v>
      </c>
      <c r="S6" s="53">
        <v>206.91154791154801</v>
      </c>
      <c r="T6" s="53">
        <v>58</v>
      </c>
      <c r="U6" s="53">
        <v>62.23</v>
      </c>
      <c r="V6" s="53">
        <v>114.8</v>
      </c>
      <c r="W6" s="53">
        <v>53.7</v>
      </c>
      <c r="X6" s="53">
        <v>17.27272727272727</v>
      </c>
    </row>
    <row r="7" spans="1:24" x14ac:dyDescent="0.3">
      <c r="A7" s="53" t="s">
        <v>42</v>
      </c>
      <c r="B7" s="53">
        <v>3</v>
      </c>
      <c r="C7" s="53">
        <v>2</v>
      </c>
      <c r="D7" s="53">
        <v>1</v>
      </c>
      <c r="E7" s="53" t="s">
        <v>235</v>
      </c>
      <c r="F7" s="53">
        <v>0.18</v>
      </c>
      <c r="G7" s="53">
        <v>110</v>
      </c>
      <c r="H7" s="53">
        <v>29</v>
      </c>
      <c r="I7" s="53">
        <v>1.1420199999999998</v>
      </c>
      <c r="J7" s="53">
        <v>20.2611375</v>
      </c>
      <c r="K7" s="53">
        <v>122</v>
      </c>
      <c r="L7" s="53">
        <v>96.679781130543205</v>
      </c>
      <c r="M7" s="53">
        <v>54.710581026370441</v>
      </c>
      <c r="N7" s="53">
        <v>49.263212126250615</v>
      </c>
      <c r="O7" s="53">
        <v>59.049966726885998</v>
      </c>
      <c r="P7" s="53">
        <v>43.128537822097151</v>
      </c>
      <c r="Q7" s="53">
        <v>2.4686300000000001E-2</v>
      </c>
      <c r="R7" s="53">
        <v>14.700000000000017</v>
      </c>
      <c r="S7" s="53">
        <v>202.34672131147542</v>
      </c>
      <c r="T7" s="53">
        <v>63.9</v>
      </c>
      <c r="U7" s="53">
        <v>80.8</v>
      </c>
      <c r="V7" s="53">
        <v>193.9</v>
      </c>
      <c r="W7" s="53">
        <v>73.400000000000006</v>
      </c>
      <c r="X7" s="53">
        <v>21.538461538461537</v>
      </c>
    </row>
    <row r="8" spans="1:24" x14ac:dyDescent="0.3">
      <c r="A8" s="53" t="s">
        <v>44</v>
      </c>
      <c r="B8" s="53">
        <v>3</v>
      </c>
      <c r="C8" s="53">
        <v>2</v>
      </c>
      <c r="D8" s="53">
        <v>1</v>
      </c>
      <c r="E8" s="53" t="s">
        <v>235</v>
      </c>
      <c r="F8" s="53">
        <v>0.27</v>
      </c>
      <c r="G8" s="53">
        <v>141.63</v>
      </c>
      <c r="H8" s="53">
        <v>26</v>
      </c>
      <c r="I8" s="53">
        <v>1.0427513333333336</v>
      </c>
      <c r="J8" s="53">
        <v>10.2581137931034</v>
      </c>
      <c r="K8" s="53">
        <v>62.5</v>
      </c>
      <c r="L8" s="53">
        <v>124.99758021054858</v>
      </c>
      <c r="M8" s="53">
        <v>49.925112331502817</v>
      </c>
      <c r="N8" s="53">
        <v>41.67872725936013</v>
      </c>
      <c r="O8" s="53">
        <v>53.219581502002427</v>
      </c>
      <c r="P8" s="53">
        <v>39.35205248798411</v>
      </c>
      <c r="Q8" s="53">
        <v>1.1476800000000001E-2</v>
      </c>
      <c r="R8" s="53">
        <v>5.9000000000000057</v>
      </c>
      <c r="S8" s="53">
        <v>183.62880000000001</v>
      </c>
      <c r="T8" s="53">
        <v>64.3</v>
      </c>
      <c r="U8" s="53">
        <v>77.400000000000006</v>
      </c>
      <c r="V8" s="53">
        <v>192.2</v>
      </c>
      <c r="W8" s="53">
        <v>75.8</v>
      </c>
      <c r="X8" s="53">
        <v>23.333333329999999</v>
      </c>
    </row>
    <row r="9" spans="1:24" x14ac:dyDescent="0.3">
      <c r="A9" s="53" t="s">
        <v>46</v>
      </c>
      <c r="B9" s="53">
        <v>3</v>
      </c>
      <c r="C9" s="53">
        <v>3</v>
      </c>
      <c r="D9" s="53">
        <v>1</v>
      </c>
      <c r="E9" s="53" t="s">
        <v>235</v>
      </c>
      <c r="F9" s="53">
        <v>0.35</v>
      </c>
      <c r="G9" s="53">
        <v>126.1352169525732</v>
      </c>
      <c r="H9" s="53">
        <v>23</v>
      </c>
      <c r="I9" s="53">
        <v>1.0872793333333333</v>
      </c>
      <c r="J9" s="53">
        <v>11.768599999999999</v>
      </c>
      <c r="K9" s="53">
        <v>57.2</v>
      </c>
      <c r="L9" s="53">
        <v>89.372615430796913</v>
      </c>
      <c r="M9" s="53">
        <v>42.545949625595611</v>
      </c>
      <c r="N9" s="53">
        <v>32.951694898611805</v>
      </c>
      <c r="O9" s="53">
        <v>49.210881469075986</v>
      </c>
      <c r="P9" s="53">
        <v>24.193729073378524</v>
      </c>
      <c r="Q9" s="53">
        <v>1.44984E-2</v>
      </c>
      <c r="R9" s="53">
        <v>1.8399999999999892</v>
      </c>
      <c r="S9" s="53">
        <v>253.46853146853147</v>
      </c>
      <c r="T9" s="53">
        <v>65</v>
      </c>
      <c r="U9" s="53">
        <v>81.2</v>
      </c>
      <c r="V9" s="53">
        <v>168.5</v>
      </c>
      <c r="W9" s="53">
        <v>75.400000000000006</v>
      </c>
      <c r="X9" s="53">
        <v>15.65217391</v>
      </c>
    </row>
    <row r="10" spans="1:24" x14ac:dyDescent="0.3">
      <c r="A10" s="53" t="s">
        <v>48</v>
      </c>
      <c r="B10" s="53">
        <v>3</v>
      </c>
      <c r="C10" s="53">
        <v>3</v>
      </c>
      <c r="D10" s="53">
        <v>1</v>
      </c>
      <c r="E10" s="53" t="s">
        <v>235</v>
      </c>
      <c r="F10" s="53">
        <v>0.48</v>
      </c>
      <c r="G10" s="53">
        <v>120.90436464756397</v>
      </c>
      <c r="H10" s="53">
        <v>25</v>
      </c>
      <c r="I10" s="53">
        <v>1.0085</v>
      </c>
      <c r="J10" s="53">
        <v>13.964</v>
      </c>
      <c r="K10" s="53">
        <v>49.699999999999996</v>
      </c>
      <c r="L10" s="53">
        <v>102.35746902775114</v>
      </c>
      <c r="M10" s="53">
        <v>49.171460884102892</v>
      </c>
      <c r="N10" s="53">
        <v>37.667935620091164</v>
      </c>
      <c r="O10" s="53">
        <v>62.932021233446413</v>
      </c>
      <c r="P10" s="53">
        <v>33.375646368437671</v>
      </c>
      <c r="Q10" s="53">
        <v>1.42325E-2</v>
      </c>
      <c r="R10" s="53">
        <v>2.5499999999999972</v>
      </c>
      <c r="S10" s="53">
        <v>286.36799999999999</v>
      </c>
      <c r="T10" s="53">
        <v>63.9</v>
      </c>
      <c r="U10" s="53">
        <v>74.58</v>
      </c>
      <c r="V10" s="53">
        <v>172.4</v>
      </c>
      <c r="W10" s="53">
        <v>81.2</v>
      </c>
      <c r="X10" s="53">
        <v>23.15789474</v>
      </c>
    </row>
    <row r="11" spans="1:24" x14ac:dyDescent="0.3">
      <c r="A11" s="53" t="s">
        <v>50</v>
      </c>
      <c r="B11" s="53">
        <v>3</v>
      </c>
      <c r="C11" s="53">
        <v>3</v>
      </c>
      <c r="D11" s="53">
        <v>1</v>
      </c>
      <c r="E11" s="53" t="s">
        <v>235</v>
      </c>
      <c r="F11" s="53">
        <v>0.09</v>
      </c>
      <c r="G11" s="53">
        <v>103.45541071798058</v>
      </c>
      <c r="H11" s="53">
        <v>20</v>
      </c>
      <c r="I11" s="53">
        <v>1.4664000000000001</v>
      </c>
      <c r="J11" s="53">
        <v>10.903752941176499</v>
      </c>
      <c r="K11" s="53">
        <v>189.1</v>
      </c>
      <c r="L11" s="53">
        <v>195.9989469896407</v>
      </c>
      <c r="M11" s="53">
        <v>35.273368606701915</v>
      </c>
      <c r="N11" s="53">
        <v>64.723825497101359</v>
      </c>
      <c r="O11" s="53">
        <v>64.483783630286567</v>
      </c>
      <c r="P11" s="53">
        <v>51.248707317573263</v>
      </c>
      <c r="Q11" s="53">
        <v>2.8678700000000001E-2</v>
      </c>
      <c r="R11" s="53">
        <v>15.050000000000011</v>
      </c>
      <c r="S11" s="53">
        <v>151.65891062929668</v>
      </c>
      <c r="T11" s="53">
        <v>65</v>
      </c>
      <c r="U11" s="53">
        <v>77</v>
      </c>
      <c r="V11" s="53">
        <v>135.6</v>
      </c>
      <c r="W11" s="53">
        <v>47.8</v>
      </c>
      <c r="X11" s="53">
        <v>37.142857139999997</v>
      </c>
    </row>
    <row r="12" spans="1:24" x14ac:dyDescent="0.3">
      <c r="A12" s="53" t="s">
        <v>55</v>
      </c>
      <c r="B12" s="53">
        <v>3</v>
      </c>
      <c r="C12" s="53">
        <v>3</v>
      </c>
      <c r="D12" s="53">
        <v>1</v>
      </c>
      <c r="E12" s="53" t="s">
        <v>235</v>
      </c>
      <c r="F12" s="53">
        <v>0.55000000000000004</v>
      </c>
      <c r="G12" s="53">
        <v>104.3841336116912</v>
      </c>
      <c r="H12" s="53">
        <v>21</v>
      </c>
      <c r="I12" s="53">
        <v>1.0732326086956518</v>
      </c>
      <c r="J12" s="53">
        <v>9.1303045454545497</v>
      </c>
      <c r="K12" s="53">
        <v>52.7</v>
      </c>
      <c r="L12" s="53">
        <v>86.190067931890027</v>
      </c>
      <c r="M12" s="53">
        <v>39.536630688332728</v>
      </c>
      <c r="N12" s="53">
        <v>29.828993252302599</v>
      </c>
      <c r="O12" s="53">
        <v>43.006410260326511</v>
      </c>
      <c r="P12" s="53">
        <v>24.539168222284086</v>
      </c>
      <c r="Q12" s="53">
        <v>1.0788499999999999E-2</v>
      </c>
      <c r="R12" s="53">
        <v>3.2600000000000051</v>
      </c>
      <c r="S12" s="53">
        <v>204.71537001897531</v>
      </c>
      <c r="T12" s="53">
        <v>63.1</v>
      </c>
      <c r="U12" s="53">
        <v>63.131582608695652</v>
      </c>
      <c r="V12" s="53">
        <v>154.5</v>
      </c>
      <c r="W12" s="53">
        <v>69.3</v>
      </c>
      <c r="X12" s="53">
        <v>16.19047619047619</v>
      </c>
    </row>
    <row r="13" spans="1:24" x14ac:dyDescent="0.3">
      <c r="A13" s="53" t="s">
        <v>58</v>
      </c>
      <c r="B13" s="53">
        <v>3</v>
      </c>
      <c r="C13" s="53">
        <v>3</v>
      </c>
      <c r="D13" s="53">
        <v>1</v>
      </c>
      <c r="E13" s="53" t="s">
        <v>235</v>
      </c>
      <c r="F13" s="53">
        <v>0.46</v>
      </c>
      <c r="G13" s="53">
        <v>94.759783947692625</v>
      </c>
      <c r="H13" s="53">
        <v>21</v>
      </c>
      <c r="I13" s="53">
        <v>1.0503516666666666</v>
      </c>
      <c r="J13" s="53">
        <v>4.0325241379310404</v>
      </c>
      <c r="K13" s="53">
        <v>41.3</v>
      </c>
      <c r="L13" s="53">
        <v>84.260646174765981</v>
      </c>
      <c r="M13" s="53">
        <v>41.464527097068526</v>
      </c>
      <c r="N13" s="53">
        <v>34.389827211812545</v>
      </c>
      <c r="O13" s="53">
        <v>41.962914740784115</v>
      </c>
      <c r="P13" s="53">
        <v>33.727115058327449</v>
      </c>
      <c r="Q13" s="53">
        <v>9.2183600000000001E-3</v>
      </c>
      <c r="R13" s="53">
        <v>0.01</v>
      </c>
      <c r="S13" s="53">
        <v>223.20484261501213</v>
      </c>
      <c r="T13" s="53">
        <v>63.19</v>
      </c>
      <c r="U13" s="53">
        <v>63.138836666666656</v>
      </c>
      <c r="V13" s="53">
        <v>163.5</v>
      </c>
      <c r="W13" s="53">
        <v>74.8</v>
      </c>
      <c r="X13" s="53">
        <v>17.777777777777779</v>
      </c>
    </row>
    <row r="14" spans="1:24" x14ac:dyDescent="0.3">
      <c r="A14" s="53" t="s">
        <v>61</v>
      </c>
      <c r="B14" s="53">
        <v>3</v>
      </c>
      <c r="C14" s="53">
        <v>3</v>
      </c>
      <c r="D14" s="53">
        <v>1</v>
      </c>
      <c r="E14" s="53" t="s">
        <v>235</v>
      </c>
      <c r="F14" s="53">
        <v>1.25</v>
      </c>
      <c r="G14" s="53">
        <v>131.09596224436262</v>
      </c>
      <c r="H14" s="53">
        <v>26</v>
      </c>
      <c r="I14" s="53">
        <v>0.95915493333333335</v>
      </c>
      <c r="J14" s="53">
        <v>9.5256931034482797</v>
      </c>
      <c r="K14" s="53">
        <v>23.9</v>
      </c>
      <c r="L14" s="53">
        <v>66.095632633497274</v>
      </c>
      <c r="M14" s="53">
        <v>48.787627457676834</v>
      </c>
      <c r="N14" s="53">
        <v>21.422137197544586</v>
      </c>
      <c r="O14" s="53">
        <v>53.904474963360116</v>
      </c>
      <c r="P14" s="53">
        <v>18.813127635038676</v>
      </c>
      <c r="Q14" s="53">
        <v>6.0709800000000001E-3</v>
      </c>
      <c r="R14" s="53">
        <v>0.01</v>
      </c>
      <c r="S14" s="53">
        <v>152.658910629297</v>
      </c>
      <c r="T14" s="53">
        <v>68.900000000000006</v>
      </c>
      <c r="U14" s="53">
        <v>59.560143333333357</v>
      </c>
      <c r="V14" s="53">
        <v>148.16</v>
      </c>
      <c r="W14" s="53">
        <v>78.959999999999994</v>
      </c>
      <c r="X14" s="53">
        <v>10.588235294117647</v>
      </c>
    </row>
    <row r="15" spans="1:24" x14ac:dyDescent="0.3">
      <c r="A15" s="53" t="s">
        <v>64</v>
      </c>
      <c r="B15" s="53">
        <v>3</v>
      </c>
      <c r="C15" s="53">
        <v>3</v>
      </c>
      <c r="D15" s="53">
        <v>1</v>
      </c>
      <c r="E15" s="53" t="s">
        <v>235</v>
      </c>
      <c r="F15" s="53">
        <v>0.57999999999999996</v>
      </c>
      <c r="G15" s="53">
        <v>128.98232942086909</v>
      </c>
      <c r="H15" s="53">
        <v>26</v>
      </c>
      <c r="I15" s="53">
        <v>1.1003613333333333</v>
      </c>
      <c r="J15" s="53">
        <v>9.2478724137931003</v>
      </c>
      <c r="K15" s="53">
        <v>70.599999999999994</v>
      </c>
      <c r="L15" s="53">
        <v>91.481160293845761</v>
      </c>
      <c r="M15" s="53">
        <v>47.709923664122051</v>
      </c>
      <c r="N15" s="53">
        <v>32.287966252831055</v>
      </c>
      <c r="O15" s="53">
        <v>52.14115166923014</v>
      </c>
      <c r="P15" s="53">
        <v>28.614095472321939</v>
      </c>
      <c r="Q15" s="53">
        <v>1.6213399999999999E-2</v>
      </c>
      <c r="R15" s="53">
        <v>3.7199999999999989</v>
      </c>
      <c r="S15" s="53">
        <v>229.6515580736544</v>
      </c>
      <c r="T15" s="53">
        <v>66.5</v>
      </c>
      <c r="U15" s="53">
        <v>63.806149999999995</v>
      </c>
      <c r="V15" s="53">
        <v>149.30000000000001</v>
      </c>
      <c r="W15" s="53">
        <v>72.8</v>
      </c>
      <c r="X15" s="53">
        <v>16.923076923076923</v>
      </c>
    </row>
    <row r="16" spans="1:24" x14ac:dyDescent="0.3">
      <c r="A16" s="53" t="s">
        <v>67</v>
      </c>
      <c r="B16" s="53">
        <v>3</v>
      </c>
      <c r="C16" s="53">
        <v>3</v>
      </c>
      <c r="D16" s="53">
        <v>1</v>
      </c>
      <c r="E16" s="53" t="s">
        <v>235</v>
      </c>
      <c r="F16" s="53">
        <v>0.78</v>
      </c>
      <c r="G16" s="53">
        <v>114.42956860052632</v>
      </c>
      <c r="H16" s="53">
        <v>25</v>
      </c>
      <c r="I16" s="53">
        <v>0.90819736666666651</v>
      </c>
      <c r="J16" s="53">
        <v>9.66880689655172</v>
      </c>
      <c r="K16" s="53">
        <v>32.22</v>
      </c>
      <c r="L16" s="53">
        <v>91.621163991744851</v>
      </c>
      <c r="M16" s="53">
        <v>47.705371624844979</v>
      </c>
      <c r="N16" s="53">
        <v>33.57948829193321</v>
      </c>
      <c r="O16" s="53">
        <v>52.379576755619638</v>
      </c>
      <c r="P16" s="53">
        <v>27.988092482965587</v>
      </c>
      <c r="Q16" s="53">
        <v>1.43082E-2</v>
      </c>
      <c r="R16" s="53">
        <v>3.7000000000000171</v>
      </c>
      <c r="S16" s="53">
        <v>444.07821229050279</v>
      </c>
      <c r="T16" s="53">
        <v>66.2</v>
      </c>
      <c r="U16" s="53">
        <v>60.386150000000015</v>
      </c>
      <c r="V16" s="53">
        <v>165.2</v>
      </c>
      <c r="W16" s="53">
        <v>84</v>
      </c>
      <c r="X16" s="53">
        <v>16.363636363636363</v>
      </c>
    </row>
    <row r="17" spans="1:26" x14ac:dyDescent="0.3">
      <c r="A17" s="53" t="s">
        <v>71</v>
      </c>
      <c r="B17" s="53">
        <v>3</v>
      </c>
      <c r="C17" s="53">
        <v>2</v>
      </c>
      <c r="D17" s="53">
        <v>1</v>
      </c>
      <c r="E17" s="53" t="s">
        <v>235</v>
      </c>
      <c r="F17" s="53">
        <v>0.13</v>
      </c>
      <c r="G17" s="53">
        <v>62.586055826761765</v>
      </c>
      <c r="H17" s="53">
        <v>15</v>
      </c>
      <c r="I17" s="53">
        <v>1.4320226666666671</v>
      </c>
      <c r="J17" s="53">
        <v>8.5112551724137901</v>
      </c>
      <c r="K17" s="53">
        <v>162</v>
      </c>
      <c r="L17" s="53">
        <v>179.3050900469558</v>
      </c>
      <c r="M17" s="53">
        <v>27.057741219762956</v>
      </c>
      <c r="N17" s="53">
        <v>82.595498245948818</v>
      </c>
      <c r="O17" s="53">
        <v>31.007337360199497</v>
      </c>
      <c r="P17" s="53">
        <v>68.605380947016997</v>
      </c>
      <c r="Q17" s="53">
        <v>3.0579800000000001E-2</v>
      </c>
      <c r="R17" s="53">
        <v>14.389999999999986</v>
      </c>
      <c r="S17" s="53">
        <v>188.76419753086421</v>
      </c>
      <c r="T17" s="53">
        <v>79</v>
      </c>
      <c r="U17" s="53">
        <v>73.154700000000005</v>
      </c>
      <c r="V17" s="53">
        <v>126.8</v>
      </c>
      <c r="W17" s="53">
        <v>52.1</v>
      </c>
      <c r="X17" s="53">
        <v>44</v>
      </c>
    </row>
    <row r="18" spans="1:26" x14ac:dyDescent="0.3">
      <c r="A18" s="53" t="s">
        <v>74</v>
      </c>
      <c r="B18" s="53">
        <v>3</v>
      </c>
      <c r="C18" s="53">
        <v>3</v>
      </c>
      <c r="D18" s="53">
        <v>1</v>
      </c>
      <c r="E18" s="53" t="s">
        <v>235</v>
      </c>
      <c r="F18" s="53">
        <v>0.13</v>
      </c>
      <c r="G18" s="53">
        <v>76.103500761034923</v>
      </c>
      <c r="H18" s="53">
        <v>17</v>
      </c>
      <c r="I18" s="53">
        <v>1.6449433333333336</v>
      </c>
      <c r="J18" s="53">
        <v>7.7430448275861998</v>
      </c>
      <c r="K18" s="53">
        <v>132</v>
      </c>
      <c r="L18" s="53">
        <v>116.03916879905812</v>
      </c>
      <c r="M18" s="53">
        <v>30.861339999382754</v>
      </c>
      <c r="N18" s="53">
        <v>47.129545483954388</v>
      </c>
      <c r="O18" s="53">
        <v>35.326528348875897</v>
      </c>
      <c r="P18" s="53">
        <v>39.712264727307186</v>
      </c>
      <c r="Q18" s="53">
        <v>2.3177E-2</v>
      </c>
      <c r="R18" s="53">
        <v>9.3100000000000023</v>
      </c>
      <c r="S18" s="53">
        <v>175.58333333333334</v>
      </c>
      <c r="T18" s="53">
        <v>60</v>
      </c>
      <c r="U18" s="53">
        <v>64.003489999999999</v>
      </c>
      <c r="V18" s="53">
        <v>94.8</v>
      </c>
      <c r="W18" s="53">
        <v>48.9</v>
      </c>
      <c r="X18" s="53">
        <v>21.666666666666668</v>
      </c>
    </row>
    <row r="19" spans="1:26" x14ac:dyDescent="0.3">
      <c r="A19" s="53" t="s">
        <v>78</v>
      </c>
      <c r="B19" s="53">
        <v>3</v>
      </c>
      <c r="C19" s="53">
        <v>2</v>
      </c>
      <c r="D19" s="53">
        <v>1</v>
      </c>
      <c r="E19" s="53" t="s">
        <v>235</v>
      </c>
      <c r="F19" s="53">
        <v>0.05</v>
      </c>
      <c r="G19" s="53">
        <v>63.171193935565334</v>
      </c>
      <c r="H19" s="53">
        <v>25</v>
      </c>
      <c r="I19" s="53">
        <v>1.8348024137931029</v>
      </c>
      <c r="J19" s="53">
        <v>10.7204</v>
      </c>
      <c r="K19" s="53">
        <v>420</v>
      </c>
      <c r="L19" s="53">
        <v>209.51888205061312</v>
      </c>
      <c r="M19" s="53">
        <v>32.412809542331097</v>
      </c>
      <c r="N19" s="53">
        <v>112.92236688118213</v>
      </c>
      <c r="O19" s="53">
        <v>37.631296282109304</v>
      </c>
      <c r="P19" s="53">
        <v>91.636091846461696</v>
      </c>
      <c r="Q19" s="53">
        <v>4.1286200000000002E-2</v>
      </c>
      <c r="R19" s="53">
        <v>24.900000000000006</v>
      </c>
      <c r="S19" s="53">
        <v>98.300476190476203</v>
      </c>
      <c r="T19" s="53">
        <v>70</v>
      </c>
      <c r="U19" s="53">
        <v>66.660917241379295</v>
      </c>
      <c r="V19" s="53">
        <v>103.4</v>
      </c>
      <c r="W19" s="53">
        <v>46.9</v>
      </c>
      <c r="X19" s="53">
        <v>57.142857142857139</v>
      </c>
    </row>
    <row r="20" spans="1:26" x14ac:dyDescent="0.3">
      <c r="A20" s="53" t="s">
        <v>79</v>
      </c>
      <c r="B20" s="53">
        <v>3</v>
      </c>
      <c r="C20" s="53">
        <v>3</v>
      </c>
      <c r="D20" s="53">
        <v>1</v>
      </c>
      <c r="E20" s="53" t="s">
        <v>235</v>
      </c>
      <c r="F20" s="53">
        <v>0.06</v>
      </c>
      <c r="G20" s="53">
        <v>70.87172218284897</v>
      </c>
      <c r="H20" s="53">
        <v>18</v>
      </c>
      <c r="I20" s="53">
        <v>1.630907058823529</v>
      </c>
      <c r="J20" s="53">
        <v>28.99169375</v>
      </c>
      <c r="K20" s="53">
        <v>310</v>
      </c>
      <c r="L20" s="53">
        <v>139.12755507660498</v>
      </c>
      <c r="M20" s="53">
        <v>30.5726252713321</v>
      </c>
      <c r="N20" s="53">
        <v>61.536593008179793</v>
      </c>
      <c r="O20" s="53">
        <v>39.937874014950864</v>
      </c>
      <c r="P20" s="53">
        <v>36.895125823212297</v>
      </c>
      <c r="Q20" s="53">
        <v>4.5010399999999999E-2</v>
      </c>
      <c r="R20" s="53">
        <v>18.5</v>
      </c>
      <c r="S20" s="53">
        <v>145.19483870967741</v>
      </c>
      <c r="T20" s="53">
        <v>64.400000000000006</v>
      </c>
      <c r="U20" s="53">
        <v>65.60919411764705</v>
      </c>
      <c r="V20" s="53">
        <v>124</v>
      </c>
      <c r="W20" s="53">
        <v>49.1</v>
      </c>
      <c r="X20" s="53">
        <v>42.857142857142854</v>
      </c>
    </row>
    <row r="21" spans="1:26" x14ac:dyDescent="0.3">
      <c r="A21" s="53" t="s">
        <v>81</v>
      </c>
      <c r="B21" s="53">
        <v>3</v>
      </c>
      <c r="C21" s="53">
        <v>2</v>
      </c>
      <c r="D21" s="53">
        <v>1</v>
      </c>
      <c r="E21" s="53" t="s">
        <v>235</v>
      </c>
      <c r="F21" s="53">
        <v>0.01</v>
      </c>
      <c r="G21" s="53">
        <v>51.937259790173499</v>
      </c>
      <c r="H21" s="53">
        <v>18</v>
      </c>
      <c r="I21" s="53">
        <v>1.848366</v>
      </c>
      <c r="J21" s="53">
        <v>17.030906896551699</v>
      </c>
      <c r="K21" s="53">
        <v>427</v>
      </c>
      <c r="L21" s="53">
        <v>165.73688555005259</v>
      </c>
      <c r="M21" s="53">
        <v>32.317486992211499</v>
      </c>
      <c r="N21" s="53">
        <v>103.88144235489918</v>
      </c>
      <c r="O21" s="53">
        <v>35.673472108081143</v>
      </c>
      <c r="P21" s="53">
        <v>84.712044569709406</v>
      </c>
      <c r="Q21" s="53">
        <v>6.7362599999999995E-2</v>
      </c>
      <c r="R21" s="53">
        <v>0.01</v>
      </c>
      <c r="S21" s="53">
        <v>157.75784543325526</v>
      </c>
      <c r="T21" s="53">
        <v>77</v>
      </c>
      <c r="U21" s="53">
        <v>67.13257333333334</v>
      </c>
      <c r="V21" s="53">
        <v>96</v>
      </c>
      <c r="W21" s="53">
        <v>47.9</v>
      </c>
      <c r="X21" s="53">
        <v>51.851851851851848</v>
      </c>
    </row>
    <row r="22" spans="1:26" x14ac:dyDescent="0.3">
      <c r="A22" s="53" t="s">
        <v>30</v>
      </c>
      <c r="B22" s="53">
        <v>3</v>
      </c>
      <c r="C22" s="53">
        <v>3</v>
      </c>
      <c r="D22" s="53">
        <v>2</v>
      </c>
      <c r="E22" s="53" t="s">
        <v>31</v>
      </c>
      <c r="F22" s="53">
        <v>0.15</v>
      </c>
      <c r="G22" s="53">
        <v>102.63779123473267</v>
      </c>
      <c r="H22" s="53">
        <v>25</v>
      </c>
      <c r="I22" s="53">
        <v>1.4358890909090911</v>
      </c>
      <c r="J22" s="53">
        <v>7.8094599999999996</v>
      </c>
      <c r="K22" s="53">
        <v>85</v>
      </c>
      <c r="L22" s="53">
        <v>113.05898249484166</v>
      </c>
      <c r="M22" s="53">
        <v>45.777065690089444</v>
      </c>
      <c r="N22" s="53">
        <v>47.785732310286164</v>
      </c>
      <c r="O22" s="53">
        <v>50.066064513770904</v>
      </c>
      <c r="P22" s="53">
        <v>43.245482380948118</v>
      </c>
      <c r="Q22" s="53">
        <v>1.7831300000000001E-2</v>
      </c>
      <c r="R22" s="53">
        <v>1.5</v>
      </c>
      <c r="S22" s="53">
        <v>209.78</v>
      </c>
      <c r="T22" s="53">
        <v>66.3</v>
      </c>
      <c r="U22" s="53">
        <v>53.383559090909102</v>
      </c>
      <c r="V22" s="53">
        <v>93</v>
      </c>
      <c r="W22" s="53">
        <v>48.1</v>
      </c>
      <c r="X22" s="53">
        <v>23.75</v>
      </c>
    </row>
    <row r="23" spans="1:26" x14ac:dyDescent="0.3">
      <c r="A23" s="53" t="s">
        <v>33</v>
      </c>
      <c r="B23" s="53">
        <v>3</v>
      </c>
      <c r="C23" s="53">
        <v>3</v>
      </c>
      <c r="D23" s="53">
        <v>2</v>
      </c>
      <c r="E23" s="53" t="s">
        <v>31</v>
      </c>
      <c r="F23" s="53">
        <v>0.43</v>
      </c>
      <c r="G23" s="53">
        <v>112.04481792717073</v>
      </c>
      <c r="H23" s="53">
        <v>24</v>
      </c>
      <c r="I23" s="53">
        <v>1.0472443333333332</v>
      </c>
      <c r="J23" s="53">
        <v>6.9874517241379301</v>
      </c>
      <c r="K23" s="53">
        <v>47.6</v>
      </c>
      <c r="L23" s="53">
        <v>92.214796550053876</v>
      </c>
      <c r="M23" s="53">
        <v>44.939780693870311</v>
      </c>
      <c r="N23" s="53">
        <v>29.53707288819966</v>
      </c>
      <c r="O23" s="53">
        <v>49.337156470038387</v>
      </c>
      <c r="P23" s="53">
        <v>25.765695733953411</v>
      </c>
      <c r="Q23" s="53">
        <v>1.03569E-2</v>
      </c>
      <c r="R23" s="53">
        <v>1.1700000000000017</v>
      </c>
      <c r="S23" s="53">
        <v>217.58193277310923</v>
      </c>
      <c r="T23" s="53">
        <v>66.099999999999994</v>
      </c>
      <c r="U23" s="53">
        <v>64.790856666666656</v>
      </c>
      <c r="V23" s="53">
        <v>143.30000000000001</v>
      </c>
      <c r="W23" s="53">
        <v>74.5</v>
      </c>
      <c r="X23" s="53">
        <v>15.454545454545455</v>
      </c>
    </row>
    <row r="24" spans="1:26" x14ac:dyDescent="0.3">
      <c r="A24" s="53" t="s">
        <v>35</v>
      </c>
      <c r="B24" s="53">
        <v>3</v>
      </c>
      <c r="C24" s="53">
        <v>3</v>
      </c>
      <c r="D24" s="53">
        <v>2</v>
      </c>
      <c r="E24" s="53" t="s">
        <v>31</v>
      </c>
      <c r="F24" s="53">
        <v>0.9</v>
      </c>
      <c r="G24" s="53">
        <v>110.90163025396478</v>
      </c>
      <c r="H24" s="53">
        <v>21</v>
      </c>
      <c r="I24" s="53">
        <v>1.2507579999999996</v>
      </c>
      <c r="J24" s="53">
        <v>3.1779000000000002</v>
      </c>
      <c r="K24" s="53">
        <v>51.8</v>
      </c>
      <c r="L24" s="53">
        <v>166.57421218663774</v>
      </c>
      <c r="M24" s="53">
        <v>41.701417848206809</v>
      </c>
      <c r="N24" s="53">
        <v>58.105359002158444</v>
      </c>
      <c r="O24" s="53">
        <v>44.032842462630597</v>
      </c>
      <c r="P24" s="53">
        <v>62.816280028495441</v>
      </c>
      <c r="Q24" s="53">
        <v>6.1029400000000003E-3</v>
      </c>
      <c r="R24" s="53">
        <v>0.01</v>
      </c>
      <c r="S24" s="53">
        <v>117.81737451737452</v>
      </c>
      <c r="T24" s="53">
        <v>72</v>
      </c>
      <c r="U24" s="53">
        <v>50.626626666666667</v>
      </c>
      <c r="V24" s="53">
        <v>98.6</v>
      </c>
      <c r="W24" s="53">
        <v>55</v>
      </c>
      <c r="X24" s="53">
        <v>28.333333333333332</v>
      </c>
    </row>
    <row r="25" spans="1:26" x14ac:dyDescent="0.3">
      <c r="A25" s="53" t="s">
        <v>37</v>
      </c>
      <c r="B25" s="53">
        <v>3</v>
      </c>
      <c r="C25" s="53">
        <v>3</v>
      </c>
      <c r="D25" s="53">
        <v>2</v>
      </c>
      <c r="E25" s="53" t="s">
        <v>31</v>
      </c>
      <c r="F25" s="53">
        <v>0.12</v>
      </c>
      <c r="G25" s="53">
        <v>110.21712774165096</v>
      </c>
      <c r="H25" s="53">
        <v>23</v>
      </c>
      <c r="I25" s="53">
        <v>1.1589092000000001</v>
      </c>
      <c r="J25" s="53">
        <v>11.5915708333333</v>
      </c>
      <c r="K25" s="53">
        <v>160.9</v>
      </c>
      <c r="L25" s="53">
        <v>128.18426101553888</v>
      </c>
      <c r="M25" s="53">
        <v>44.089766765133731</v>
      </c>
      <c r="N25" s="53">
        <v>46.559098831906873</v>
      </c>
      <c r="O25" s="53">
        <v>47.009370733252446</v>
      </c>
      <c r="P25" s="53">
        <v>40.959328334943606</v>
      </c>
      <c r="Q25" s="53">
        <v>2.5238300000000002E-2</v>
      </c>
      <c r="R25" s="53">
        <v>18.699999999999989</v>
      </c>
      <c r="S25" s="53">
        <v>156.85705407085146</v>
      </c>
      <c r="T25" s="53">
        <v>68</v>
      </c>
      <c r="U25" s="53">
        <v>76.433104</v>
      </c>
      <c r="V25" s="53">
        <v>175.8</v>
      </c>
      <c r="W25" s="53">
        <v>75.5</v>
      </c>
      <c r="X25" s="53">
        <v>17.552239233490404</v>
      </c>
    </row>
    <row r="26" spans="1:26" x14ac:dyDescent="0.3">
      <c r="A26" s="53" t="s">
        <v>39</v>
      </c>
      <c r="B26" s="53">
        <v>3</v>
      </c>
      <c r="C26" s="53">
        <v>3</v>
      </c>
      <c r="D26" s="53">
        <v>2</v>
      </c>
      <c r="E26" s="53" t="s">
        <v>31</v>
      </c>
      <c r="F26" s="53">
        <v>0.2</v>
      </c>
      <c r="G26" s="53">
        <v>42.74417610600554</v>
      </c>
      <c r="H26" s="53">
        <v>16</v>
      </c>
      <c r="I26" s="53">
        <v>0.78696290000000013</v>
      </c>
      <c r="J26" s="53">
        <v>16.174316666666702</v>
      </c>
      <c r="K26" s="53">
        <v>89.6</v>
      </c>
      <c r="L26" s="53">
        <v>91.551124469211729</v>
      </c>
      <c r="M26" s="53">
        <v>32.621105855488473</v>
      </c>
      <c r="N26" s="53">
        <v>65.630454844507298</v>
      </c>
      <c r="O26" s="53">
        <v>33.772148991559966</v>
      </c>
      <c r="P26" s="53">
        <v>67.844474162050943</v>
      </c>
      <c r="Q26" s="53">
        <v>2.2071400000000001E-2</v>
      </c>
      <c r="R26" s="53">
        <v>16.099999999999994</v>
      </c>
      <c r="S26" s="53">
        <v>246.33258928571433</v>
      </c>
      <c r="T26" s="53">
        <v>73</v>
      </c>
      <c r="U26" s="53">
        <v>58.83789666666668</v>
      </c>
      <c r="V26" s="53">
        <v>147.19999999999999</v>
      </c>
      <c r="W26" s="53">
        <v>91.8</v>
      </c>
      <c r="X26" s="53">
        <v>36.666666666666664</v>
      </c>
    </row>
    <row r="27" spans="1:26" x14ac:dyDescent="0.3">
      <c r="A27" s="53" t="s">
        <v>41</v>
      </c>
      <c r="B27" s="53">
        <v>3</v>
      </c>
      <c r="C27" s="53">
        <v>2</v>
      </c>
      <c r="D27" s="53">
        <v>2</v>
      </c>
      <c r="E27" s="53" t="s">
        <v>31</v>
      </c>
      <c r="F27" s="53">
        <v>0.22500000000000001</v>
      </c>
      <c r="G27" s="53">
        <v>78.204426370532531</v>
      </c>
      <c r="H27" s="53">
        <v>18</v>
      </c>
      <c r="I27" s="53">
        <v>1.4000260000000002</v>
      </c>
      <c r="J27" s="53">
        <v>12.8275458333333</v>
      </c>
      <c r="K27" s="53">
        <v>117.8</v>
      </c>
      <c r="L27" s="53">
        <v>146.45045631070948</v>
      </c>
      <c r="M27" s="53">
        <v>35.737259666928779</v>
      </c>
      <c r="N27" s="53">
        <v>55.332610478661039</v>
      </c>
      <c r="O27" s="53">
        <v>37.590771422035807</v>
      </c>
      <c r="P27" s="53">
        <v>48.983887883387276</v>
      </c>
      <c r="Q27" s="53">
        <v>1.7332699999999999E-2</v>
      </c>
      <c r="R27" s="53">
        <v>14.400000000000006</v>
      </c>
      <c r="S27" s="53">
        <v>147.13667232597621</v>
      </c>
      <c r="T27" s="53">
        <v>60</v>
      </c>
      <c r="U27" s="53">
        <v>47.026376000000006</v>
      </c>
      <c r="V27" s="53">
        <v>81.099999999999994</v>
      </c>
      <c r="W27" s="53">
        <v>48.4</v>
      </c>
      <c r="X27" s="53">
        <v>31.111111111111111</v>
      </c>
    </row>
    <row r="28" spans="1:26" x14ac:dyDescent="0.3">
      <c r="A28" s="53" t="s">
        <v>43</v>
      </c>
      <c r="B28" s="53">
        <v>3</v>
      </c>
      <c r="C28" s="53">
        <v>2</v>
      </c>
      <c r="D28" s="53">
        <v>2</v>
      </c>
      <c r="E28" s="53" t="s">
        <v>31</v>
      </c>
      <c r="F28" s="53">
        <v>0.193</v>
      </c>
      <c r="G28" s="53">
        <v>90.637179370978075</v>
      </c>
      <c r="H28" s="53">
        <v>17</v>
      </c>
      <c r="I28" s="53">
        <v>1.3265130000000001</v>
      </c>
      <c r="J28" s="53">
        <v>5.9461157894736898</v>
      </c>
      <c r="K28" s="53">
        <v>77.7</v>
      </c>
      <c r="L28" s="53">
        <v>173.71239455746272</v>
      </c>
      <c r="M28" s="53">
        <v>31.769228325444001</v>
      </c>
      <c r="N28" s="53">
        <v>61.67247750619476</v>
      </c>
      <c r="O28" s="53">
        <v>36.203422211125364</v>
      </c>
      <c r="P28" s="53">
        <v>48.571091144626919</v>
      </c>
      <c r="Q28" s="53">
        <v>1.4704200000000001E-2</v>
      </c>
      <c r="R28" s="53">
        <v>10.060000000000002</v>
      </c>
      <c r="S28" s="53">
        <v>189.24324324324326</v>
      </c>
      <c r="T28" s="53">
        <v>64.599999999999994</v>
      </c>
      <c r="U28" s="53">
        <v>64.730820000000008</v>
      </c>
      <c r="V28" s="53">
        <v>128.1</v>
      </c>
      <c r="W28" s="53">
        <v>57.6</v>
      </c>
      <c r="X28" s="53">
        <v>28.888888888888889</v>
      </c>
    </row>
    <row r="29" spans="1:26" x14ac:dyDescent="0.3">
      <c r="A29" s="53" t="s">
        <v>45</v>
      </c>
      <c r="B29" s="53">
        <v>3</v>
      </c>
      <c r="C29" s="53">
        <v>3</v>
      </c>
      <c r="D29" s="53">
        <v>2</v>
      </c>
      <c r="E29" s="53" t="s">
        <v>31</v>
      </c>
      <c r="F29" s="53">
        <v>0.37</v>
      </c>
      <c r="G29" s="53">
        <v>67.226890756302524</v>
      </c>
      <c r="H29" s="53">
        <v>13</v>
      </c>
      <c r="I29" s="53">
        <v>1.4607985185185184</v>
      </c>
      <c r="J29" s="53">
        <v>8.9745423076923103</v>
      </c>
      <c r="K29" s="53">
        <v>68.2</v>
      </c>
      <c r="L29" s="53">
        <v>227.72860958831171</v>
      </c>
      <c r="M29" s="53">
        <v>29.792939073439648</v>
      </c>
      <c r="N29" s="53">
        <v>73.301080146631165</v>
      </c>
      <c r="O29" s="53">
        <v>30.471434164217531</v>
      </c>
      <c r="P29" s="53">
        <v>68.043744534315891</v>
      </c>
      <c r="Q29" s="53">
        <v>1.64937E-2</v>
      </c>
      <c r="R29" s="53">
        <v>7.9000000000000057</v>
      </c>
      <c r="S29" s="53">
        <v>241.84310850439883</v>
      </c>
      <c r="T29" s="53">
        <v>65</v>
      </c>
      <c r="U29" s="53">
        <v>53.335685185185184</v>
      </c>
      <c r="V29" s="53">
        <v>89.2</v>
      </c>
      <c r="W29" s="53">
        <v>48</v>
      </c>
      <c r="X29" s="53">
        <v>32</v>
      </c>
    </row>
    <row r="30" spans="1:26" x14ac:dyDescent="0.3">
      <c r="A30" s="53" t="s">
        <v>47</v>
      </c>
      <c r="B30" s="53">
        <v>3</v>
      </c>
      <c r="C30" s="53">
        <v>2</v>
      </c>
      <c r="D30" s="53">
        <v>2</v>
      </c>
      <c r="E30" s="53" t="s">
        <v>31</v>
      </c>
      <c r="F30" s="53">
        <v>0.35</v>
      </c>
      <c r="G30" s="53">
        <v>117.564072419469</v>
      </c>
      <c r="H30" s="53">
        <v>27</v>
      </c>
      <c r="I30" s="53">
        <v>0.80528522222222232</v>
      </c>
      <c r="J30" s="53">
        <v>16.350655555555601</v>
      </c>
      <c r="K30" s="53">
        <v>70</v>
      </c>
      <c r="L30" s="53">
        <v>73.593853941018423</v>
      </c>
      <c r="M30" s="53">
        <v>51.816156277527391</v>
      </c>
      <c r="N30" s="53">
        <v>30.843542435344453</v>
      </c>
      <c r="O30" s="53">
        <v>54.507303433487827</v>
      </c>
      <c r="P30" s="53">
        <v>27.031947395669356</v>
      </c>
      <c r="Q30" s="53">
        <v>9.3377300000000007E-3</v>
      </c>
      <c r="R30" s="53">
        <v>7.789999999999992</v>
      </c>
      <c r="S30" s="53">
        <v>133.39614285714288</v>
      </c>
      <c r="T30" s="53">
        <v>64.87</v>
      </c>
      <c r="U30" s="53">
        <v>75.873488888888886</v>
      </c>
      <c r="V30" s="53">
        <v>242.83</v>
      </c>
      <c r="W30" s="53">
        <v>108.28</v>
      </c>
      <c r="X30" s="53">
        <v>16.666666666666668</v>
      </c>
    </row>
    <row r="31" spans="1:26" x14ac:dyDescent="0.3">
      <c r="A31" s="53" t="s">
        <v>49</v>
      </c>
      <c r="B31" s="53">
        <v>3</v>
      </c>
      <c r="C31" s="53">
        <v>2</v>
      </c>
      <c r="D31" s="53">
        <v>2</v>
      </c>
      <c r="E31" s="53" t="s">
        <v>31</v>
      </c>
      <c r="F31" s="53">
        <v>0.67</v>
      </c>
      <c r="G31" s="53">
        <v>132.27513227513222</v>
      </c>
      <c r="H31" s="53">
        <v>31</v>
      </c>
      <c r="I31" s="53">
        <v>0.91917976470588258</v>
      </c>
      <c r="J31" s="53">
        <v>12.113676470588199</v>
      </c>
      <c r="K31" s="53">
        <v>57.4</v>
      </c>
      <c r="L31" s="53">
        <v>100.3338517488975</v>
      </c>
      <c r="M31" s="53">
        <v>54.996425232359918</v>
      </c>
      <c r="N31" s="53">
        <v>42.096397839996477</v>
      </c>
      <c r="O31" s="53">
        <v>62.257869837245941</v>
      </c>
      <c r="P31" s="53">
        <v>33.687063528484508</v>
      </c>
      <c r="Q31" s="53">
        <v>1.29012E-2</v>
      </c>
      <c r="R31" s="53">
        <v>4.0499999999999972</v>
      </c>
      <c r="S31" s="53">
        <v>224.75958188153311</v>
      </c>
      <c r="T31" s="53">
        <v>68.2</v>
      </c>
      <c r="U31" s="53">
        <v>65.368652941176492</v>
      </c>
      <c r="V31" s="53">
        <v>158.69999999999999</v>
      </c>
      <c r="W31" s="53">
        <v>90</v>
      </c>
      <c r="X31" s="53">
        <v>21.666666666666668</v>
      </c>
      <c r="Z31">
        <v>3.96394E-3</v>
      </c>
    </row>
    <row r="32" spans="1:26" x14ac:dyDescent="0.3">
      <c r="A32" s="53" t="s">
        <v>52</v>
      </c>
      <c r="B32" s="53">
        <v>3</v>
      </c>
      <c r="C32" s="53">
        <v>2</v>
      </c>
      <c r="D32" s="53">
        <v>2</v>
      </c>
      <c r="E32" s="53" t="s">
        <v>31</v>
      </c>
      <c r="F32" s="53">
        <v>0.49</v>
      </c>
      <c r="G32" s="53">
        <v>139.0047261606897</v>
      </c>
      <c r="H32" s="53">
        <v>33</v>
      </c>
      <c r="I32" s="53">
        <v>0.7873917241379309</v>
      </c>
      <c r="J32" s="53">
        <v>15.096734482758601</v>
      </c>
      <c r="K32" s="53">
        <v>50</v>
      </c>
      <c r="L32" s="53">
        <v>70.415320892060564</v>
      </c>
      <c r="M32" s="53">
        <v>63.271116735210576</v>
      </c>
      <c r="N32" s="53">
        <v>30.339626480898261</v>
      </c>
      <c r="O32" s="53">
        <v>67.771236789718856</v>
      </c>
      <c r="P32" s="53">
        <v>28.47495494473857</v>
      </c>
      <c r="Q32" s="53">
        <v>1.1332E-2</v>
      </c>
      <c r="R32" s="53">
        <v>4.7399999999999949</v>
      </c>
      <c r="S32" s="53">
        <v>226.64000000000001</v>
      </c>
      <c r="T32" s="53">
        <v>64.599999999999994</v>
      </c>
      <c r="U32" s="53">
        <v>73.839920689655173</v>
      </c>
      <c r="V32" s="53">
        <v>244.67</v>
      </c>
      <c r="W32" s="53">
        <v>114.75</v>
      </c>
      <c r="X32" s="53">
        <v>16.111111111111111</v>
      </c>
    </row>
    <row r="33" spans="1:24" x14ac:dyDescent="0.3">
      <c r="A33" s="53" t="s">
        <v>54</v>
      </c>
      <c r="B33" s="53">
        <v>3</v>
      </c>
      <c r="C33" s="53">
        <v>2</v>
      </c>
      <c r="D33" s="53">
        <v>2</v>
      </c>
      <c r="E33" s="53" t="s">
        <v>31</v>
      </c>
      <c r="F33" s="53">
        <v>0.37</v>
      </c>
      <c r="G33" s="53">
        <v>108.18998160770319</v>
      </c>
      <c r="H33" s="53">
        <v>28</v>
      </c>
      <c r="I33" s="53">
        <v>0.96135249999999994</v>
      </c>
      <c r="J33" s="53">
        <v>10.653427272727299</v>
      </c>
      <c r="K33" s="53">
        <v>56</v>
      </c>
      <c r="L33" s="53">
        <v>86.086095413210728</v>
      </c>
      <c r="M33" s="53">
        <v>50.942435048395325</v>
      </c>
      <c r="N33" s="53">
        <v>38.273365243423299</v>
      </c>
      <c r="O33" s="53">
        <v>55.721003397224052</v>
      </c>
      <c r="P33" s="53">
        <v>33.919961181954775</v>
      </c>
      <c r="Q33" s="53">
        <v>1.6192600000000001E-2</v>
      </c>
      <c r="R33" s="53">
        <v>2.6299999999999955</v>
      </c>
      <c r="S33" s="53">
        <v>289.15357142857147</v>
      </c>
      <c r="T33" s="53">
        <v>66.7</v>
      </c>
      <c r="U33" s="53">
        <v>55.225727272727269</v>
      </c>
      <c r="V33" s="53">
        <v>139.80000000000001</v>
      </c>
      <c r="W33" s="53">
        <v>85.1</v>
      </c>
      <c r="X33" s="53">
        <v>20</v>
      </c>
    </row>
    <row r="34" spans="1:24" x14ac:dyDescent="0.3">
      <c r="A34" s="53" t="s">
        <v>57</v>
      </c>
      <c r="B34" s="53">
        <v>3</v>
      </c>
      <c r="C34" s="53">
        <v>3</v>
      </c>
      <c r="D34" s="53">
        <v>2</v>
      </c>
      <c r="E34" s="53" t="s">
        <v>31</v>
      </c>
      <c r="F34" s="53">
        <v>0.45</v>
      </c>
      <c r="G34" s="53">
        <v>119.58861516383648</v>
      </c>
      <c r="H34" s="53">
        <v>28</v>
      </c>
      <c r="I34" s="53">
        <v>0.97377523333333349</v>
      </c>
      <c r="J34" s="53">
        <v>9.1808929580032093</v>
      </c>
      <c r="K34" s="53">
        <v>45.5</v>
      </c>
      <c r="L34" s="53">
        <v>99.795520431750703</v>
      </c>
      <c r="M34" s="53">
        <v>51.538421893521566</v>
      </c>
      <c r="N34" s="53">
        <v>41.111287612228807</v>
      </c>
      <c r="O34" s="53">
        <v>55.724852305077142</v>
      </c>
      <c r="P34" s="53">
        <v>37.251694411344872</v>
      </c>
      <c r="Q34" s="53">
        <v>1.30648E-2</v>
      </c>
      <c r="R34" s="53">
        <v>2.3900000000000006</v>
      </c>
      <c r="S34" s="53">
        <v>287.13846153846151</v>
      </c>
      <c r="T34" s="53">
        <v>64.8</v>
      </c>
      <c r="U34" s="53">
        <v>59.936526666666651</v>
      </c>
      <c r="V34" s="53">
        <v>130.5</v>
      </c>
      <c r="W34" s="53">
        <v>79.7</v>
      </c>
      <c r="X34" s="53">
        <v>20.90909090909091</v>
      </c>
    </row>
    <row r="35" spans="1:24" x14ac:dyDescent="0.3">
      <c r="A35" s="53" t="s">
        <v>60</v>
      </c>
      <c r="B35" s="53">
        <v>3</v>
      </c>
      <c r="C35" s="53">
        <v>3</v>
      </c>
      <c r="D35" s="53">
        <v>2</v>
      </c>
      <c r="E35" s="53" t="s">
        <v>31</v>
      </c>
      <c r="F35" s="53">
        <v>0.25</v>
      </c>
      <c r="G35" s="53">
        <v>95.147478591817148</v>
      </c>
      <c r="H35" s="53">
        <v>26</v>
      </c>
      <c r="I35" s="53">
        <v>1.0570581818181817</v>
      </c>
      <c r="J35" s="53">
        <v>13.494322727272699</v>
      </c>
      <c r="K35" s="53">
        <v>98.1</v>
      </c>
      <c r="L35" s="53">
        <v>145.95965610795056</v>
      </c>
      <c r="M35" s="53">
        <v>47.438330170777895</v>
      </c>
      <c r="N35" s="53">
        <v>71.964899697943764</v>
      </c>
      <c r="O35" s="53">
        <v>51.906628279548833</v>
      </c>
      <c r="P35" s="53">
        <v>63.683480097696396</v>
      </c>
      <c r="Q35" s="53">
        <v>1.6072199999999998E-2</v>
      </c>
      <c r="R35" s="53">
        <v>15.199999999999989</v>
      </c>
      <c r="S35" s="53">
        <v>163.83486238532112</v>
      </c>
      <c r="T35" s="53">
        <v>66.716977272727306</v>
      </c>
      <c r="U35" s="53">
        <v>66.716977272727277</v>
      </c>
      <c r="V35" s="53">
        <v>123</v>
      </c>
      <c r="W35" s="53">
        <v>70.3</v>
      </c>
      <c r="X35" s="53">
        <v>35</v>
      </c>
    </row>
    <row r="36" spans="1:24" x14ac:dyDescent="0.3">
      <c r="A36" s="53" t="s">
        <v>63</v>
      </c>
      <c r="B36" s="53">
        <v>3</v>
      </c>
      <c r="C36" s="53">
        <v>3</v>
      </c>
      <c r="D36" s="53">
        <v>2</v>
      </c>
      <c r="E36" s="53" t="s">
        <v>31</v>
      </c>
      <c r="F36" s="53">
        <v>0.2</v>
      </c>
      <c r="G36" s="53">
        <v>130.0052002080082</v>
      </c>
      <c r="H36" s="53">
        <v>28</v>
      </c>
      <c r="I36" s="53">
        <v>1.0664890909090909</v>
      </c>
      <c r="J36" s="53">
        <v>6.7471590909090899</v>
      </c>
      <c r="K36" s="53">
        <v>77.66</v>
      </c>
      <c r="L36" s="53">
        <v>76.321310891496552</v>
      </c>
      <c r="M36" s="53">
        <v>53.14343412871338</v>
      </c>
      <c r="N36" s="53">
        <v>30.462072012581174</v>
      </c>
      <c r="O36" s="53">
        <v>57.172885213390423</v>
      </c>
      <c r="P36" s="53">
        <v>27.555464874451658</v>
      </c>
      <c r="Q36" s="53">
        <v>1.6740999999999999E-2</v>
      </c>
      <c r="R36" s="53">
        <v>0.01</v>
      </c>
      <c r="S36" s="53">
        <v>215.56785990213751</v>
      </c>
      <c r="T36" s="53">
        <v>66.819999999999993</v>
      </c>
      <c r="U36" s="53">
        <v>63.92876363636362</v>
      </c>
      <c r="V36" s="53">
        <v>134.30000000000001</v>
      </c>
      <c r="W36" s="53">
        <v>68.099999999999994</v>
      </c>
      <c r="X36" s="53">
        <v>15</v>
      </c>
    </row>
    <row r="37" spans="1:24" x14ac:dyDescent="0.3">
      <c r="A37" s="53" t="s">
        <v>66</v>
      </c>
      <c r="B37" s="53">
        <v>3</v>
      </c>
      <c r="C37" s="53">
        <v>3</v>
      </c>
      <c r="D37" s="53">
        <v>2</v>
      </c>
      <c r="E37" s="53" t="s">
        <v>31</v>
      </c>
      <c r="F37" s="53">
        <v>0.4</v>
      </c>
      <c r="G37" s="53">
        <v>118.45534233593965</v>
      </c>
      <c r="H37" s="53">
        <v>27</v>
      </c>
      <c r="I37" s="53">
        <v>0.73556913636363641</v>
      </c>
      <c r="J37" s="53">
        <v>11.876895454545499</v>
      </c>
      <c r="K37" s="53">
        <v>43.3</v>
      </c>
      <c r="L37" s="53">
        <v>95.092073652603872</v>
      </c>
      <c r="M37" s="53">
        <v>55.524708495280429</v>
      </c>
      <c r="N37" s="53">
        <v>32.178374933567333</v>
      </c>
      <c r="O37" s="53">
        <v>55.295349871239971</v>
      </c>
      <c r="P37" s="53">
        <v>37.892692813085901</v>
      </c>
      <c r="Q37" s="53">
        <v>1.46721E-2</v>
      </c>
      <c r="R37" s="53">
        <v>6.9300000000000068</v>
      </c>
      <c r="S37" s="53">
        <v>338.84757505773678</v>
      </c>
      <c r="T37" s="53">
        <v>64.349999999999994</v>
      </c>
      <c r="U37" s="53">
        <v>73.730463636363638</v>
      </c>
      <c r="V37" s="53">
        <v>225.83</v>
      </c>
      <c r="W37" s="53">
        <v>112.53</v>
      </c>
      <c r="X37" s="53">
        <v>18.18181818181818</v>
      </c>
    </row>
    <row r="38" spans="1:24" x14ac:dyDescent="0.3">
      <c r="A38" s="53" t="s">
        <v>69</v>
      </c>
      <c r="B38" s="53">
        <v>3</v>
      </c>
      <c r="C38" s="53">
        <v>3</v>
      </c>
      <c r="D38" s="53">
        <v>2</v>
      </c>
      <c r="E38" s="53" t="s">
        <v>31</v>
      </c>
      <c r="F38" s="53">
        <v>0.53</v>
      </c>
      <c r="G38" s="53">
        <v>127.92631444288125</v>
      </c>
      <c r="H38" s="53">
        <v>32</v>
      </c>
      <c r="I38" s="53">
        <v>0.82643472727272738</v>
      </c>
      <c r="J38" s="53">
        <v>17.600322727272701</v>
      </c>
      <c r="K38" s="53">
        <v>53.8</v>
      </c>
      <c r="L38" s="53">
        <v>83.601915430102139</v>
      </c>
      <c r="M38" s="53">
        <v>59.63740458015257</v>
      </c>
      <c r="N38" s="53">
        <v>37.199963504190272</v>
      </c>
      <c r="O38" s="53">
        <v>63.558136743248845</v>
      </c>
      <c r="P38" s="53">
        <v>32.807559619745042</v>
      </c>
      <c r="Q38" s="53">
        <v>1.08548E-2</v>
      </c>
      <c r="R38" s="53">
        <v>6.1099999999999994</v>
      </c>
      <c r="S38" s="53">
        <v>201.7620817843866</v>
      </c>
      <c r="T38" s="53">
        <v>70.520581818181824</v>
      </c>
      <c r="U38" s="53">
        <v>70.520581818181824</v>
      </c>
      <c r="V38" s="53">
        <v>188.42</v>
      </c>
      <c r="W38" s="53">
        <v>88.5</v>
      </c>
      <c r="X38" s="53">
        <v>19.285714285714285</v>
      </c>
    </row>
    <row r="39" spans="1:24" x14ac:dyDescent="0.3">
      <c r="A39" s="53" t="s">
        <v>92</v>
      </c>
      <c r="B39" s="53">
        <v>7</v>
      </c>
      <c r="C39" s="53">
        <v>7</v>
      </c>
      <c r="D39" s="53">
        <v>1</v>
      </c>
      <c r="E39" s="53" t="s">
        <v>236</v>
      </c>
      <c r="F39" s="53">
        <v>1.05</v>
      </c>
      <c r="G39" s="53">
        <v>164.20361247947449</v>
      </c>
      <c r="H39" s="53">
        <v>33</v>
      </c>
      <c r="I39" s="53">
        <v>0.85354328125000023</v>
      </c>
      <c r="J39" s="53">
        <v>14.59503125</v>
      </c>
      <c r="K39" s="53">
        <v>20.75</v>
      </c>
      <c r="L39" s="53">
        <v>82.137733886039612</v>
      </c>
      <c r="M39" s="53">
        <v>59.790732436472268</v>
      </c>
      <c r="N39" s="53">
        <v>25.153718757965603</v>
      </c>
      <c r="O39" s="53">
        <v>67.82680431808339</v>
      </c>
      <c r="P39" s="53">
        <v>23.604348036348302</v>
      </c>
      <c r="Q39" s="53">
        <v>1.04457E-2</v>
      </c>
      <c r="R39" s="53">
        <v>1.8999999999999915</v>
      </c>
      <c r="S39" s="53">
        <v>503.40722891566264</v>
      </c>
      <c r="T39" s="53">
        <v>64</v>
      </c>
      <c r="U39" s="53">
        <v>72.8</v>
      </c>
      <c r="V39" s="53">
        <v>201.2</v>
      </c>
      <c r="W39" s="53">
        <v>85.1</v>
      </c>
      <c r="X39" s="53">
        <v>13.846153846153847</v>
      </c>
    </row>
    <row r="40" spans="1:24" x14ac:dyDescent="0.3">
      <c r="A40" s="53" t="s">
        <v>94</v>
      </c>
      <c r="B40" s="53">
        <v>7</v>
      </c>
      <c r="C40" s="53">
        <v>7</v>
      </c>
      <c r="D40" s="53">
        <v>1</v>
      </c>
      <c r="E40" s="53" t="s">
        <v>236</v>
      </c>
      <c r="F40" s="53">
        <v>0.5</v>
      </c>
      <c r="G40" s="53">
        <v>130.17443374121291</v>
      </c>
      <c r="H40" s="53">
        <v>22</v>
      </c>
      <c r="I40" s="53">
        <v>0.89785375000000001</v>
      </c>
      <c r="J40" s="53">
        <v>11.6621666666667</v>
      </c>
      <c r="K40" s="53">
        <v>21.875</v>
      </c>
      <c r="L40" s="53">
        <v>75.701510554553678</v>
      </c>
      <c r="M40" s="53">
        <v>44.712720769058777</v>
      </c>
      <c r="N40" s="53">
        <v>22.772227962309596</v>
      </c>
      <c r="O40" s="53">
        <v>46.250157601404325</v>
      </c>
      <c r="P40" s="53">
        <v>17.773482739180441</v>
      </c>
      <c r="Q40" s="53">
        <v>1.5667299999999999E-2</v>
      </c>
      <c r="R40" s="53">
        <v>1.1400000000000006</v>
      </c>
      <c r="S40" s="53">
        <v>716.21942857142847</v>
      </c>
      <c r="T40" s="53">
        <v>62</v>
      </c>
      <c r="U40" s="53">
        <v>67.699999999999989</v>
      </c>
      <c r="V40" s="53">
        <v>204.3</v>
      </c>
      <c r="W40" s="53">
        <v>67.2</v>
      </c>
      <c r="X40" s="53">
        <v>13.33333333</v>
      </c>
    </row>
    <row r="41" spans="1:24" x14ac:dyDescent="0.3">
      <c r="A41" s="53" t="s">
        <v>96</v>
      </c>
      <c r="B41" s="53">
        <v>7</v>
      </c>
      <c r="C41" s="53">
        <v>7</v>
      </c>
      <c r="D41" s="53">
        <v>1</v>
      </c>
      <c r="E41" s="53" t="s">
        <v>236</v>
      </c>
      <c r="F41" s="53">
        <v>0.4</v>
      </c>
      <c r="G41" s="53">
        <v>145.39110206455391</v>
      </c>
      <c r="H41" s="53">
        <v>29</v>
      </c>
      <c r="I41" s="53">
        <v>1.0411362500000001</v>
      </c>
      <c r="J41" s="53">
        <v>15.12655</v>
      </c>
      <c r="K41" s="53">
        <v>41.8125</v>
      </c>
      <c r="L41" s="53">
        <v>78.111472716329601</v>
      </c>
      <c r="M41" s="53">
        <v>51.91568892119183</v>
      </c>
      <c r="N41" s="53">
        <v>28.902525252755247</v>
      </c>
      <c r="O41" s="53">
        <v>61.547871404943301</v>
      </c>
      <c r="P41" s="53">
        <v>20.615114443262215</v>
      </c>
      <c r="Q41" s="53">
        <v>1.1673299999999999E-2</v>
      </c>
      <c r="R41" s="53">
        <v>4</v>
      </c>
      <c r="S41" s="53">
        <v>279.18206278026906</v>
      </c>
      <c r="T41" s="53">
        <v>64</v>
      </c>
      <c r="U41" s="53">
        <v>65.900000000000006</v>
      </c>
      <c r="V41" s="53">
        <v>156.5</v>
      </c>
      <c r="W41" s="53">
        <v>63.6</v>
      </c>
      <c r="X41" s="53">
        <v>15.483870967741938</v>
      </c>
    </row>
    <row r="42" spans="1:24" x14ac:dyDescent="0.3">
      <c r="A42" s="53" t="s">
        <v>98</v>
      </c>
      <c r="B42" s="53">
        <v>7</v>
      </c>
      <c r="C42" s="53">
        <v>7</v>
      </c>
      <c r="D42" s="53">
        <v>1</v>
      </c>
      <c r="E42" s="53" t="s">
        <v>236</v>
      </c>
      <c r="F42" s="53">
        <v>0.6</v>
      </c>
      <c r="G42" s="53">
        <v>172.9206294310915</v>
      </c>
      <c r="H42" s="53">
        <v>41</v>
      </c>
      <c r="I42" s="53">
        <v>0.82788986666666664</v>
      </c>
      <c r="J42" s="53">
        <v>15.2888</v>
      </c>
      <c r="K42" s="53">
        <v>34.875</v>
      </c>
      <c r="L42" s="53">
        <v>78.984112971360759</v>
      </c>
      <c r="M42" s="53">
        <v>97.087378640776592</v>
      </c>
      <c r="N42" s="53">
        <v>34.400583099617123</v>
      </c>
      <c r="O42" s="53">
        <v>84.429611687116349</v>
      </c>
      <c r="P42" s="53">
        <v>25.116446923473212</v>
      </c>
      <c r="Q42" s="53">
        <v>9.51252E-3</v>
      </c>
      <c r="R42" s="53">
        <v>3.3999999999999915</v>
      </c>
      <c r="S42" s="53">
        <v>272.76043010752687</v>
      </c>
      <c r="T42" s="53">
        <v>58</v>
      </c>
      <c r="U42" s="53">
        <v>62.8</v>
      </c>
      <c r="V42" s="53">
        <v>160.4</v>
      </c>
      <c r="W42" s="53">
        <v>83.8</v>
      </c>
      <c r="X42" s="53">
        <v>18.974358974358978</v>
      </c>
    </row>
    <row r="43" spans="1:24" x14ac:dyDescent="0.3">
      <c r="A43" s="53" t="s">
        <v>100</v>
      </c>
      <c r="B43" s="53">
        <v>7</v>
      </c>
      <c r="C43" s="53">
        <v>6</v>
      </c>
      <c r="D43" s="53">
        <v>1</v>
      </c>
      <c r="E43" s="53" t="s">
        <v>236</v>
      </c>
      <c r="F43" s="53">
        <v>0.28999999999999998</v>
      </c>
      <c r="G43" s="53">
        <v>174.52006980802739</v>
      </c>
      <c r="H43" s="53">
        <v>33</v>
      </c>
      <c r="I43" s="53">
        <v>0.94244819999999985</v>
      </c>
      <c r="J43" s="53">
        <v>11.547836666666701</v>
      </c>
      <c r="K43" s="53">
        <v>12.64</v>
      </c>
      <c r="L43" s="53">
        <v>102.8653966206993</v>
      </c>
      <c r="M43" s="53">
        <v>67.186240257995607</v>
      </c>
      <c r="N43" s="53">
        <v>34.787494099745892</v>
      </c>
      <c r="O43" s="53">
        <v>67.83977763523896</v>
      </c>
      <c r="P43" s="53">
        <v>36.261860336179673</v>
      </c>
      <c r="Q43" s="53">
        <v>7.4446499999999997E-3</v>
      </c>
      <c r="R43" s="53">
        <v>0.01</v>
      </c>
      <c r="S43" s="53">
        <v>588.97547468354423</v>
      </c>
      <c r="T43" s="53">
        <v>64.5</v>
      </c>
      <c r="U43" s="53">
        <v>59.099999999999994</v>
      </c>
      <c r="V43" s="53">
        <v>137.5</v>
      </c>
      <c r="W43" s="53">
        <v>74.900000000000006</v>
      </c>
      <c r="X43" s="53">
        <v>19.310344827586203</v>
      </c>
    </row>
    <row r="44" spans="1:24" x14ac:dyDescent="0.3">
      <c r="A44" s="53" t="s">
        <v>103</v>
      </c>
      <c r="B44" s="53">
        <v>7</v>
      </c>
      <c r="C44" s="53">
        <v>6</v>
      </c>
      <c r="D44" s="53">
        <v>1</v>
      </c>
      <c r="E44" s="53" t="s">
        <v>236</v>
      </c>
      <c r="F44" s="53">
        <v>0.56000000000000005</v>
      </c>
      <c r="G44" s="53">
        <v>165.8374792703151</v>
      </c>
      <c r="H44" s="53">
        <v>25</v>
      </c>
      <c r="I44" s="53">
        <v>0.86277386666666678</v>
      </c>
      <c r="J44" s="53">
        <v>7.6014200000000001</v>
      </c>
      <c r="K44" s="53">
        <v>42.277777777777779</v>
      </c>
      <c r="L44" s="53">
        <v>141.88612219343781</v>
      </c>
      <c r="M44" s="53">
        <v>47.993856786331321</v>
      </c>
      <c r="N44" s="53">
        <v>37.754931159439892</v>
      </c>
      <c r="O44" s="53">
        <v>54.430114286745535</v>
      </c>
      <c r="P44" s="53">
        <v>32.03749285663649</v>
      </c>
      <c r="Q44" s="53">
        <v>1.5173300000000001E-2</v>
      </c>
      <c r="R44" s="53">
        <v>1.7000000000000028</v>
      </c>
      <c r="S44" s="53">
        <v>358.89540078843629</v>
      </c>
      <c r="T44" s="53">
        <v>65</v>
      </c>
      <c r="U44" s="53">
        <v>69.599999999999994</v>
      </c>
      <c r="V44" s="53">
        <v>181.1</v>
      </c>
      <c r="W44" s="53">
        <v>83.6</v>
      </c>
      <c r="X44" s="53">
        <v>23.333333333333332</v>
      </c>
    </row>
    <row r="45" spans="1:24" x14ac:dyDescent="0.3">
      <c r="A45" s="53" t="s">
        <v>105</v>
      </c>
      <c r="B45" s="53">
        <v>7</v>
      </c>
      <c r="C45" s="53">
        <v>6</v>
      </c>
      <c r="D45" s="53">
        <v>1</v>
      </c>
      <c r="E45" s="53" t="s">
        <v>236</v>
      </c>
      <c r="F45" s="53">
        <v>1.1499999999999999</v>
      </c>
      <c r="G45" s="53">
        <v>173.2501732501735</v>
      </c>
      <c r="H45" s="53">
        <v>23</v>
      </c>
      <c r="I45" s="53">
        <v>0.83984700000000001</v>
      </c>
      <c r="J45" s="53">
        <v>8.0092285714285705</v>
      </c>
      <c r="K45" s="53">
        <v>22.8</v>
      </c>
      <c r="L45" s="53">
        <v>169.90122084765801</v>
      </c>
      <c r="M45" s="53">
        <v>47.553378667554341</v>
      </c>
      <c r="N45" s="53">
        <v>40.560379275338143</v>
      </c>
      <c r="O45" s="53">
        <v>54.994720900264433</v>
      </c>
      <c r="P45" s="53">
        <v>31.320041141593773</v>
      </c>
      <c r="Q45" s="53">
        <v>5.9754700000000001E-3</v>
      </c>
      <c r="R45" s="53">
        <v>0.01</v>
      </c>
      <c r="S45" s="53">
        <v>262.08201754385965</v>
      </c>
      <c r="T45" s="53">
        <v>67</v>
      </c>
      <c r="U45" s="53">
        <v>71.5</v>
      </c>
      <c r="V45" s="53">
        <v>181.5</v>
      </c>
      <c r="W45" s="53">
        <v>84.3</v>
      </c>
      <c r="X45" s="53">
        <v>25.000000000000007</v>
      </c>
    </row>
    <row r="46" spans="1:24" x14ac:dyDescent="0.3">
      <c r="A46" s="53" t="s">
        <v>113</v>
      </c>
      <c r="B46" s="53">
        <v>7</v>
      </c>
      <c r="C46" s="53">
        <v>6</v>
      </c>
      <c r="D46" s="53">
        <v>1</v>
      </c>
      <c r="E46" s="53" t="s">
        <v>236</v>
      </c>
      <c r="F46" s="53">
        <v>0.84</v>
      </c>
      <c r="G46" s="53">
        <v>167.1961210499918</v>
      </c>
      <c r="H46" s="53">
        <v>31</v>
      </c>
      <c r="I46" s="53">
        <v>0.77972688000000023</v>
      </c>
      <c r="J46" s="53">
        <v>12.7461791666667</v>
      </c>
      <c r="K46" s="53">
        <v>23.999999999999996</v>
      </c>
      <c r="L46" s="53">
        <v>70.8562908313408</v>
      </c>
      <c r="M46" s="53">
        <v>72.679700559633616</v>
      </c>
      <c r="N46" s="53">
        <v>20.473906673570124</v>
      </c>
      <c r="O46" s="53">
        <v>61.093140904024487</v>
      </c>
      <c r="P46" s="53">
        <v>17.900007163375548</v>
      </c>
      <c r="Q46" s="53">
        <v>6.9324299999999998E-3</v>
      </c>
      <c r="R46" s="53">
        <v>1.0074906297634025</v>
      </c>
      <c r="S46" s="53">
        <v>288.85125000000005</v>
      </c>
      <c r="T46" s="53">
        <v>67.5</v>
      </c>
      <c r="U46" s="53">
        <v>74.099999999999994</v>
      </c>
      <c r="V46" s="53">
        <v>244.2</v>
      </c>
      <c r="W46" s="53">
        <v>98.8</v>
      </c>
      <c r="X46" s="53">
        <v>12.2727272727273</v>
      </c>
    </row>
    <row r="47" spans="1:24" x14ac:dyDescent="0.3">
      <c r="A47" s="53" t="s">
        <v>115</v>
      </c>
      <c r="B47" s="53">
        <v>7</v>
      </c>
      <c r="C47" s="53">
        <v>7</v>
      </c>
      <c r="D47" s="53">
        <v>1</v>
      </c>
      <c r="E47" s="53" t="s">
        <v>236</v>
      </c>
      <c r="F47" s="53">
        <v>0.1</v>
      </c>
      <c r="G47" s="53">
        <v>153.35071308081615</v>
      </c>
      <c r="H47" s="53">
        <v>26</v>
      </c>
      <c r="I47" s="53">
        <v>1.176507391304348</v>
      </c>
      <c r="J47" s="53">
        <v>11.48681</v>
      </c>
      <c r="K47" s="53">
        <v>87</v>
      </c>
      <c r="L47" s="53">
        <v>98.700377725920347</v>
      </c>
      <c r="M47" s="53">
        <v>54.972239019295337</v>
      </c>
      <c r="N47" s="53">
        <v>99.322237368160216</v>
      </c>
      <c r="O47" s="53">
        <v>60.524538518363201</v>
      </c>
      <c r="P47" s="53">
        <v>32.331744349417647</v>
      </c>
      <c r="Q47" s="53">
        <v>2.1326399999999999E-2</v>
      </c>
      <c r="R47" s="53">
        <v>5.5</v>
      </c>
      <c r="S47" s="53">
        <v>245.13103448275859</v>
      </c>
      <c r="T47" s="53">
        <v>60</v>
      </c>
      <c r="U47" s="53">
        <v>70.122773913043474</v>
      </c>
      <c r="V47" s="53">
        <v>191.2</v>
      </c>
      <c r="W47" s="53">
        <v>62.4</v>
      </c>
      <c r="X47" s="53">
        <v>18.518518518518519</v>
      </c>
    </row>
    <row r="48" spans="1:24" x14ac:dyDescent="0.3">
      <c r="A48" s="53" t="s">
        <v>117</v>
      </c>
      <c r="B48" s="53">
        <v>7</v>
      </c>
      <c r="C48" s="53">
        <v>7</v>
      </c>
      <c r="D48" s="53">
        <v>1</v>
      </c>
      <c r="E48" s="53" t="s">
        <v>236</v>
      </c>
      <c r="F48" s="53">
        <v>7.0000000000000007E-2</v>
      </c>
      <c r="G48" s="53">
        <v>66.56460094521735</v>
      </c>
      <c r="H48" s="53">
        <v>18</v>
      </c>
      <c r="I48" s="53">
        <v>1.4718652173913045</v>
      </c>
      <c r="J48" s="53">
        <v>12.984552173913</v>
      </c>
      <c r="K48" s="53">
        <v>103.79999999999995</v>
      </c>
      <c r="L48" s="53">
        <v>96.618304322638835</v>
      </c>
      <c r="M48" s="53">
        <v>31.245117950320267</v>
      </c>
      <c r="N48" s="53">
        <v>50.760024571598215</v>
      </c>
      <c r="O48" s="53">
        <v>37.912358614317192</v>
      </c>
      <c r="P48" s="53">
        <v>42.787299642371572</v>
      </c>
      <c r="Q48" s="53">
        <v>2.0165499999999999E-2</v>
      </c>
      <c r="R48" s="53">
        <v>8.0999999999999943</v>
      </c>
      <c r="S48" s="53">
        <v>194.27263969171491</v>
      </c>
      <c r="T48" s="53">
        <v>63</v>
      </c>
      <c r="U48" s="53">
        <v>69.585386956521731</v>
      </c>
      <c r="V48" s="53">
        <v>147.1</v>
      </c>
      <c r="W48" s="53">
        <v>57.1</v>
      </c>
      <c r="X48" s="53">
        <v>25</v>
      </c>
    </row>
    <row r="49" spans="1:24" x14ac:dyDescent="0.3">
      <c r="A49" s="53" t="s">
        <v>119</v>
      </c>
      <c r="B49" s="53">
        <v>7</v>
      </c>
      <c r="C49" s="53">
        <v>7</v>
      </c>
      <c r="D49" s="53">
        <v>1</v>
      </c>
      <c r="E49" s="53" t="s">
        <v>236</v>
      </c>
      <c r="F49" s="53">
        <v>0.55800000000000005</v>
      </c>
      <c r="G49" s="53">
        <v>115.76753878212543</v>
      </c>
      <c r="H49" s="53">
        <v>19</v>
      </c>
      <c r="I49" s="53">
        <v>0.98832821739130439</v>
      </c>
      <c r="J49" s="53">
        <v>10.2247086956522</v>
      </c>
      <c r="K49" s="53">
        <v>43.8</v>
      </c>
      <c r="L49" s="53">
        <v>90.965491888195302</v>
      </c>
      <c r="M49" s="53">
        <v>32.70218123548846</v>
      </c>
      <c r="N49" s="53">
        <v>24.908275197820124</v>
      </c>
      <c r="O49" s="53">
        <v>38.626042294107165</v>
      </c>
      <c r="P49" s="53">
        <v>20.038684022447139</v>
      </c>
      <c r="Q49" s="53">
        <v>1.25002E-2</v>
      </c>
      <c r="R49" s="53">
        <v>6.7999999999999972</v>
      </c>
      <c r="S49" s="53">
        <v>285.39269406392697</v>
      </c>
      <c r="T49" s="53">
        <v>67</v>
      </c>
      <c r="U49" s="53">
        <v>61.39340434782607</v>
      </c>
      <c r="V49" s="53">
        <v>141.9</v>
      </c>
      <c r="W49" s="53">
        <v>80</v>
      </c>
      <c r="X49" s="53">
        <v>15</v>
      </c>
    </row>
    <row r="50" spans="1:24" x14ac:dyDescent="0.3">
      <c r="A50" s="53" t="s">
        <v>121</v>
      </c>
      <c r="B50" s="53">
        <v>7</v>
      </c>
      <c r="C50" s="53">
        <v>7</v>
      </c>
      <c r="D50" s="53">
        <v>1</v>
      </c>
      <c r="E50" s="53" t="s">
        <v>236</v>
      </c>
      <c r="F50" s="53">
        <v>0.15</v>
      </c>
      <c r="G50" s="53">
        <v>88.144557073600708</v>
      </c>
      <c r="H50" s="53">
        <v>12</v>
      </c>
      <c r="I50" s="53">
        <v>1.2008766666666668</v>
      </c>
      <c r="J50" s="53">
        <v>4.8573791666666697</v>
      </c>
      <c r="K50" s="53">
        <v>170.18</v>
      </c>
      <c r="L50" s="53">
        <v>74.529728388363807</v>
      </c>
      <c r="M50" s="53">
        <v>24.5392751098132</v>
      </c>
      <c r="N50" s="53">
        <v>5.0698045333642199</v>
      </c>
      <c r="O50" s="53">
        <v>27.624983442418799</v>
      </c>
      <c r="P50" s="53">
        <v>44.000905719883654</v>
      </c>
      <c r="Q50" s="53">
        <v>2.7547599999999998E-2</v>
      </c>
      <c r="R50" s="53">
        <v>12.719999999999999</v>
      </c>
      <c r="S50" s="53">
        <v>161.87331061229284</v>
      </c>
      <c r="T50" s="53">
        <v>67.7</v>
      </c>
      <c r="U50" s="53">
        <v>75.56153333333333</v>
      </c>
      <c r="V50" s="53">
        <v>174.4</v>
      </c>
      <c r="W50" s="53">
        <v>68.3</v>
      </c>
      <c r="X50" s="53">
        <v>20</v>
      </c>
    </row>
    <row r="51" spans="1:24" x14ac:dyDescent="0.3">
      <c r="A51" s="53" t="s">
        <v>123</v>
      </c>
      <c r="B51" s="53">
        <v>7</v>
      </c>
      <c r="C51" s="53">
        <v>7</v>
      </c>
      <c r="D51" s="53">
        <v>1</v>
      </c>
      <c r="E51" s="53" t="s">
        <v>236</v>
      </c>
      <c r="F51" s="53">
        <v>0.75700000000000001</v>
      </c>
      <c r="G51" s="53">
        <v>128.86597938144345</v>
      </c>
      <c r="H51" s="53">
        <v>21</v>
      </c>
      <c r="I51" s="53">
        <v>0.98320047999999971</v>
      </c>
      <c r="J51" s="53">
        <v>6.3867240000000001</v>
      </c>
      <c r="K51" s="53">
        <v>33.700000000000003</v>
      </c>
      <c r="L51" s="53">
        <v>91.975838765011517</v>
      </c>
      <c r="M51" s="53">
        <v>43.531255441406969</v>
      </c>
      <c r="N51" s="53">
        <v>25.761996888529723</v>
      </c>
      <c r="O51" s="53">
        <v>47.337757978428002</v>
      </c>
      <c r="P51" s="53">
        <v>22.682240474434241</v>
      </c>
      <c r="Q51" s="53">
        <v>6.9934999999999997E-3</v>
      </c>
      <c r="R51" s="53">
        <v>1.9699999999999989</v>
      </c>
      <c r="S51" s="53">
        <v>207.5222551928783</v>
      </c>
      <c r="T51" s="53">
        <v>69</v>
      </c>
      <c r="U51" s="53">
        <v>61.83</v>
      </c>
      <c r="V51" s="53">
        <v>152.9</v>
      </c>
      <c r="W51" s="53">
        <v>76</v>
      </c>
      <c r="X51" s="53">
        <v>12.5</v>
      </c>
    </row>
    <row r="52" spans="1:24" x14ac:dyDescent="0.3">
      <c r="A52" s="53" t="s">
        <v>125</v>
      </c>
      <c r="B52" s="53">
        <v>7</v>
      </c>
      <c r="C52" s="53">
        <v>6</v>
      </c>
      <c r="D52" s="53">
        <v>1</v>
      </c>
      <c r="E52" s="53" t="s">
        <v>236</v>
      </c>
      <c r="F52" s="53">
        <v>0.16</v>
      </c>
      <c r="G52" s="53">
        <v>121.06537530266357</v>
      </c>
      <c r="H52" s="53">
        <v>31</v>
      </c>
      <c r="I52" s="53">
        <v>0.89002185185185201</v>
      </c>
      <c r="J52" s="53">
        <v>18.2472518518519</v>
      </c>
      <c r="K52" s="53">
        <v>87.9</v>
      </c>
      <c r="L52" s="53">
        <v>76.45858472469736</v>
      </c>
      <c r="M52" s="53">
        <v>62.034739454094279</v>
      </c>
      <c r="N52" s="53">
        <v>37.212086022578319</v>
      </c>
      <c r="O52" s="53">
        <v>61.171721323715857</v>
      </c>
      <c r="P52" s="53">
        <v>35.444022294136012</v>
      </c>
      <c r="Q52" s="53">
        <v>1.8240800000000001E-2</v>
      </c>
      <c r="R52" s="53">
        <v>9.4000000000000057</v>
      </c>
      <c r="S52" s="53">
        <v>207.51763367463028</v>
      </c>
      <c r="T52" s="53">
        <v>66.84</v>
      </c>
      <c r="U52" s="53">
        <v>78.172466666666665</v>
      </c>
      <c r="V52" s="53">
        <v>223.9</v>
      </c>
      <c r="W52" s="53">
        <v>101.9</v>
      </c>
      <c r="X52" s="53">
        <v>18.461538461538463</v>
      </c>
    </row>
    <row r="53" spans="1:24" x14ac:dyDescent="0.3">
      <c r="A53" s="53" t="s">
        <v>127</v>
      </c>
      <c r="B53" s="53">
        <v>7</v>
      </c>
      <c r="C53" s="53">
        <v>6</v>
      </c>
      <c r="D53" s="53">
        <v>1</v>
      </c>
      <c r="E53" s="53" t="s">
        <v>236</v>
      </c>
      <c r="F53" s="53">
        <v>0.371</v>
      </c>
      <c r="G53" s="53">
        <v>122.88031457360523</v>
      </c>
      <c r="H53" s="53">
        <v>20</v>
      </c>
      <c r="I53" s="53">
        <v>1.0208263157894737</v>
      </c>
      <c r="J53" s="53">
        <v>3.43492222222222</v>
      </c>
      <c r="K53" s="53">
        <v>64.599999999999994</v>
      </c>
      <c r="L53" s="53">
        <v>40.98276243905741</v>
      </c>
      <c r="M53" s="53">
        <v>40.817992571125316</v>
      </c>
      <c r="N53" s="53">
        <v>56.731493571905297</v>
      </c>
      <c r="O53" s="53">
        <v>45.196314457145355</v>
      </c>
      <c r="P53" s="53">
        <v>40.98276243905741</v>
      </c>
      <c r="Q53" s="53">
        <v>1.44756E-2</v>
      </c>
      <c r="R53" s="53">
        <v>0.81300000000000239</v>
      </c>
      <c r="S53" s="53">
        <v>224.08049535603718</v>
      </c>
      <c r="T53" s="53">
        <v>67</v>
      </c>
      <c r="U53" s="53">
        <v>63.071799999999996</v>
      </c>
      <c r="V53" s="53">
        <v>130.69999999999999</v>
      </c>
      <c r="W53" s="53">
        <v>70.5</v>
      </c>
      <c r="X53" s="53">
        <v>28</v>
      </c>
    </row>
    <row r="54" spans="1:24" x14ac:dyDescent="0.3">
      <c r="A54" s="53" t="s">
        <v>129</v>
      </c>
      <c r="B54" s="53">
        <v>7</v>
      </c>
      <c r="C54" s="53">
        <v>6</v>
      </c>
      <c r="D54" s="53">
        <v>1</v>
      </c>
      <c r="E54" s="53" t="s">
        <v>236</v>
      </c>
      <c r="F54" s="53">
        <v>0.37</v>
      </c>
      <c r="G54" s="53">
        <v>107.57314974182454</v>
      </c>
      <c r="H54" s="53">
        <v>18</v>
      </c>
      <c r="I54" s="53">
        <v>1.0574189999999999</v>
      </c>
      <c r="J54" s="53">
        <v>5.5786100000000003</v>
      </c>
      <c r="K54" s="53">
        <v>48.6</v>
      </c>
      <c r="L54" s="53">
        <v>105.85339665833509</v>
      </c>
      <c r="M54" s="53">
        <v>37.707390648567142</v>
      </c>
      <c r="N54" s="53">
        <v>31.631661005225602</v>
      </c>
      <c r="O54" s="53">
        <v>39.555390725774402</v>
      </c>
      <c r="P54" s="53">
        <v>24.459472465910551</v>
      </c>
      <c r="Q54" s="53">
        <v>1.25332E-2</v>
      </c>
      <c r="R54" s="53">
        <v>5.7759999999999962</v>
      </c>
      <c r="S54" s="53">
        <v>257.88477366255142</v>
      </c>
      <c r="T54" s="53">
        <v>60</v>
      </c>
      <c r="U54" s="53">
        <v>63.528450000000007</v>
      </c>
      <c r="V54" s="53">
        <v>131.5</v>
      </c>
      <c r="W54" s="53">
        <v>66</v>
      </c>
      <c r="X54" s="53">
        <v>15.555555555555555</v>
      </c>
    </row>
    <row r="55" spans="1:24" x14ac:dyDescent="0.3">
      <c r="A55" s="53" t="s">
        <v>131</v>
      </c>
      <c r="B55" s="53">
        <v>7</v>
      </c>
      <c r="C55" s="53">
        <v>6</v>
      </c>
      <c r="D55" s="53">
        <v>1</v>
      </c>
      <c r="E55" s="53" t="s">
        <v>236</v>
      </c>
      <c r="F55" s="53">
        <v>0.73</v>
      </c>
      <c r="G55" s="53">
        <v>115.6470452179948</v>
      </c>
      <c r="H55" s="53">
        <v>20</v>
      </c>
      <c r="I55" s="53">
        <v>0.81850287499999996</v>
      </c>
      <c r="J55" s="53">
        <v>8.3326217391304294</v>
      </c>
      <c r="K55" s="53">
        <v>40.799999999999997</v>
      </c>
      <c r="L55" s="53">
        <v>116.99932353681801</v>
      </c>
      <c r="M55" s="53">
        <v>39.33910306844993</v>
      </c>
      <c r="N55" s="53">
        <v>34.500548785893045</v>
      </c>
      <c r="O55" s="53">
        <v>44.827588674072651</v>
      </c>
      <c r="P55" s="53">
        <v>30.222739974201726</v>
      </c>
      <c r="Q55" s="53">
        <v>1.62174E-2</v>
      </c>
      <c r="R55" s="53">
        <v>2.0599999999999881</v>
      </c>
      <c r="S55" s="53">
        <v>397.48529411764707</v>
      </c>
      <c r="T55" s="53">
        <v>64.099999999999994</v>
      </c>
      <c r="U55" s="53">
        <v>64.631150000000005</v>
      </c>
      <c r="V55" s="53">
        <v>159.80000000000001</v>
      </c>
      <c r="W55" s="53">
        <v>88.1</v>
      </c>
      <c r="X55" s="53">
        <v>16.25</v>
      </c>
    </row>
    <row r="56" spans="1:24" x14ac:dyDescent="0.3">
      <c r="A56" s="53" t="s">
        <v>133</v>
      </c>
      <c r="B56" s="53">
        <v>7</v>
      </c>
      <c r="C56" s="53">
        <v>7</v>
      </c>
      <c r="D56" s="53">
        <v>1</v>
      </c>
      <c r="E56" s="53" t="s">
        <v>236</v>
      </c>
      <c r="F56" s="53">
        <v>1</v>
      </c>
      <c r="G56" s="53">
        <v>115.16756881262208</v>
      </c>
      <c r="H56" s="53">
        <v>26</v>
      </c>
      <c r="I56" s="53">
        <v>0.78418421428571428</v>
      </c>
      <c r="J56" s="53">
        <v>10.296855555555601</v>
      </c>
      <c r="K56" s="53">
        <v>30.7</v>
      </c>
      <c r="L56" s="53">
        <v>149.2315384218121</v>
      </c>
      <c r="M56" s="53">
        <v>49.517207229512408</v>
      </c>
      <c r="N56" s="53">
        <v>60.532671126159606</v>
      </c>
      <c r="O56" s="53">
        <v>53.952991626052032</v>
      </c>
      <c r="P56" s="53">
        <v>50.501712688465872</v>
      </c>
      <c r="Q56" s="53">
        <v>1.2534500000000001E-2</v>
      </c>
      <c r="R56" s="53">
        <v>0.59799999999999898</v>
      </c>
      <c r="S56" s="53">
        <v>408.28990228013032</v>
      </c>
      <c r="T56" s="53">
        <v>71</v>
      </c>
      <c r="U56" s="53">
        <v>63.975742857142862</v>
      </c>
      <c r="V56" s="53">
        <v>158</v>
      </c>
      <c r="W56" s="53">
        <v>100</v>
      </c>
      <c r="X56" s="53">
        <v>31.428571428571431</v>
      </c>
    </row>
    <row r="57" spans="1:24" x14ac:dyDescent="0.3">
      <c r="A57" s="53" t="s">
        <v>135</v>
      </c>
      <c r="B57" s="53">
        <v>7</v>
      </c>
      <c r="C57" s="53">
        <v>7</v>
      </c>
      <c r="D57" s="53">
        <v>1</v>
      </c>
      <c r="E57" s="53" t="s">
        <v>236</v>
      </c>
      <c r="F57" s="53">
        <v>0.43</v>
      </c>
      <c r="G57" s="53">
        <v>109.20607185759515</v>
      </c>
      <c r="H57" s="53">
        <v>18</v>
      </c>
      <c r="I57" s="53">
        <v>0.86151679999999997</v>
      </c>
      <c r="J57" s="53">
        <v>10.3675413793103</v>
      </c>
      <c r="K57" s="53">
        <v>54</v>
      </c>
      <c r="L57" s="53">
        <v>138.40189381070033</v>
      </c>
      <c r="M57" s="53">
        <v>32.336297493936989</v>
      </c>
      <c r="N57" s="53">
        <v>42.099256870711201</v>
      </c>
      <c r="O57" s="53">
        <v>36.873018022385651</v>
      </c>
      <c r="P57" s="53">
        <v>34.525091625330298</v>
      </c>
      <c r="Q57" s="53">
        <v>1.44151E-2</v>
      </c>
      <c r="R57" s="53">
        <v>19</v>
      </c>
      <c r="S57" s="53">
        <v>266.94629629629634</v>
      </c>
      <c r="T57" s="53">
        <v>68.400000000000006</v>
      </c>
      <c r="U57" s="53">
        <v>77.032476666666696</v>
      </c>
      <c r="V57" s="53">
        <v>225.1</v>
      </c>
      <c r="W57" s="53">
        <v>96.8</v>
      </c>
      <c r="X57" s="53">
        <v>21.428571428571427</v>
      </c>
    </row>
    <row r="58" spans="1:24" x14ac:dyDescent="0.3">
      <c r="A58" s="53" t="s">
        <v>137</v>
      </c>
      <c r="B58" s="53">
        <v>7</v>
      </c>
      <c r="C58" s="53">
        <v>7</v>
      </c>
      <c r="D58" s="53">
        <v>1</v>
      </c>
      <c r="E58" s="53" t="s">
        <v>236</v>
      </c>
      <c r="F58" s="53">
        <v>0.6</v>
      </c>
      <c r="G58" s="53">
        <v>128.98232942086909</v>
      </c>
      <c r="H58" s="53">
        <v>23</v>
      </c>
      <c r="I58" s="53">
        <v>0.90877873333333337</v>
      </c>
      <c r="J58" s="53">
        <v>7.61256206896552</v>
      </c>
      <c r="K58" s="53">
        <v>42.4</v>
      </c>
      <c r="L58" s="53">
        <v>109.54184595490497</v>
      </c>
      <c r="M58" s="53">
        <v>43.94059231918439</v>
      </c>
      <c r="N58" s="53">
        <v>36.64124030820566</v>
      </c>
      <c r="O58" s="53">
        <v>49.127320138498938</v>
      </c>
      <c r="P58" s="53">
        <v>27.448944603548163</v>
      </c>
      <c r="Q58" s="53">
        <v>1.0982E-2</v>
      </c>
      <c r="R58" s="53">
        <v>4.2999999999999972</v>
      </c>
      <c r="S58" s="53">
        <v>259.00943396226415</v>
      </c>
      <c r="T58" s="53">
        <v>71.400000000000006</v>
      </c>
      <c r="U58" s="53">
        <v>62.408443333333345</v>
      </c>
      <c r="V58" s="53">
        <v>151.80000000000001</v>
      </c>
      <c r="W58" s="53">
        <v>80.400000000000006</v>
      </c>
      <c r="X58" s="53">
        <v>17.272727272727273</v>
      </c>
    </row>
    <row r="59" spans="1:24" x14ac:dyDescent="0.3">
      <c r="A59" s="53" t="s">
        <v>139</v>
      </c>
      <c r="B59" s="53">
        <v>7</v>
      </c>
      <c r="C59" s="53">
        <v>7</v>
      </c>
      <c r="D59" s="53">
        <v>1</v>
      </c>
      <c r="E59" s="53" t="s">
        <v>236</v>
      </c>
      <c r="F59" s="53">
        <v>0.755</v>
      </c>
      <c r="G59" s="53">
        <v>113.25028312570765</v>
      </c>
      <c r="H59" s="53">
        <v>23</v>
      </c>
      <c r="I59" s="53">
        <v>0.86647752631578956</v>
      </c>
      <c r="J59" s="53">
        <v>5.8979157894736796</v>
      </c>
      <c r="K59" s="53">
        <v>27.9</v>
      </c>
      <c r="L59" s="53">
        <v>90.316010958869398</v>
      </c>
      <c r="M59" s="53">
        <v>43.99859204505443</v>
      </c>
      <c r="N59" s="53">
        <v>90.316010958869398</v>
      </c>
      <c r="O59" s="53">
        <v>47.735743118835835</v>
      </c>
      <c r="P59" s="53">
        <v>24.719523281387051</v>
      </c>
      <c r="Q59" s="53">
        <v>1.6459399999999999E-2</v>
      </c>
      <c r="R59" s="53">
        <v>0.01</v>
      </c>
      <c r="S59" s="53">
        <v>589.94265232974908</v>
      </c>
      <c r="T59" s="53">
        <v>66</v>
      </c>
      <c r="U59" s="53">
        <v>78.594010526315799</v>
      </c>
      <c r="V59" s="53">
        <v>203.2</v>
      </c>
      <c r="W59" s="53">
        <v>109.5</v>
      </c>
      <c r="X59" s="53">
        <v>15.454545454545455</v>
      </c>
    </row>
    <row r="60" spans="1:24" x14ac:dyDescent="0.3">
      <c r="A60" s="53" t="s">
        <v>141</v>
      </c>
      <c r="B60" s="53">
        <v>7</v>
      </c>
      <c r="C60" s="53">
        <v>6</v>
      </c>
      <c r="D60" s="53">
        <v>1</v>
      </c>
      <c r="E60" s="53" t="s">
        <v>236</v>
      </c>
      <c r="F60" s="53">
        <v>0.45700000000000002</v>
      </c>
      <c r="G60" s="53">
        <v>82.257135806531338</v>
      </c>
      <c r="H60" s="53">
        <v>15</v>
      </c>
      <c r="I60" s="53">
        <v>1.2905323529411765</v>
      </c>
      <c r="J60" s="53">
        <v>8.1367437500000008</v>
      </c>
      <c r="K60" s="53">
        <v>88.4</v>
      </c>
      <c r="L60" s="53">
        <v>115.60549829256625</v>
      </c>
      <c r="M60" s="53">
        <v>27.550486266082576</v>
      </c>
      <c r="N60" s="53">
        <v>35.47711048967404</v>
      </c>
      <c r="O60" s="53">
        <v>32.669932490609</v>
      </c>
      <c r="P60" s="53">
        <v>30.540057087687131</v>
      </c>
      <c r="Q60" s="53">
        <v>4.45466E-3</v>
      </c>
      <c r="R60" s="53">
        <v>4.5</v>
      </c>
      <c r="S60" s="53">
        <v>50.392081447963797</v>
      </c>
      <c r="T60" s="53">
        <v>64.7</v>
      </c>
      <c r="U60" s="53">
        <v>65.501500000000007</v>
      </c>
      <c r="V60" s="53">
        <v>128</v>
      </c>
      <c r="W60" s="53">
        <v>62.9</v>
      </c>
      <c r="X60" s="53">
        <v>16.666666666666668</v>
      </c>
    </row>
    <row r="61" spans="1:24" x14ac:dyDescent="0.3">
      <c r="A61" s="53" t="s">
        <v>143</v>
      </c>
      <c r="B61" s="53">
        <v>7</v>
      </c>
      <c r="C61" s="53">
        <v>6</v>
      </c>
      <c r="D61" s="53">
        <v>1</v>
      </c>
      <c r="E61" s="53" t="s">
        <v>236</v>
      </c>
      <c r="F61" s="53">
        <v>0.23</v>
      </c>
      <c r="G61" s="53">
        <v>75.878291220881692</v>
      </c>
      <c r="H61" s="53">
        <v>14</v>
      </c>
      <c r="I61" s="53">
        <v>1.3524230769230767</v>
      </c>
      <c r="J61" s="53">
        <v>5.36638461538461</v>
      </c>
      <c r="K61" s="53">
        <v>69.7</v>
      </c>
      <c r="L61" s="53">
        <v>112.89647583843451</v>
      </c>
      <c r="M61" s="53">
        <v>26.542800265428035</v>
      </c>
      <c r="N61" s="53">
        <v>34.076892143571833</v>
      </c>
      <c r="O61" s="53">
        <v>29.905478380147557</v>
      </c>
      <c r="P61" s="53">
        <v>26.537068311294043</v>
      </c>
      <c r="Q61" s="53">
        <v>1.7141099999999999E-2</v>
      </c>
      <c r="R61" s="53">
        <v>6.8999999999999915</v>
      </c>
      <c r="S61" s="53">
        <v>245.92682926829264</v>
      </c>
      <c r="T61" s="53">
        <v>67.3</v>
      </c>
      <c r="U61" s="53">
        <v>69.993230769230763</v>
      </c>
      <c r="V61" s="53">
        <v>125.7</v>
      </c>
      <c r="W61" s="53">
        <v>64.099999999999994</v>
      </c>
      <c r="X61" s="53">
        <v>18</v>
      </c>
    </row>
    <row r="62" spans="1:24" x14ac:dyDescent="0.3">
      <c r="A62" s="53" t="s">
        <v>148</v>
      </c>
      <c r="B62" s="53">
        <v>7</v>
      </c>
      <c r="C62" s="53">
        <v>7</v>
      </c>
      <c r="D62" s="53">
        <v>1</v>
      </c>
      <c r="E62" s="53" t="s">
        <v>236</v>
      </c>
      <c r="F62" s="53">
        <v>0.56000000000000005</v>
      </c>
      <c r="G62" s="53">
        <v>110.53387863380129</v>
      </c>
      <c r="H62" s="53">
        <v>24</v>
      </c>
      <c r="I62" s="53">
        <v>1.2082150000000003</v>
      </c>
      <c r="J62" s="53">
        <v>6.5078562499999997</v>
      </c>
      <c r="K62" s="53">
        <v>67.3</v>
      </c>
      <c r="L62" s="53">
        <v>82.540941982902524</v>
      </c>
      <c r="M62" s="53">
        <v>45.741469215991287</v>
      </c>
      <c r="N62" s="53">
        <v>28.100440564158422</v>
      </c>
      <c r="O62" s="53">
        <v>49.333564854047602</v>
      </c>
      <c r="P62" s="53">
        <v>24.496214021428251</v>
      </c>
      <c r="Q62" s="53">
        <v>1.3509E-2</v>
      </c>
      <c r="R62" s="53">
        <v>0.01</v>
      </c>
      <c r="S62" s="53">
        <v>200.72808320950966</v>
      </c>
      <c r="T62" s="53">
        <v>66.7</v>
      </c>
      <c r="U62" s="53">
        <v>55.046068749999996</v>
      </c>
      <c r="V62" s="53">
        <v>112.9</v>
      </c>
      <c r="W62" s="53">
        <v>55.8</v>
      </c>
      <c r="X62" s="53">
        <v>13.333333333333334</v>
      </c>
    </row>
    <row r="63" spans="1:24" x14ac:dyDescent="0.3">
      <c r="A63" s="53" t="s">
        <v>150</v>
      </c>
      <c r="B63" s="53">
        <v>7</v>
      </c>
      <c r="C63" s="53">
        <v>7</v>
      </c>
      <c r="D63" s="53">
        <v>1</v>
      </c>
      <c r="E63" s="53" t="s">
        <v>236</v>
      </c>
      <c r="F63" s="53">
        <v>0.36</v>
      </c>
      <c r="G63" s="53">
        <v>109.89010989010961</v>
      </c>
      <c r="H63" s="53">
        <v>27</v>
      </c>
      <c r="I63" s="53">
        <v>0.86603200000000025</v>
      </c>
      <c r="J63" s="53">
        <v>12.6374947368421</v>
      </c>
      <c r="K63" s="53">
        <v>53.6</v>
      </c>
      <c r="L63" s="53">
        <v>97.11627071274485</v>
      </c>
      <c r="M63" s="53">
        <v>53.561863952865352</v>
      </c>
      <c r="N63" s="53">
        <v>33.933737712936193</v>
      </c>
      <c r="O63" s="53">
        <v>56.726731010102235</v>
      </c>
      <c r="P63" s="53">
        <v>35.633327100757867</v>
      </c>
      <c r="Q63" s="53">
        <v>1.6214099999999999E-2</v>
      </c>
      <c r="R63" s="53">
        <v>3.2199999999999989</v>
      </c>
      <c r="S63" s="53">
        <v>302.50186567164172</v>
      </c>
      <c r="T63" s="53">
        <v>66.8</v>
      </c>
      <c r="U63" s="53">
        <v>70.897163157894724</v>
      </c>
      <c r="V63" s="53">
        <v>178.8</v>
      </c>
      <c r="W63" s="53">
        <v>109.6</v>
      </c>
      <c r="X63" s="53">
        <v>19</v>
      </c>
    </row>
    <row r="64" spans="1:24" x14ac:dyDescent="0.3">
      <c r="A64" s="53" t="s">
        <v>152</v>
      </c>
      <c r="B64" s="53">
        <v>7</v>
      </c>
      <c r="C64" s="53">
        <v>7</v>
      </c>
      <c r="D64" s="53">
        <v>1</v>
      </c>
      <c r="E64" s="53" t="s">
        <v>236</v>
      </c>
      <c r="F64" s="53">
        <v>0.4</v>
      </c>
      <c r="G64" s="53">
        <v>134.95276653171396</v>
      </c>
      <c r="H64" s="53">
        <v>27</v>
      </c>
      <c r="I64" s="53">
        <v>0.94637957692307695</v>
      </c>
      <c r="J64" s="53">
        <v>11.218730769230801</v>
      </c>
      <c r="K64" s="53">
        <v>68.099999999999994</v>
      </c>
      <c r="L64" s="53">
        <v>77.812469089429143</v>
      </c>
      <c r="M64" s="53">
        <v>52.246603970741937</v>
      </c>
      <c r="N64" s="53">
        <v>25.414274818035651</v>
      </c>
      <c r="O64" s="53">
        <v>56.716245405978661</v>
      </c>
      <c r="P64" s="53">
        <v>22.947651320819158</v>
      </c>
      <c r="Q64" s="53">
        <v>1.3807E-2</v>
      </c>
      <c r="R64" s="53">
        <v>4.4289999999999878</v>
      </c>
      <c r="S64" s="53">
        <v>202.7459618208517</v>
      </c>
      <c r="T64" s="53">
        <v>63</v>
      </c>
      <c r="U64" s="53">
        <v>72.798507692307695</v>
      </c>
      <c r="V64" s="53">
        <v>201.5</v>
      </c>
      <c r="W64" s="53">
        <v>97.6</v>
      </c>
      <c r="X64" s="53">
        <v>12.5</v>
      </c>
    </row>
    <row r="65" spans="1:24" x14ac:dyDescent="0.3">
      <c r="A65" s="53" t="s">
        <v>154</v>
      </c>
      <c r="B65" s="53">
        <v>7</v>
      </c>
      <c r="C65" s="53">
        <v>7</v>
      </c>
      <c r="D65" s="53">
        <v>1</v>
      </c>
      <c r="E65" s="53" t="s">
        <v>236</v>
      </c>
      <c r="F65" s="53">
        <v>0.56000000000000005</v>
      </c>
      <c r="G65" s="53">
        <v>109.15838882218097</v>
      </c>
      <c r="H65" s="53">
        <v>25</v>
      </c>
      <c r="I65" s="53">
        <v>1.0822286363636364</v>
      </c>
      <c r="J65" s="53">
        <v>10.8892318181818</v>
      </c>
      <c r="K65" s="53">
        <v>35.4</v>
      </c>
      <c r="L65" s="53">
        <v>78.870851676123493</v>
      </c>
      <c r="M65" s="53">
        <v>43.325679130020546</v>
      </c>
      <c r="N65" s="53">
        <v>23.966900712183392</v>
      </c>
      <c r="O65" s="53">
        <v>51.34622020879101</v>
      </c>
      <c r="P65" s="53">
        <v>18.90152391719128</v>
      </c>
      <c r="Q65" s="53">
        <v>1.05722E-2</v>
      </c>
      <c r="R65" s="53">
        <v>3.8999999999999915</v>
      </c>
      <c r="S65" s="53">
        <v>298.64971751412429</v>
      </c>
      <c r="T65" s="53">
        <v>66</v>
      </c>
      <c r="U65" s="53">
        <v>58.427281818181811</v>
      </c>
      <c r="V65" s="53">
        <v>119.7</v>
      </c>
      <c r="W65" s="53">
        <v>80</v>
      </c>
      <c r="X65" s="53">
        <v>13.333333333333334</v>
      </c>
    </row>
    <row r="66" spans="1:24" x14ac:dyDescent="0.3">
      <c r="A66" s="53" t="s">
        <v>156</v>
      </c>
      <c r="B66" s="53">
        <v>7</v>
      </c>
      <c r="C66" s="53">
        <v>7</v>
      </c>
      <c r="D66" s="53">
        <v>1</v>
      </c>
      <c r="E66" s="53" t="s">
        <v>237</v>
      </c>
      <c r="F66" s="53">
        <v>0.36</v>
      </c>
      <c r="G66" s="53">
        <v>125.86532410320922</v>
      </c>
      <c r="H66" s="53">
        <v>20</v>
      </c>
      <c r="I66" s="53">
        <v>0.9336488235294117</v>
      </c>
      <c r="J66" s="53">
        <v>12.199847058823501</v>
      </c>
      <c r="K66" s="53">
        <v>56.9</v>
      </c>
      <c r="L66" s="53">
        <v>93.941374517899064</v>
      </c>
      <c r="M66" s="53">
        <v>39.38868756893033</v>
      </c>
      <c r="N66" s="53">
        <v>27.993461843239871</v>
      </c>
      <c r="O66" s="53">
        <v>42.92356302571725</v>
      </c>
      <c r="P66" s="53">
        <v>22.60055114646552</v>
      </c>
      <c r="Q66" s="53">
        <v>1.63032E-2</v>
      </c>
      <c r="R66" s="53">
        <v>4.3000000000000114</v>
      </c>
      <c r="S66" s="53">
        <v>286.52372583479792</v>
      </c>
      <c r="T66" s="53">
        <v>60</v>
      </c>
      <c r="U66" s="53">
        <v>71.888647058823523</v>
      </c>
      <c r="V66" s="53">
        <v>163.1</v>
      </c>
      <c r="W66" s="53">
        <v>91</v>
      </c>
      <c r="X66" s="53">
        <v>14.166666666666666</v>
      </c>
    </row>
    <row r="67" spans="1:24" x14ac:dyDescent="0.3">
      <c r="A67" s="53" t="s">
        <v>95</v>
      </c>
      <c r="B67" s="53">
        <v>7</v>
      </c>
      <c r="C67" s="53">
        <v>7</v>
      </c>
      <c r="D67" s="53">
        <v>2</v>
      </c>
      <c r="E67" s="53" t="s">
        <v>237</v>
      </c>
      <c r="F67" s="53">
        <v>0.54</v>
      </c>
      <c r="G67" s="53">
        <v>180.53800324968361</v>
      </c>
      <c r="H67" s="53">
        <v>39</v>
      </c>
      <c r="I67" s="53">
        <v>0.72852476666666677</v>
      </c>
      <c r="J67" s="53">
        <v>17.298376666666702</v>
      </c>
      <c r="K67" s="53">
        <v>40.0625</v>
      </c>
      <c r="L67" s="53">
        <v>68.875316795737845</v>
      </c>
      <c r="M67" s="53">
        <v>73.69739848183319</v>
      </c>
      <c r="N67" s="53">
        <v>22.869375327810527</v>
      </c>
      <c r="O67" s="53">
        <v>80.778548212989222</v>
      </c>
      <c r="P67" s="53">
        <v>22.643409102248139</v>
      </c>
      <c r="Q67" s="53">
        <v>1.17E-2</v>
      </c>
      <c r="R67" s="53">
        <v>2.6600000000000108</v>
      </c>
      <c r="S67" s="53">
        <v>292.04368174726989</v>
      </c>
      <c r="T67" s="53">
        <v>64</v>
      </c>
      <c r="U67" s="53">
        <v>77.099999999999994</v>
      </c>
      <c r="V67" s="53">
        <v>221.8</v>
      </c>
      <c r="W67" s="53">
        <v>115.64</v>
      </c>
      <c r="X67" s="53">
        <v>15.238095238095237</v>
      </c>
    </row>
    <row r="68" spans="1:24" x14ac:dyDescent="0.3">
      <c r="A68" s="53" t="s">
        <v>97</v>
      </c>
      <c r="B68" s="53">
        <v>7</v>
      </c>
      <c r="C68" s="53">
        <v>7</v>
      </c>
      <c r="D68" s="53">
        <v>2</v>
      </c>
      <c r="E68" s="53" t="s">
        <v>237</v>
      </c>
      <c r="F68" s="53">
        <v>0.42</v>
      </c>
      <c r="G68" s="53">
        <v>183.2172957127153</v>
      </c>
      <c r="H68" s="53">
        <v>26</v>
      </c>
      <c r="I68" s="53">
        <v>0.76785043333333336</v>
      </c>
      <c r="J68" s="53">
        <v>13.9272166666667</v>
      </c>
      <c r="K68" s="53">
        <v>49.5625</v>
      </c>
      <c r="L68" s="53">
        <v>100.44676265148409</v>
      </c>
      <c r="M68" s="53">
        <v>54.02485143165859</v>
      </c>
      <c r="N68" s="53">
        <v>22.87123879681344</v>
      </c>
      <c r="O68" s="53">
        <v>57.700861530634434</v>
      </c>
      <c r="P68" s="53">
        <v>21.287532516063688</v>
      </c>
      <c r="Q68" s="53">
        <v>1.18701E-2</v>
      </c>
      <c r="R68" s="53">
        <v>3.0999999999999943</v>
      </c>
      <c r="S68" s="53">
        <v>239.49760403530894</v>
      </c>
      <c r="T68" s="53">
        <v>65</v>
      </c>
      <c r="U68" s="53">
        <v>80.5</v>
      </c>
      <c r="V68" s="53">
        <v>231.33</v>
      </c>
      <c r="W68" s="53">
        <v>107.7</v>
      </c>
      <c r="X68" s="53">
        <v>14.193548387096774</v>
      </c>
    </row>
    <row r="69" spans="1:24" x14ac:dyDescent="0.3">
      <c r="A69" s="53" t="s">
        <v>99</v>
      </c>
      <c r="B69" s="53">
        <v>7</v>
      </c>
      <c r="C69" s="53">
        <v>7</v>
      </c>
      <c r="D69" s="53">
        <v>2</v>
      </c>
      <c r="E69" s="53" t="s">
        <v>237</v>
      </c>
      <c r="F69" s="53">
        <v>0.4</v>
      </c>
      <c r="G69" s="53">
        <v>150.3759398496239</v>
      </c>
      <c r="H69" s="53">
        <v>25</v>
      </c>
      <c r="I69" s="53">
        <v>0.86486243333333312</v>
      </c>
      <c r="J69" s="53">
        <v>18.934626666666698</v>
      </c>
      <c r="K69" s="53">
        <v>52.75</v>
      </c>
      <c r="L69" s="53">
        <v>98.195388400995199</v>
      </c>
      <c r="M69" s="53">
        <v>53.89</v>
      </c>
      <c r="N69" s="53">
        <v>30.22682040081289</v>
      </c>
      <c r="O69" s="53">
        <v>57.853002438777942</v>
      </c>
      <c r="P69" s="53">
        <v>25.401948851858794</v>
      </c>
      <c r="Q69" s="53">
        <v>1.2354499999999999E-2</v>
      </c>
      <c r="R69" s="53">
        <v>0.01</v>
      </c>
      <c r="S69" s="53">
        <v>234.20853080568719</v>
      </c>
      <c r="T69" s="53">
        <v>64.5</v>
      </c>
      <c r="U69" s="53">
        <v>72.5</v>
      </c>
      <c r="V69" s="53">
        <v>180.7</v>
      </c>
      <c r="W69" s="53">
        <v>87.9</v>
      </c>
      <c r="X69" s="53">
        <v>15.65217391304348</v>
      </c>
    </row>
    <row r="70" spans="1:24" x14ac:dyDescent="0.3">
      <c r="A70" s="53" t="s">
        <v>101</v>
      </c>
      <c r="B70" s="53">
        <v>7</v>
      </c>
      <c r="C70" s="53">
        <v>7</v>
      </c>
      <c r="D70" s="53">
        <v>2</v>
      </c>
      <c r="E70" s="53" t="s">
        <v>237</v>
      </c>
      <c r="F70" s="53">
        <v>0.8</v>
      </c>
      <c r="G70" s="53">
        <v>175.43859649122751</v>
      </c>
      <c r="H70" s="53">
        <v>41</v>
      </c>
      <c r="I70" s="53">
        <v>0.58078639534883736</v>
      </c>
      <c r="J70" s="53">
        <v>18.061081395348801</v>
      </c>
      <c r="K70" s="53">
        <v>21.643750000000001</v>
      </c>
      <c r="L70" s="53">
        <v>60.243240097915617</v>
      </c>
      <c r="M70" s="53">
        <v>80.276149955848155</v>
      </c>
      <c r="N70" s="53">
        <v>25.503106126382363</v>
      </c>
      <c r="O70" s="53">
        <v>82.820069210880348</v>
      </c>
      <c r="P70" s="53">
        <v>22.465448417811601</v>
      </c>
      <c r="Q70" s="53">
        <v>1.28363E-2</v>
      </c>
      <c r="R70" s="53">
        <v>2.5600000000000023</v>
      </c>
      <c r="S70" s="53">
        <v>593.07190297429975</v>
      </c>
      <c r="T70" s="53">
        <v>65</v>
      </c>
      <c r="U70" s="53">
        <v>80.2</v>
      </c>
      <c r="V70" s="53">
        <v>333.92</v>
      </c>
      <c r="W70" s="53">
        <v>163.19999999999999</v>
      </c>
      <c r="X70" s="53">
        <v>13.461538461538462</v>
      </c>
    </row>
    <row r="71" spans="1:24" x14ac:dyDescent="0.3">
      <c r="A71" s="53" t="s">
        <v>104</v>
      </c>
      <c r="B71" s="53">
        <v>7</v>
      </c>
      <c r="C71" s="53">
        <v>7</v>
      </c>
      <c r="D71" s="53">
        <v>2</v>
      </c>
      <c r="E71" s="53" t="s">
        <v>237</v>
      </c>
      <c r="F71" s="53">
        <v>1.3</v>
      </c>
      <c r="G71" s="53">
        <v>185.56318426424161</v>
      </c>
      <c r="H71" s="53">
        <v>34</v>
      </c>
      <c r="I71" s="53">
        <v>0.67242964102564085</v>
      </c>
      <c r="J71" s="53">
        <v>14.0208717948718</v>
      </c>
      <c r="K71" s="53">
        <v>19.1875</v>
      </c>
      <c r="L71" s="53">
        <v>86.423045034207206</v>
      </c>
      <c r="M71" s="53">
        <v>67.006164567140274</v>
      </c>
      <c r="N71" s="53">
        <v>26.989727009542765</v>
      </c>
      <c r="O71" s="53">
        <v>67.006164567140274</v>
      </c>
      <c r="P71" s="53">
        <v>19.450197253228868</v>
      </c>
      <c r="Q71" s="53">
        <v>1.1466499999999999E-2</v>
      </c>
      <c r="R71" s="53">
        <v>0.01</v>
      </c>
      <c r="S71" s="53">
        <v>597.60260586319214</v>
      </c>
      <c r="T71" s="53">
        <v>62</v>
      </c>
      <c r="U71" s="53">
        <v>65.400000000000006</v>
      </c>
      <c r="V71" s="53">
        <v>204.8</v>
      </c>
      <c r="W71" s="53">
        <v>105.6</v>
      </c>
      <c r="X71" s="53">
        <v>12.558139534883779</v>
      </c>
    </row>
    <row r="72" spans="1:24" x14ac:dyDescent="0.3">
      <c r="A72" s="53" t="s">
        <v>108</v>
      </c>
      <c r="B72" s="53">
        <v>7</v>
      </c>
      <c r="C72" s="53">
        <v>6</v>
      </c>
      <c r="D72" s="53">
        <v>2</v>
      </c>
      <c r="E72" s="53" t="s">
        <v>237</v>
      </c>
      <c r="F72" s="53">
        <v>1.1000000000000001</v>
      </c>
      <c r="G72" s="53">
        <v>216.73168617251821</v>
      </c>
      <c r="H72" s="53">
        <v>46</v>
      </c>
      <c r="I72" s="53">
        <v>0.71984819999999994</v>
      </c>
      <c r="J72" s="53">
        <v>8.6685266666666703</v>
      </c>
      <c r="K72" s="53">
        <v>26.306249999999999</v>
      </c>
      <c r="L72" s="53">
        <v>77.113743673654596</v>
      </c>
      <c r="M72" s="53">
        <v>97.751710654936829</v>
      </c>
      <c r="N72" s="53">
        <v>30.674949015894903</v>
      </c>
      <c r="O72" s="53">
        <v>93.552364752586897</v>
      </c>
      <c r="P72" s="53">
        <v>26.489868525839825</v>
      </c>
      <c r="Q72" s="53">
        <v>1.5702600000000001E-2</v>
      </c>
      <c r="R72" s="53">
        <v>0.53000000000000114</v>
      </c>
      <c r="S72" s="53">
        <v>596.91518175338558</v>
      </c>
      <c r="T72" s="53">
        <v>62</v>
      </c>
      <c r="U72" s="53">
        <v>66.900000000000006</v>
      </c>
      <c r="V72" s="53">
        <v>170</v>
      </c>
      <c r="W72" s="53">
        <v>102.4</v>
      </c>
      <c r="X72" s="53">
        <v>15.600000000000062</v>
      </c>
    </row>
    <row r="73" spans="1:24" x14ac:dyDescent="0.3">
      <c r="A73" s="53" t="s">
        <v>114</v>
      </c>
      <c r="B73" s="53">
        <v>7</v>
      </c>
      <c r="C73" s="53">
        <v>7</v>
      </c>
      <c r="D73" s="53">
        <v>2</v>
      </c>
      <c r="E73" s="53" t="s">
        <v>237</v>
      </c>
      <c r="F73" s="53">
        <v>0.4</v>
      </c>
      <c r="G73" s="53">
        <v>163.61256544502629</v>
      </c>
      <c r="H73" s="53">
        <v>35</v>
      </c>
      <c r="I73" s="53">
        <v>0.95615986666666664</v>
      </c>
      <c r="J73" s="53">
        <v>14.080819999999999</v>
      </c>
      <c r="K73" s="53">
        <v>38.733333333333327</v>
      </c>
      <c r="L73" s="53">
        <v>85.327853862077205</v>
      </c>
      <c r="M73" s="53">
        <v>65.997888067582139</v>
      </c>
      <c r="N73" s="53">
        <v>30.113098948903222</v>
      </c>
      <c r="O73" s="53">
        <v>71.917693251181731</v>
      </c>
      <c r="P73" s="53">
        <v>23.95046292006754</v>
      </c>
      <c r="Q73" s="53">
        <v>1.6097299999999998E-2</v>
      </c>
      <c r="R73" s="53">
        <v>3.269999999999996</v>
      </c>
      <c r="S73" s="53">
        <v>415.59294320137695</v>
      </c>
      <c r="T73" s="53">
        <v>60</v>
      </c>
      <c r="U73" s="53">
        <v>64.7</v>
      </c>
      <c r="V73" s="53">
        <v>137.5</v>
      </c>
      <c r="W73" s="53">
        <v>77.400000000000006</v>
      </c>
      <c r="X73" s="53">
        <v>16.875</v>
      </c>
    </row>
    <row r="74" spans="1:24" x14ac:dyDescent="0.3">
      <c r="A74" s="53" t="s">
        <v>116</v>
      </c>
      <c r="B74" s="53">
        <v>7</v>
      </c>
      <c r="C74" s="53">
        <v>7</v>
      </c>
      <c r="D74" s="53">
        <v>2</v>
      </c>
      <c r="E74" s="53" t="s">
        <v>237</v>
      </c>
      <c r="F74" s="53">
        <v>0.2</v>
      </c>
      <c r="G74" s="53">
        <v>114.968958381237</v>
      </c>
      <c r="H74" s="53">
        <v>26</v>
      </c>
      <c r="I74" s="53">
        <v>1.2990516666666669</v>
      </c>
      <c r="J74" s="53">
        <v>16.776533333333301</v>
      </c>
      <c r="K74" s="53">
        <v>120.4666666666667</v>
      </c>
      <c r="L74" s="53">
        <v>71.061736718958855</v>
      </c>
      <c r="M74" s="53">
        <v>51.075131518463643</v>
      </c>
      <c r="N74" s="53">
        <v>27.880335760043426</v>
      </c>
      <c r="O74" s="53">
        <v>52.784731460426613</v>
      </c>
      <c r="P74" s="53">
        <v>24.939096556705302</v>
      </c>
      <c r="Q74" s="53">
        <v>2.0426300000000001E-2</v>
      </c>
      <c r="R74" s="53">
        <v>4.9899999999999807</v>
      </c>
      <c r="S74" s="53">
        <v>169.5597675705589</v>
      </c>
      <c r="T74" s="53">
        <v>67</v>
      </c>
      <c r="U74" s="53">
        <v>56.900000000000006</v>
      </c>
      <c r="V74" s="53">
        <v>102.3</v>
      </c>
      <c r="W74" s="53">
        <v>49.8</v>
      </c>
      <c r="X74" s="53">
        <v>15.714285714285714</v>
      </c>
    </row>
    <row r="75" spans="1:24" x14ac:dyDescent="0.3">
      <c r="A75" s="53" t="s">
        <v>118</v>
      </c>
      <c r="B75" s="53">
        <v>7</v>
      </c>
      <c r="C75" s="53">
        <v>7</v>
      </c>
      <c r="D75" s="53">
        <v>2</v>
      </c>
      <c r="E75" s="53" t="s">
        <v>237</v>
      </c>
      <c r="F75" s="53">
        <v>0.35</v>
      </c>
      <c r="G75" s="53">
        <v>164.7717910693685</v>
      </c>
      <c r="H75" s="53">
        <v>27</v>
      </c>
      <c r="I75" s="53">
        <v>1.0104812999999999</v>
      </c>
      <c r="J75" s="53">
        <v>10.576370000000001</v>
      </c>
      <c r="K75" s="53">
        <v>42.8</v>
      </c>
      <c r="L75" s="53">
        <v>65.842252845880168</v>
      </c>
      <c r="M75" s="53">
        <v>47.621315300728547</v>
      </c>
      <c r="N75" s="53">
        <v>16.543137713990237</v>
      </c>
      <c r="O75" s="53">
        <v>55.92547027312304</v>
      </c>
      <c r="P75" s="53">
        <v>10.847762614333048</v>
      </c>
      <c r="Q75" s="53">
        <v>1.3561699999999999E-2</v>
      </c>
      <c r="R75" s="53">
        <v>4.9339999999999975</v>
      </c>
      <c r="S75" s="53">
        <v>316.86214953271025</v>
      </c>
      <c r="T75" s="53">
        <v>62</v>
      </c>
      <c r="U75" s="53">
        <v>76.099999999999994</v>
      </c>
      <c r="V75" s="53">
        <v>182.3</v>
      </c>
      <c r="W75" s="53">
        <v>74.599999999999994</v>
      </c>
      <c r="X75" s="53">
        <v>10.303030303030303</v>
      </c>
    </row>
    <row r="76" spans="1:24" x14ac:dyDescent="0.3">
      <c r="A76" s="53" t="s">
        <v>120</v>
      </c>
      <c r="B76" s="53">
        <v>7</v>
      </c>
      <c r="C76" s="53">
        <v>6</v>
      </c>
      <c r="D76" s="53">
        <v>2</v>
      </c>
      <c r="E76" s="53" t="s">
        <v>237</v>
      </c>
      <c r="F76" s="53">
        <v>0.2</v>
      </c>
      <c r="G76" s="53">
        <v>114.2074006395614</v>
      </c>
      <c r="H76" s="53">
        <v>23</v>
      </c>
      <c r="I76" s="53">
        <v>1.1067776666666671</v>
      </c>
      <c r="J76" s="53">
        <v>5.6448852272727299</v>
      </c>
      <c r="K76" s="53">
        <v>81.333333333333343</v>
      </c>
      <c r="L76" s="53">
        <v>82.23745434577809</v>
      </c>
      <c r="M76" s="53">
        <v>41.946308724832363</v>
      </c>
      <c r="N76" s="53">
        <v>30.681951089650415</v>
      </c>
      <c r="O76" s="53">
        <v>46.880569057845719</v>
      </c>
      <c r="P76" s="53">
        <v>25.439276808248259</v>
      </c>
      <c r="Q76" s="53">
        <v>1.7289599999999999E-2</v>
      </c>
      <c r="R76" s="53">
        <v>9.4200000000000017</v>
      </c>
      <c r="S76" s="53">
        <v>212.57704918032783</v>
      </c>
      <c r="T76" s="53">
        <v>60</v>
      </c>
      <c r="U76" s="53">
        <v>81.5</v>
      </c>
      <c r="V76" s="53">
        <v>159.9</v>
      </c>
      <c r="W76" s="53">
        <v>81.099999999999994</v>
      </c>
      <c r="X76" s="53">
        <v>14.615384615384617</v>
      </c>
    </row>
    <row r="77" spans="1:24" x14ac:dyDescent="0.3">
      <c r="A77" s="53" t="s">
        <v>122</v>
      </c>
      <c r="B77" s="53">
        <v>7</v>
      </c>
      <c r="C77" s="53">
        <v>6</v>
      </c>
      <c r="D77" s="53">
        <v>2</v>
      </c>
      <c r="E77" s="53" t="s">
        <v>237</v>
      </c>
      <c r="F77" s="53">
        <v>1.25</v>
      </c>
      <c r="G77" s="53">
        <v>98.54158454867958</v>
      </c>
      <c r="H77" s="53">
        <v>19</v>
      </c>
      <c r="I77" s="53">
        <v>0.89301147999999986</v>
      </c>
      <c r="J77" s="53">
        <v>3.1470712328767099</v>
      </c>
      <c r="K77" s="53">
        <v>20.8</v>
      </c>
      <c r="L77" s="53">
        <v>115.9779020670932</v>
      </c>
      <c r="M77" s="53">
        <v>35.560613064969118</v>
      </c>
      <c r="N77" s="53">
        <v>36.253889483355238</v>
      </c>
      <c r="O77" s="53">
        <v>39.691355721737629</v>
      </c>
      <c r="P77" s="53">
        <v>25.660464041669705</v>
      </c>
      <c r="Q77" s="53">
        <v>7.0925600000000004E-3</v>
      </c>
      <c r="R77" s="53">
        <v>1.4249999999999972</v>
      </c>
      <c r="S77" s="53">
        <v>340.98846153846154</v>
      </c>
      <c r="T77" s="53">
        <v>67</v>
      </c>
      <c r="U77" s="53">
        <v>69</v>
      </c>
      <c r="V77" s="53">
        <v>148.4</v>
      </c>
      <c r="W77" s="53">
        <v>73.3</v>
      </c>
      <c r="X77" s="53">
        <v>18.571428571428573</v>
      </c>
    </row>
    <row r="78" spans="1:24" x14ac:dyDescent="0.3">
      <c r="A78" s="53" t="s">
        <v>124</v>
      </c>
      <c r="B78" s="53">
        <v>7</v>
      </c>
      <c r="D78" s="53">
        <v>2</v>
      </c>
      <c r="E78" s="53" t="s">
        <v>237</v>
      </c>
      <c r="F78" s="53">
        <v>0.1</v>
      </c>
      <c r="G78" s="53">
        <v>116.85</v>
      </c>
      <c r="H78" s="53">
        <v>20</v>
      </c>
      <c r="I78" s="53">
        <v>1.5</v>
      </c>
      <c r="J78" s="53">
        <v>24.305566666666699</v>
      </c>
      <c r="K78" s="53">
        <v>190</v>
      </c>
      <c r="L78" s="53">
        <v>108.61</v>
      </c>
      <c r="M78" s="53">
        <v>41.088000000000001</v>
      </c>
      <c r="N78" s="53">
        <v>30.831106823316134</v>
      </c>
      <c r="O78" s="53">
        <v>41.17591389968139</v>
      </c>
      <c r="P78" s="53">
        <v>31.157964854723062</v>
      </c>
      <c r="Q78" s="53">
        <v>3.8369E-2</v>
      </c>
      <c r="R78" s="53">
        <v>1.7999999999999972</v>
      </c>
      <c r="S78" s="53">
        <v>201.94210526315791</v>
      </c>
      <c r="T78" s="53">
        <v>67.5</v>
      </c>
      <c r="U78" s="53">
        <v>80.5</v>
      </c>
      <c r="V78" s="53">
        <v>173.6</v>
      </c>
      <c r="W78" s="53">
        <v>51.7</v>
      </c>
      <c r="X78" s="53">
        <v>18.666666666666668</v>
      </c>
    </row>
    <row r="79" spans="1:24" x14ac:dyDescent="0.3">
      <c r="A79" s="53" t="s">
        <v>126</v>
      </c>
      <c r="B79" s="53">
        <v>7</v>
      </c>
      <c r="C79" s="53">
        <v>7</v>
      </c>
      <c r="D79" s="53">
        <v>2</v>
      </c>
      <c r="E79" s="53" t="s">
        <v>237</v>
      </c>
      <c r="F79" s="53">
        <v>0.83</v>
      </c>
      <c r="G79" s="53">
        <v>141.26289023873468</v>
      </c>
      <c r="H79" s="53">
        <v>23</v>
      </c>
      <c r="I79" s="53">
        <v>0.90130440909090903</v>
      </c>
      <c r="J79" s="53">
        <v>11.599449999999999</v>
      </c>
      <c r="K79" s="53">
        <v>44.4</v>
      </c>
      <c r="L79" s="53">
        <v>72.483577477489817</v>
      </c>
      <c r="M79" s="53">
        <v>52.350539210553933</v>
      </c>
      <c r="N79" s="53">
        <v>17.16325957077429</v>
      </c>
      <c r="O79" s="53">
        <v>48.678110694203731</v>
      </c>
      <c r="P79" s="53">
        <v>16.641200481271596</v>
      </c>
      <c r="Q79" s="53">
        <v>7.8779000000000002E-3</v>
      </c>
      <c r="R79" s="53">
        <v>3.4699999999999989</v>
      </c>
      <c r="S79" s="53">
        <v>177.4301801801802</v>
      </c>
      <c r="T79" s="53">
        <v>65</v>
      </c>
      <c r="U79" s="53">
        <v>73.400000000000006</v>
      </c>
      <c r="V79" s="53">
        <v>184.3</v>
      </c>
      <c r="W79" s="53">
        <v>79.8</v>
      </c>
      <c r="X79" s="53">
        <v>9.7142857142857135</v>
      </c>
    </row>
    <row r="80" spans="1:24" x14ac:dyDescent="0.3">
      <c r="A80" s="53" t="s">
        <v>128</v>
      </c>
      <c r="B80" s="53">
        <v>7</v>
      </c>
      <c r="C80" s="53">
        <v>7</v>
      </c>
      <c r="D80" s="53">
        <v>2</v>
      </c>
      <c r="E80" s="53" t="s">
        <v>237</v>
      </c>
      <c r="F80" s="53">
        <v>1.2</v>
      </c>
      <c r="G80" s="53">
        <v>109.22992900054614</v>
      </c>
      <c r="H80" s="53">
        <v>23</v>
      </c>
      <c r="I80" s="53">
        <v>1.1050270000000002</v>
      </c>
      <c r="J80" s="53">
        <v>12.4587915</v>
      </c>
      <c r="K80" s="53">
        <v>31.9</v>
      </c>
      <c r="L80" s="53">
        <v>67.652128902234793</v>
      </c>
      <c r="M80" s="53">
        <v>39.3391030684501</v>
      </c>
      <c r="N80" s="53">
        <v>23.230123596285377</v>
      </c>
      <c r="O80" s="53">
        <v>47.551293926584236</v>
      </c>
      <c r="P80" s="53">
        <v>17.629799579594916</v>
      </c>
      <c r="Q80" s="53">
        <v>1.46975E-2</v>
      </c>
      <c r="R80" s="53">
        <v>1.2399999999999949</v>
      </c>
      <c r="S80" s="53">
        <v>460.7366771159875</v>
      </c>
      <c r="T80" s="53">
        <v>68.900000000000006</v>
      </c>
      <c r="U80" s="53">
        <v>68.829340000000002</v>
      </c>
      <c r="V80" s="53">
        <v>142.44</v>
      </c>
      <c r="W80" s="53">
        <v>72.28</v>
      </c>
      <c r="X80" s="53">
        <v>11.428571428571429</v>
      </c>
    </row>
    <row r="81" spans="1:24" x14ac:dyDescent="0.3">
      <c r="A81" s="53" t="s">
        <v>130</v>
      </c>
      <c r="B81" s="53">
        <v>7</v>
      </c>
      <c r="C81" s="53">
        <v>6</v>
      </c>
      <c r="D81" s="53">
        <v>2</v>
      </c>
      <c r="E81" s="53" t="s">
        <v>237</v>
      </c>
      <c r="F81" s="53">
        <v>0.46400000000000002</v>
      </c>
      <c r="G81" s="53">
        <v>143.51320321469538</v>
      </c>
      <c r="H81" s="53">
        <v>31</v>
      </c>
      <c r="I81" s="53">
        <v>0.846531148148148</v>
      </c>
      <c r="J81" s="53">
        <v>13.262718518518501</v>
      </c>
      <c r="K81" s="53">
        <v>33</v>
      </c>
      <c r="L81" s="53">
        <v>50.179780371946407</v>
      </c>
      <c r="M81" s="53">
        <v>61.57256326580881</v>
      </c>
      <c r="N81" s="53">
        <v>20.818327162915494</v>
      </c>
      <c r="O81" s="53">
        <v>64.662820911261292</v>
      </c>
      <c r="P81" s="53">
        <v>19.413446343700667</v>
      </c>
      <c r="Q81" s="53">
        <v>1.37374E-2</v>
      </c>
      <c r="R81" s="53">
        <v>1.6300000000000097</v>
      </c>
      <c r="S81" s="53">
        <v>416.28484848484851</v>
      </c>
      <c r="T81" s="53">
        <v>62.8</v>
      </c>
      <c r="U81" s="53">
        <v>64.163762962962949</v>
      </c>
      <c r="V81" s="53">
        <v>171.3</v>
      </c>
      <c r="W81" s="53">
        <v>89.4</v>
      </c>
      <c r="X81" s="53">
        <v>10</v>
      </c>
    </row>
    <row r="82" spans="1:24" x14ac:dyDescent="0.3">
      <c r="A82" s="53" t="s">
        <v>132</v>
      </c>
      <c r="B82" s="53">
        <v>7</v>
      </c>
      <c r="C82" s="53">
        <v>6</v>
      </c>
      <c r="D82" s="53">
        <v>2</v>
      </c>
      <c r="E82" s="53" t="s">
        <v>237</v>
      </c>
      <c r="F82" s="53">
        <v>0.55000000000000004</v>
      </c>
      <c r="G82" s="53">
        <v>87.519691930684502</v>
      </c>
      <c r="H82" s="53">
        <v>17</v>
      </c>
      <c r="I82" s="53">
        <v>1.1858865517241381</v>
      </c>
      <c r="J82" s="53">
        <v>6.0382689655172399</v>
      </c>
      <c r="K82" s="53">
        <v>44.3</v>
      </c>
      <c r="L82" s="53">
        <v>152.2585688050498</v>
      </c>
      <c r="M82" s="53">
        <v>31.213908917813743</v>
      </c>
      <c r="N82" s="53">
        <v>45.917628188302146</v>
      </c>
      <c r="O82" s="53">
        <v>35.312593030162773</v>
      </c>
      <c r="P82" s="53">
        <v>38.423185378136623</v>
      </c>
      <c r="Q82" s="53">
        <v>1.6027799999999998E-2</v>
      </c>
      <c r="R82" s="53">
        <v>1.6799999999999926</v>
      </c>
      <c r="S82" s="53">
        <v>361.80135440180584</v>
      </c>
      <c r="T82" s="53">
        <v>68.5</v>
      </c>
      <c r="U82" s="53">
        <v>66.244193103448282</v>
      </c>
      <c r="V82" s="53">
        <v>150.4</v>
      </c>
      <c r="W82" s="53">
        <v>61.6</v>
      </c>
      <c r="X82" s="53">
        <v>22</v>
      </c>
    </row>
    <row r="83" spans="1:24" x14ac:dyDescent="0.3">
      <c r="A83" s="53" t="s">
        <v>134</v>
      </c>
      <c r="B83" s="53">
        <v>7</v>
      </c>
      <c r="C83" s="53">
        <v>6</v>
      </c>
      <c r="D83" s="53">
        <v>2</v>
      </c>
      <c r="E83" s="53" t="s">
        <v>237</v>
      </c>
      <c r="F83" s="53">
        <v>0.4</v>
      </c>
      <c r="G83" s="53">
        <v>100.90817356205856</v>
      </c>
      <c r="H83" s="53">
        <v>21</v>
      </c>
      <c r="I83" s="53">
        <v>0.91222379310344814</v>
      </c>
      <c r="J83" s="53">
        <v>14.086499999999999</v>
      </c>
      <c r="K83" s="53">
        <v>55</v>
      </c>
      <c r="L83" s="53">
        <v>98.291111882695006</v>
      </c>
      <c r="M83" s="53">
        <v>40.746475429875453</v>
      </c>
      <c r="N83" s="53">
        <v>35.209879244806388</v>
      </c>
      <c r="O83" s="53">
        <v>42.106713529987445</v>
      </c>
      <c r="P83" s="53">
        <v>32.656087778006849</v>
      </c>
      <c r="Q83" s="53">
        <v>1.41853E-2</v>
      </c>
      <c r="R83" s="53">
        <v>2</v>
      </c>
      <c r="S83" s="53">
        <v>257.91454545454548</v>
      </c>
      <c r="T83" s="53">
        <v>70.53</v>
      </c>
      <c r="U83" s="53">
        <v>73.446337931034492</v>
      </c>
      <c r="V83" s="53">
        <v>211</v>
      </c>
      <c r="W83" s="53">
        <v>87.9</v>
      </c>
      <c r="X83" s="53">
        <v>20</v>
      </c>
    </row>
    <row r="84" spans="1:24" x14ac:dyDescent="0.3">
      <c r="A84" s="53" t="s">
        <v>136</v>
      </c>
      <c r="B84" s="53">
        <v>7</v>
      </c>
      <c r="C84" s="53">
        <v>7</v>
      </c>
      <c r="D84" s="53">
        <v>2</v>
      </c>
      <c r="E84" s="53" t="s">
        <v>237</v>
      </c>
      <c r="F84" s="53">
        <v>0.76</v>
      </c>
      <c r="G84" s="53">
        <v>179.6622349982033</v>
      </c>
      <c r="H84" s="53">
        <v>45</v>
      </c>
      <c r="I84" s="53">
        <v>0.7313647692307691</v>
      </c>
      <c r="J84" s="53">
        <v>18.956088461538499</v>
      </c>
      <c r="K84" s="53">
        <v>29.3</v>
      </c>
      <c r="L84" s="53">
        <v>45.272110809534702</v>
      </c>
      <c r="M84" s="53">
        <v>80.860354168350767</v>
      </c>
      <c r="N84" s="53">
        <v>21.799142906487415</v>
      </c>
      <c r="O84" s="53">
        <v>93.249035243560101</v>
      </c>
      <c r="P84" s="53">
        <v>16.73432770241239</v>
      </c>
      <c r="Q84" s="53">
        <v>1.3153099999999999E-2</v>
      </c>
      <c r="R84" s="53">
        <v>3.9669999999999987</v>
      </c>
      <c r="S84" s="53">
        <v>448.91126279863477</v>
      </c>
      <c r="T84" s="53">
        <v>66.099999999999994</v>
      </c>
      <c r="U84" s="53">
        <v>62.619723076923066</v>
      </c>
      <c r="V84" s="53">
        <v>163.1</v>
      </c>
      <c r="W84" s="53">
        <v>102.3</v>
      </c>
      <c r="X84" s="53">
        <v>10.526315789473683</v>
      </c>
    </row>
    <row r="85" spans="1:24" x14ac:dyDescent="0.3">
      <c r="A85" s="53" t="s">
        <v>138</v>
      </c>
      <c r="B85" s="53">
        <v>7</v>
      </c>
      <c r="C85" s="53">
        <v>7</v>
      </c>
      <c r="D85" s="53">
        <v>2</v>
      </c>
      <c r="E85" s="53" t="s">
        <v>237</v>
      </c>
      <c r="F85" s="53">
        <v>0.75</v>
      </c>
      <c r="G85" s="53">
        <v>146.77821811243174</v>
      </c>
      <c r="H85" s="53">
        <v>33</v>
      </c>
      <c r="I85" s="53">
        <v>0.70781695000000011</v>
      </c>
      <c r="J85" s="53">
        <v>17.611695000000001</v>
      </c>
      <c r="K85" s="53">
        <v>24.1</v>
      </c>
      <c r="L85" s="53">
        <v>54.171440556872362</v>
      </c>
      <c r="M85" s="53">
        <v>59.241706161137458</v>
      </c>
      <c r="N85" s="53">
        <v>23.764951869885202</v>
      </c>
      <c r="O85" s="53">
        <v>65.428318405240162</v>
      </c>
      <c r="P85" s="53">
        <v>21.064610075636583</v>
      </c>
      <c r="Q85" s="53">
        <v>1.4778700000000001E-2</v>
      </c>
      <c r="R85" s="53">
        <v>3.9599999999999937</v>
      </c>
      <c r="S85" s="53">
        <v>613.22406639004146</v>
      </c>
      <c r="T85" s="53">
        <v>66.8</v>
      </c>
      <c r="U85" s="53">
        <v>70.703130000000002</v>
      </c>
      <c r="V85" s="53">
        <v>202.8</v>
      </c>
      <c r="W85" s="53">
        <v>116.7</v>
      </c>
      <c r="X85" s="53">
        <v>12.272727272727272</v>
      </c>
    </row>
    <row r="86" spans="1:24" x14ac:dyDescent="0.3">
      <c r="A86" s="53" t="s">
        <v>140</v>
      </c>
      <c r="B86" s="53">
        <v>7</v>
      </c>
      <c r="C86" s="53">
        <v>7</v>
      </c>
      <c r="D86" s="53">
        <v>2</v>
      </c>
      <c r="E86" s="53" t="s">
        <v>237</v>
      </c>
      <c r="F86" s="53">
        <v>1.2</v>
      </c>
      <c r="G86" s="53">
        <v>179.9532121648366</v>
      </c>
      <c r="H86" s="53">
        <v>35</v>
      </c>
      <c r="I86" s="53">
        <v>0.76865976923076929</v>
      </c>
      <c r="J86" s="53">
        <v>12.6342615384615</v>
      </c>
      <c r="K86" s="53">
        <v>27</v>
      </c>
      <c r="L86" s="53">
        <v>55.735142364164311</v>
      </c>
      <c r="M86" s="53">
        <v>62.640942119769711</v>
      </c>
      <c r="N86" s="53">
        <v>19.140205596151642</v>
      </c>
      <c r="O86" s="53">
        <v>72.293411299425642</v>
      </c>
      <c r="P86" s="53">
        <v>15.049868747388709</v>
      </c>
      <c r="Q86" s="53">
        <v>9.0756499999999993E-3</v>
      </c>
      <c r="R86" s="53">
        <v>3.2480000000000047</v>
      </c>
      <c r="S86" s="53">
        <v>336.13518518518515</v>
      </c>
      <c r="T86" s="53">
        <v>66.7</v>
      </c>
      <c r="U86" s="53">
        <v>64.040000000000006</v>
      </c>
      <c r="V86" s="53">
        <v>172.2</v>
      </c>
      <c r="W86" s="53">
        <v>100.7</v>
      </c>
      <c r="X86" s="53">
        <v>9</v>
      </c>
    </row>
    <row r="87" spans="1:24" x14ac:dyDescent="0.3">
      <c r="A87" s="53" t="s">
        <v>142</v>
      </c>
      <c r="B87" s="53">
        <v>7</v>
      </c>
      <c r="C87" s="53">
        <v>7</v>
      </c>
      <c r="D87" s="53">
        <v>2</v>
      </c>
      <c r="E87" s="53" t="s">
        <v>237</v>
      </c>
      <c r="F87" s="53">
        <v>1</v>
      </c>
      <c r="G87" s="53">
        <v>171.26220243192333</v>
      </c>
      <c r="H87" s="53">
        <v>41</v>
      </c>
      <c r="I87" s="53">
        <v>0.62497059999999982</v>
      </c>
      <c r="J87" s="53">
        <v>16.642243333333301</v>
      </c>
      <c r="K87" s="53">
        <v>32</v>
      </c>
      <c r="L87" s="53">
        <v>72.813287069925792</v>
      </c>
      <c r="M87" s="53">
        <v>74.766355140186917</v>
      </c>
      <c r="N87" s="53">
        <v>31.297069825088599</v>
      </c>
      <c r="O87" s="53">
        <v>82.505880236834841</v>
      </c>
      <c r="P87" s="53">
        <v>27.098237610032491</v>
      </c>
      <c r="Q87" s="53">
        <v>8.9782100000000004E-3</v>
      </c>
      <c r="R87" s="53">
        <v>3.7800000000000011</v>
      </c>
      <c r="S87" s="53">
        <v>280.56906250000003</v>
      </c>
      <c r="T87" s="53">
        <v>62</v>
      </c>
      <c r="U87" s="53">
        <v>73.073319999999981</v>
      </c>
      <c r="V87" s="53">
        <v>230</v>
      </c>
      <c r="W87" s="53">
        <v>138.85</v>
      </c>
      <c r="X87" s="53">
        <v>16.81818181818182</v>
      </c>
    </row>
    <row r="88" spans="1:24" x14ac:dyDescent="0.3">
      <c r="A88" s="53" t="s">
        <v>144</v>
      </c>
      <c r="B88" s="53">
        <v>7</v>
      </c>
      <c r="C88" s="53">
        <v>7</v>
      </c>
      <c r="D88" s="53">
        <v>2</v>
      </c>
      <c r="E88" s="53" t="s">
        <v>237</v>
      </c>
      <c r="F88" s="53">
        <v>1.23</v>
      </c>
      <c r="G88" s="53">
        <v>174.42874585731715</v>
      </c>
      <c r="H88" s="53">
        <v>37</v>
      </c>
      <c r="I88" s="53">
        <v>0.57466417241379308</v>
      </c>
      <c r="J88" s="53">
        <v>19.090928571428599</v>
      </c>
      <c r="K88" s="53">
        <v>25</v>
      </c>
      <c r="L88" s="53">
        <v>60.724494378892736</v>
      </c>
      <c r="M88" s="53">
        <v>68.027210884353536</v>
      </c>
      <c r="N88" s="53">
        <v>23.278047378283748</v>
      </c>
      <c r="O88" s="53">
        <v>77.02566730350236</v>
      </c>
      <c r="P88" s="53">
        <v>21.866325824530215</v>
      </c>
      <c r="Q88" s="53">
        <v>1.1724699999999999E-2</v>
      </c>
      <c r="R88" s="53">
        <v>0.01</v>
      </c>
      <c r="S88" s="53">
        <v>468.988</v>
      </c>
      <c r="T88" s="53">
        <v>67.599999999999994</v>
      </c>
      <c r="U88" s="53">
        <v>59.869175862068971</v>
      </c>
      <c r="V88" s="53">
        <v>211.98</v>
      </c>
      <c r="W88" s="53">
        <v>125.05</v>
      </c>
      <c r="X88" s="53">
        <v>12.727272727272728</v>
      </c>
    </row>
    <row r="89" spans="1:24" x14ac:dyDescent="0.3">
      <c r="A89" s="53" t="s">
        <v>146</v>
      </c>
      <c r="B89" s="53">
        <v>7</v>
      </c>
      <c r="C89" s="53">
        <v>7</v>
      </c>
      <c r="D89" s="53">
        <v>2</v>
      </c>
      <c r="E89" s="53" t="s">
        <v>237</v>
      </c>
      <c r="F89" s="53">
        <v>0.96</v>
      </c>
      <c r="G89" s="53">
        <v>139.23698134224475</v>
      </c>
      <c r="H89" s="53">
        <v>24</v>
      </c>
      <c r="I89" s="53">
        <v>0.74995249999999991</v>
      </c>
      <c r="J89" s="53">
        <v>16.506030434782598</v>
      </c>
      <c r="K89" s="53">
        <v>35</v>
      </c>
      <c r="L89" s="53">
        <v>58.350436087672911</v>
      </c>
      <c r="M89" s="53">
        <v>44.953922229714536</v>
      </c>
      <c r="N89" s="53">
        <v>16.113315160868567</v>
      </c>
      <c r="O89" s="53">
        <v>49.415556925242349</v>
      </c>
      <c r="P89" s="53">
        <v>12.371105793786462</v>
      </c>
      <c r="Q89" s="53">
        <v>8.3253300000000006E-3</v>
      </c>
      <c r="R89" s="53">
        <v>1.1499999999999915</v>
      </c>
      <c r="S89" s="53">
        <v>237.86657142857143</v>
      </c>
      <c r="T89" s="53">
        <v>69.8</v>
      </c>
      <c r="U89" s="53">
        <v>69.806420833333348</v>
      </c>
      <c r="V89" s="53">
        <v>213.02</v>
      </c>
      <c r="W89" s="53">
        <v>117.6</v>
      </c>
      <c r="X89" s="53">
        <v>7.7272727272727275</v>
      </c>
    </row>
    <row r="90" spans="1:24" x14ac:dyDescent="0.3">
      <c r="A90" s="53" t="s">
        <v>147</v>
      </c>
      <c r="B90" s="53">
        <v>7</v>
      </c>
      <c r="C90" s="53">
        <v>7</v>
      </c>
      <c r="D90" s="53">
        <v>2</v>
      </c>
      <c r="E90" s="53" t="s">
        <v>237</v>
      </c>
      <c r="F90" s="53">
        <v>0.56000000000000005</v>
      </c>
      <c r="G90" s="53">
        <v>181.38944313440942</v>
      </c>
      <c r="H90" s="53">
        <v>35</v>
      </c>
      <c r="I90" s="53">
        <v>0.92443805263157885</v>
      </c>
      <c r="J90" s="53">
        <v>9.1424315789473702</v>
      </c>
      <c r="K90" s="53">
        <v>29.9</v>
      </c>
      <c r="L90" s="53">
        <v>56.268428862500656</v>
      </c>
      <c r="M90" s="53">
        <v>61.293288384921645</v>
      </c>
      <c r="N90" s="53">
        <v>19.050051427851958</v>
      </c>
      <c r="O90" s="53">
        <v>72.895466206472776</v>
      </c>
      <c r="P90" s="53">
        <v>15.074794975631205</v>
      </c>
      <c r="Q90" s="53">
        <v>6.3354300000000004E-3</v>
      </c>
      <c r="R90" s="53">
        <v>0.26999999999999602</v>
      </c>
      <c r="S90" s="53">
        <v>211.88729096989968</v>
      </c>
      <c r="T90" s="53">
        <v>62</v>
      </c>
      <c r="U90" s="53">
        <v>59.384</v>
      </c>
      <c r="V90" s="53">
        <v>144.30000000000001</v>
      </c>
      <c r="W90" s="53">
        <v>76.7</v>
      </c>
      <c r="X90" s="53">
        <v>9</v>
      </c>
    </row>
    <row r="91" spans="1:24" x14ac:dyDescent="0.3">
      <c r="A91" s="53" t="s">
        <v>149</v>
      </c>
      <c r="B91" s="53">
        <v>7</v>
      </c>
      <c r="C91" s="53">
        <v>7</v>
      </c>
      <c r="D91" s="53">
        <v>2</v>
      </c>
      <c r="E91" s="53" t="s">
        <v>237</v>
      </c>
      <c r="F91" s="53">
        <v>1.35</v>
      </c>
      <c r="G91" s="53">
        <v>197.90223629527026</v>
      </c>
      <c r="H91" s="53">
        <v>40</v>
      </c>
      <c r="I91" s="53">
        <v>0.68345956521739126</v>
      </c>
      <c r="J91" s="53">
        <v>12.1804826086957</v>
      </c>
      <c r="K91" s="53">
        <v>26</v>
      </c>
      <c r="L91" s="53">
        <v>81.478522771509162</v>
      </c>
      <c r="M91" s="53">
        <v>74.682598954443691</v>
      </c>
      <c r="N91" s="53">
        <v>25.655119270524022</v>
      </c>
      <c r="O91" s="53">
        <v>82.969632894976627</v>
      </c>
      <c r="P91" s="53">
        <v>20.16338496630495</v>
      </c>
      <c r="Q91" s="53">
        <v>6.2374800000000001E-3</v>
      </c>
      <c r="R91" s="53">
        <v>1.4500000000000028</v>
      </c>
      <c r="S91" s="53">
        <v>239.90307692307692</v>
      </c>
      <c r="T91" s="53">
        <v>66.900000000000006</v>
      </c>
      <c r="U91" s="53">
        <v>62.038252173913051</v>
      </c>
      <c r="V91" s="53">
        <v>192.6</v>
      </c>
      <c r="W91" s="53">
        <v>109.01</v>
      </c>
      <c r="X91" s="53">
        <v>12.272727272727272</v>
      </c>
    </row>
    <row r="92" spans="1:24" x14ac:dyDescent="0.3">
      <c r="A92" s="53" t="s">
        <v>151</v>
      </c>
      <c r="B92" s="53">
        <v>7</v>
      </c>
      <c r="C92" s="53">
        <v>7</v>
      </c>
      <c r="D92" s="53">
        <v>2</v>
      </c>
      <c r="E92" s="53" t="s">
        <v>237</v>
      </c>
      <c r="F92" s="53">
        <v>2.2000000000000002</v>
      </c>
      <c r="G92" s="53">
        <v>190.47619047619048</v>
      </c>
      <c r="H92" s="53">
        <v>41</v>
      </c>
      <c r="I92" s="53">
        <v>0.65189900000000001</v>
      </c>
      <c r="J92" s="53">
        <v>12.240080000000001</v>
      </c>
      <c r="K92" s="53">
        <v>22</v>
      </c>
      <c r="L92" s="53">
        <v>53.698150525263614</v>
      </c>
      <c r="M92" s="53">
        <v>72.098053352559461</v>
      </c>
      <c r="N92" s="53">
        <v>17.30683446919544</v>
      </c>
      <c r="O92" s="53">
        <v>84.764428086311355</v>
      </c>
      <c r="P92" s="53">
        <v>16.243345578663767</v>
      </c>
      <c r="Q92" s="53">
        <v>8.7574699999999998E-3</v>
      </c>
      <c r="R92" s="53">
        <v>1.5999999999999943</v>
      </c>
      <c r="S92" s="53">
        <v>398.06681818181818</v>
      </c>
      <c r="T92" s="53">
        <v>65</v>
      </c>
      <c r="U92" s="53">
        <v>60.722345833333321</v>
      </c>
      <c r="V92" s="53">
        <v>215.4</v>
      </c>
      <c r="W92" s="53">
        <v>128.5</v>
      </c>
      <c r="X92" s="53">
        <v>9.0625</v>
      </c>
    </row>
    <row r="93" spans="1:24" x14ac:dyDescent="0.3">
      <c r="A93" s="53" t="s">
        <v>153</v>
      </c>
      <c r="B93" s="53">
        <v>7</v>
      </c>
      <c r="C93" s="53">
        <v>7</v>
      </c>
      <c r="D93" s="53">
        <v>2</v>
      </c>
      <c r="E93" s="53" t="s">
        <v>237</v>
      </c>
      <c r="F93" s="53">
        <v>0.86</v>
      </c>
      <c r="G93" s="53">
        <v>189.75332068311158</v>
      </c>
      <c r="H93" s="53">
        <v>42</v>
      </c>
      <c r="I93" s="53">
        <v>0.66099196551724138</v>
      </c>
      <c r="J93" s="53">
        <v>13.404593103448301</v>
      </c>
      <c r="K93" s="53">
        <v>35.6</v>
      </c>
      <c r="L93" s="53">
        <v>55.34476854072313</v>
      </c>
      <c r="M93" s="53">
        <v>74.305245950364267</v>
      </c>
      <c r="N93" s="53">
        <v>23.059143031994068</v>
      </c>
      <c r="O93" s="53">
        <v>87.167654575923464</v>
      </c>
      <c r="P93" s="53">
        <v>18.979536031945678</v>
      </c>
      <c r="Q93" s="53">
        <v>7.3898999999999996E-3</v>
      </c>
      <c r="R93" s="53">
        <v>2.25</v>
      </c>
      <c r="S93" s="53">
        <v>207.58146067415728</v>
      </c>
      <c r="T93" s="53">
        <v>62.92</v>
      </c>
      <c r="U93" s="53">
        <v>68.224675862068949</v>
      </c>
      <c r="V93" s="53">
        <v>207.8</v>
      </c>
      <c r="W93" s="53">
        <v>122.7</v>
      </c>
      <c r="X93" s="53">
        <v>11.875</v>
      </c>
    </row>
    <row r="94" spans="1:24" x14ac:dyDescent="0.3">
      <c r="A94" s="53" t="s">
        <v>155</v>
      </c>
      <c r="B94" s="53">
        <v>7</v>
      </c>
      <c r="C94" s="53">
        <v>7</v>
      </c>
      <c r="D94" s="53">
        <v>2</v>
      </c>
      <c r="E94" s="53" t="s">
        <v>237</v>
      </c>
      <c r="F94" s="53">
        <v>1.32</v>
      </c>
      <c r="G94" s="53">
        <v>158.12776723592631</v>
      </c>
      <c r="H94" s="53">
        <v>30</v>
      </c>
      <c r="I94" s="53">
        <v>0.55044696551724137</v>
      </c>
      <c r="J94" s="53">
        <v>22.618786551724099</v>
      </c>
      <c r="K94" s="53">
        <v>27.5</v>
      </c>
      <c r="L94" s="53">
        <v>59.754790386447205</v>
      </c>
      <c r="M94" s="53">
        <v>57.234432234432298</v>
      </c>
      <c r="N94" s="53">
        <v>20.282777455866015</v>
      </c>
      <c r="O94" s="53">
        <v>63.920945877186107</v>
      </c>
      <c r="P94" s="53">
        <v>17.344173406872436</v>
      </c>
      <c r="Q94" s="53">
        <v>9.7110700000000005E-3</v>
      </c>
      <c r="R94" s="53">
        <v>1.5</v>
      </c>
      <c r="S94" s="53">
        <v>353.12981818181817</v>
      </c>
      <c r="T94" s="53">
        <v>66.599999999999994</v>
      </c>
      <c r="U94" s="53">
        <v>52.824872413793102</v>
      </c>
      <c r="V94" s="53">
        <v>200.32</v>
      </c>
      <c r="W94" s="53">
        <v>115.51</v>
      </c>
      <c r="X94" s="53">
        <v>9.5833333333333321</v>
      </c>
    </row>
    <row r="95" spans="1:24" x14ac:dyDescent="0.3">
      <c r="A95" s="53" t="s">
        <v>157</v>
      </c>
      <c r="B95" s="53">
        <v>7</v>
      </c>
      <c r="C95" s="53">
        <v>7</v>
      </c>
      <c r="D95" s="53">
        <v>2</v>
      </c>
      <c r="E95" s="53" t="s">
        <v>237</v>
      </c>
      <c r="F95" s="53">
        <v>0.86</v>
      </c>
      <c r="G95" s="53">
        <v>181.68604651162821</v>
      </c>
      <c r="H95" s="53">
        <v>36</v>
      </c>
      <c r="I95" s="53">
        <v>0.6181389310344827</v>
      </c>
      <c r="J95" s="53">
        <v>15.6818310344828</v>
      </c>
      <c r="K95" s="53">
        <v>30.2</v>
      </c>
      <c r="L95" s="53">
        <v>52.341560185067607</v>
      </c>
      <c r="M95" s="53">
        <v>65.526505471463352</v>
      </c>
      <c r="N95" s="53">
        <v>18.395313687905411</v>
      </c>
      <c r="O95" s="53">
        <v>75.196980990571248</v>
      </c>
      <c r="P95" s="53">
        <v>15.254162637434955</v>
      </c>
      <c r="Q95" s="53">
        <v>1.24464E-2</v>
      </c>
      <c r="R95" s="53">
        <v>1.1499999999999915</v>
      </c>
      <c r="S95" s="53">
        <v>412.13245033112588</v>
      </c>
      <c r="T95" s="53">
        <v>64.849999999999994</v>
      </c>
      <c r="U95" s="53">
        <v>72.694972413793096</v>
      </c>
      <c r="V95" s="53">
        <v>246.29</v>
      </c>
      <c r="W95" s="53">
        <v>140.27000000000001</v>
      </c>
      <c r="X95" s="53">
        <v>9.0625</v>
      </c>
    </row>
    <row r="96" spans="1:24" x14ac:dyDescent="0.3">
      <c r="A96" s="53" t="s">
        <v>158</v>
      </c>
      <c r="B96" s="53">
        <v>7</v>
      </c>
      <c r="C96" s="53">
        <v>7</v>
      </c>
      <c r="D96" s="53">
        <v>2</v>
      </c>
      <c r="E96" s="53" t="s">
        <v>237</v>
      </c>
      <c r="F96" s="53">
        <v>0.78500000000000003</v>
      </c>
      <c r="G96" s="53">
        <v>218.15008726003475</v>
      </c>
      <c r="H96" s="53">
        <v>46</v>
      </c>
      <c r="I96" s="53">
        <v>0.61669329629629621</v>
      </c>
      <c r="J96" s="53">
        <v>18.3738407407407</v>
      </c>
      <c r="K96" s="53">
        <v>28.5</v>
      </c>
      <c r="L96" s="53">
        <v>43.265862750178535</v>
      </c>
      <c r="M96" s="53">
        <v>85.859019489997905</v>
      </c>
      <c r="N96" s="53">
        <v>16.868665621909784</v>
      </c>
      <c r="O96" s="53">
        <v>92.679732741662932</v>
      </c>
      <c r="P96" s="53">
        <v>15.2076983955331</v>
      </c>
      <c r="Q96" s="53">
        <v>1.42121E-2</v>
      </c>
      <c r="R96" s="53">
        <v>2.0900000000000034</v>
      </c>
      <c r="S96" s="53">
        <v>498.67017543859646</v>
      </c>
      <c r="T96" s="53">
        <v>63.2</v>
      </c>
      <c r="U96" s="53">
        <v>67.925333333333327</v>
      </c>
      <c r="V96" s="53">
        <v>244.75</v>
      </c>
      <c r="W96" s="53">
        <v>131.16</v>
      </c>
      <c r="X96" s="53">
        <v>8.75</v>
      </c>
    </row>
    <row r="97" spans="1:24" x14ac:dyDescent="0.3">
      <c r="A97" s="53" t="s">
        <v>172</v>
      </c>
      <c r="B97" s="53">
        <v>14</v>
      </c>
      <c r="C97" s="53">
        <v>21</v>
      </c>
      <c r="D97" s="53">
        <v>1</v>
      </c>
      <c r="E97" s="53" t="s">
        <v>238</v>
      </c>
      <c r="F97" s="53">
        <v>0.2</v>
      </c>
      <c r="G97" s="53">
        <v>157.15857300015716</v>
      </c>
      <c r="H97" s="53">
        <v>30</v>
      </c>
      <c r="I97" s="53">
        <v>0.98917826666666664</v>
      </c>
      <c r="J97" s="53">
        <v>14.803046666666701</v>
      </c>
      <c r="K97" s="53">
        <v>67.099999999999994</v>
      </c>
      <c r="L97" s="53">
        <v>75.873122620835375</v>
      </c>
      <c r="M97" s="53">
        <v>55.00550055005516</v>
      </c>
      <c r="N97" s="53">
        <v>43.330474462751994</v>
      </c>
      <c r="O97" s="53">
        <v>62.810414493462943</v>
      </c>
      <c r="P97" s="53">
        <v>37.362309509819298</v>
      </c>
      <c r="Q97" s="53">
        <v>1.55783E-2</v>
      </c>
      <c r="R97" s="53">
        <v>31.799999999999997</v>
      </c>
      <c r="S97" s="53">
        <v>232.16542473919526</v>
      </c>
      <c r="T97" s="53">
        <v>63</v>
      </c>
      <c r="U97" s="53">
        <v>71.89</v>
      </c>
      <c r="V97" s="53">
        <v>177.8</v>
      </c>
      <c r="W97" s="53">
        <v>85.4</v>
      </c>
      <c r="X97" s="53">
        <v>20</v>
      </c>
    </row>
    <row r="98" spans="1:24" x14ac:dyDescent="0.3">
      <c r="A98" s="53" t="s">
        <v>174</v>
      </c>
      <c r="B98" s="53">
        <v>14</v>
      </c>
      <c r="C98" s="53">
        <v>18</v>
      </c>
      <c r="D98" s="53">
        <v>1</v>
      </c>
      <c r="E98" s="53" t="s">
        <v>238</v>
      </c>
      <c r="F98" s="53">
        <v>1.7</v>
      </c>
      <c r="G98" s="53">
        <v>194.81784531463046</v>
      </c>
      <c r="H98" s="53">
        <v>34</v>
      </c>
      <c r="I98" s="53">
        <v>0.66781932142857137</v>
      </c>
      <c r="J98" s="53">
        <v>17.255503571428601</v>
      </c>
      <c r="K98" s="53">
        <v>21.8</v>
      </c>
      <c r="L98" s="53">
        <v>56.275414427433617</v>
      </c>
      <c r="M98" s="53">
        <v>63.698324734059447</v>
      </c>
      <c r="N98" s="53">
        <v>19.196806036618</v>
      </c>
      <c r="O98" s="53">
        <v>85.704192484863356</v>
      </c>
      <c r="P98" s="53">
        <v>16.636600431525402</v>
      </c>
      <c r="Q98" s="53">
        <v>8.4251699999999992E-3</v>
      </c>
      <c r="R98" s="53">
        <v>5</v>
      </c>
      <c r="S98" s="53">
        <v>386.47568807339445</v>
      </c>
      <c r="T98" s="53">
        <v>71.2</v>
      </c>
      <c r="U98" s="53">
        <v>66.839600000000004</v>
      </c>
      <c r="V98" s="53">
        <v>219.3</v>
      </c>
      <c r="W98" s="53">
        <v>118.7</v>
      </c>
      <c r="X98" s="53">
        <v>9.375</v>
      </c>
    </row>
    <row r="99" spans="1:24" x14ac:dyDescent="0.3">
      <c r="A99" s="53" t="s">
        <v>176</v>
      </c>
      <c r="B99" s="53">
        <v>14</v>
      </c>
      <c r="C99" s="53">
        <v>18</v>
      </c>
      <c r="D99" s="53">
        <v>1</v>
      </c>
      <c r="E99" s="53" t="s">
        <v>238</v>
      </c>
      <c r="F99" s="53">
        <v>0.65</v>
      </c>
      <c r="G99" s="53">
        <v>181.35654697134626</v>
      </c>
      <c r="H99" s="53">
        <v>39</v>
      </c>
      <c r="I99" s="53">
        <v>0.71107163157894737</v>
      </c>
      <c r="J99" s="53">
        <v>16.6272736842105</v>
      </c>
      <c r="K99" s="53">
        <v>35.5</v>
      </c>
      <c r="L99" s="53">
        <v>74.256242082909296</v>
      </c>
      <c r="M99" s="53">
        <v>67.168189145621</v>
      </c>
      <c r="N99" s="53">
        <v>31.740093566191099</v>
      </c>
      <c r="O99" s="53">
        <v>82.766143111749784</v>
      </c>
      <c r="P99" s="53">
        <v>25.396587737529625</v>
      </c>
      <c r="Q99" s="53">
        <v>9.2708500000000006E-3</v>
      </c>
      <c r="R99" s="53">
        <v>9.2999999999999972</v>
      </c>
      <c r="S99" s="53">
        <v>261.15070422535211</v>
      </c>
      <c r="T99" s="53">
        <v>72</v>
      </c>
      <c r="U99" s="53">
        <v>78.002921052631578</v>
      </c>
      <c r="V99" s="53">
        <v>224.94</v>
      </c>
      <c r="W99" s="53">
        <v>134.63</v>
      </c>
      <c r="X99" s="53">
        <v>14.666666666666666</v>
      </c>
    </row>
    <row r="100" spans="1:24" x14ac:dyDescent="0.3">
      <c r="A100" s="53" t="s">
        <v>178</v>
      </c>
      <c r="B100" s="53">
        <v>14</v>
      </c>
      <c r="C100" s="53">
        <v>18</v>
      </c>
      <c r="D100" s="53">
        <v>1</v>
      </c>
      <c r="E100" s="53" t="s">
        <v>238</v>
      </c>
      <c r="F100" s="53">
        <v>3.67</v>
      </c>
      <c r="G100" s="53">
        <v>225.07314877335216</v>
      </c>
      <c r="H100" s="53">
        <v>26</v>
      </c>
      <c r="I100" s="53">
        <v>0.71281663157894759</v>
      </c>
      <c r="J100" s="53">
        <v>13.9058411111111</v>
      </c>
      <c r="K100" s="53">
        <v>11.4</v>
      </c>
      <c r="L100" s="53">
        <v>42.627259880732474</v>
      </c>
      <c r="M100" s="53">
        <v>44.273254526940299</v>
      </c>
      <c r="N100" s="53">
        <v>9.4460006879060643</v>
      </c>
      <c r="O100" s="53">
        <v>67.47016243301421</v>
      </c>
      <c r="P100" s="53">
        <v>3.6662247217262256</v>
      </c>
      <c r="Q100" s="53">
        <v>4.5520700000000001E-3</v>
      </c>
      <c r="R100" s="53">
        <v>4.3900000000000006</v>
      </c>
      <c r="S100" s="53">
        <v>399.30438596491229</v>
      </c>
      <c r="T100" s="53">
        <v>69.5</v>
      </c>
      <c r="U100" s="53">
        <v>58.67</v>
      </c>
      <c r="V100" s="53">
        <v>122.7</v>
      </c>
      <c r="W100" s="53">
        <v>92</v>
      </c>
      <c r="X100" s="53">
        <v>5.5882352941176476</v>
      </c>
    </row>
    <row r="101" spans="1:24" x14ac:dyDescent="0.3">
      <c r="A101" s="53" t="s">
        <v>180</v>
      </c>
      <c r="B101" s="53">
        <v>14</v>
      </c>
      <c r="C101" s="53">
        <v>20</v>
      </c>
      <c r="D101" s="53">
        <v>1</v>
      </c>
      <c r="E101" s="53" t="s">
        <v>238</v>
      </c>
      <c r="F101" s="53">
        <v>0.8</v>
      </c>
      <c r="G101" s="53">
        <v>168.54879487611683</v>
      </c>
      <c r="H101" s="53">
        <v>21</v>
      </c>
      <c r="I101" s="53">
        <v>0.6947153181818182</v>
      </c>
      <c r="J101" s="53">
        <v>22.0307761904762</v>
      </c>
      <c r="K101" s="53">
        <v>35.4</v>
      </c>
      <c r="L101" s="53">
        <v>97.699910443943608</v>
      </c>
      <c r="M101" s="53">
        <v>49.522111622839638</v>
      </c>
      <c r="N101" s="53">
        <v>25.977798957572428</v>
      </c>
      <c r="O101" s="53">
        <v>68.767484711743634</v>
      </c>
      <c r="P101" s="53">
        <v>23.819089860472193</v>
      </c>
      <c r="Q101" s="53">
        <v>1.11E-2</v>
      </c>
      <c r="R101" s="53">
        <v>25.5</v>
      </c>
      <c r="S101" s="53">
        <v>313.55932203389835</v>
      </c>
      <c r="T101" s="53">
        <v>70.099999999999994</v>
      </c>
      <c r="U101" s="53">
        <v>57.988940909090907</v>
      </c>
      <c r="V101" s="53">
        <v>179.8</v>
      </c>
      <c r="W101" s="53">
        <v>104.4</v>
      </c>
      <c r="X101" s="53">
        <v>10</v>
      </c>
    </row>
    <row r="102" spans="1:24" x14ac:dyDescent="0.3">
      <c r="A102" s="53" t="s">
        <v>182</v>
      </c>
      <c r="B102" s="53">
        <v>14</v>
      </c>
      <c r="C102" s="53">
        <v>20</v>
      </c>
      <c r="D102" s="53">
        <v>1</v>
      </c>
      <c r="E102" s="53" t="s">
        <v>238</v>
      </c>
      <c r="F102" s="53">
        <v>0.28000000000000003</v>
      </c>
      <c r="G102" s="53">
        <v>116.10356437942646</v>
      </c>
      <c r="H102" s="53">
        <v>14</v>
      </c>
      <c r="I102" s="53">
        <v>1.1282678571428573</v>
      </c>
      <c r="J102" s="53">
        <v>8.9764999999999997</v>
      </c>
      <c r="K102" s="53">
        <v>89.9</v>
      </c>
      <c r="L102" s="53">
        <v>44.418976565806332</v>
      </c>
      <c r="M102" s="53">
        <v>28.636884306987433</v>
      </c>
      <c r="N102" s="53">
        <v>3.7813252151700283</v>
      </c>
      <c r="O102" s="53">
        <v>33.047183856419224</v>
      </c>
      <c r="P102" s="53">
        <v>28.636884306987433</v>
      </c>
      <c r="Q102" s="53">
        <v>1.6865700000000001E-2</v>
      </c>
      <c r="R102" s="53">
        <v>4.1899999999999977</v>
      </c>
      <c r="S102" s="53">
        <v>187.60511679644048</v>
      </c>
      <c r="T102" s="53">
        <v>72</v>
      </c>
      <c r="U102" s="53">
        <v>79.870599999999982</v>
      </c>
      <c r="V102" s="53">
        <v>212.8</v>
      </c>
      <c r="W102" s="53">
        <v>71.8</v>
      </c>
      <c r="X102" s="53">
        <v>7.8260869565217401</v>
      </c>
    </row>
    <row r="103" spans="1:24" x14ac:dyDescent="0.3">
      <c r="A103" s="53" t="s">
        <v>184</v>
      </c>
      <c r="B103" s="53">
        <v>14</v>
      </c>
      <c r="C103" s="53">
        <v>15</v>
      </c>
      <c r="D103" s="53">
        <v>1</v>
      </c>
      <c r="E103" s="53" t="s">
        <v>238</v>
      </c>
      <c r="F103" s="53">
        <v>0.5</v>
      </c>
      <c r="G103" s="53">
        <v>148.21402104639068</v>
      </c>
      <c r="H103" s="53">
        <v>28</v>
      </c>
      <c r="I103" s="53">
        <v>1.0393810000000001</v>
      </c>
      <c r="J103" s="53">
        <v>13.729710526315801</v>
      </c>
      <c r="K103" s="53">
        <v>42.6</v>
      </c>
      <c r="L103" s="53">
        <v>53.75069593948394</v>
      </c>
      <c r="M103" s="53">
        <v>48.642864091837744</v>
      </c>
      <c r="N103" s="53">
        <v>31.064006681309554</v>
      </c>
      <c r="O103" s="53">
        <v>60.422099027245018</v>
      </c>
      <c r="P103" s="53">
        <v>32.666471539607507</v>
      </c>
      <c r="Q103" s="53">
        <v>8.6993499999999998E-3</v>
      </c>
      <c r="R103" s="53">
        <v>13.299999999999997</v>
      </c>
      <c r="S103" s="53">
        <v>204.2100938967136</v>
      </c>
      <c r="T103" s="53">
        <v>65.599999999999994</v>
      </c>
      <c r="U103" s="53">
        <v>68.701170000000019</v>
      </c>
      <c r="V103" s="53">
        <v>145.5</v>
      </c>
      <c r="W103" s="53">
        <v>79.5</v>
      </c>
      <c r="X103" s="53">
        <v>18.095238095238095</v>
      </c>
    </row>
    <row r="104" spans="1:24" x14ac:dyDescent="0.3">
      <c r="A104" s="53" t="s">
        <v>186</v>
      </c>
      <c r="B104" s="53">
        <v>14</v>
      </c>
      <c r="C104" s="53">
        <v>15</v>
      </c>
      <c r="D104" s="53">
        <v>1</v>
      </c>
      <c r="E104" s="53" t="s">
        <v>238</v>
      </c>
      <c r="F104" s="53">
        <v>0.25</v>
      </c>
      <c r="G104" s="53">
        <v>67.953248165262266</v>
      </c>
      <c r="H104" s="53">
        <v>10</v>
      </c>
      <c r="I104" s="53">
        <v>1.2564378571428569</v>
      </c>
      <c r="J104" s="53">
        <v>22.3529384615385</v>
      </c>
      <c r="K104" s="53">
        <v>82.1</v>
      </c>
      <c r="L104" s="53">
        <v>114.7324597339405</v>
      </c>
      <c r="M104" s="53">
        <v>18.026137899954929</v>
      </c>
      <c r="N104" s="53">
        <v>31.538137121645335</v>
      </c>
      <c r="O104" s="53">
        <v>41.090648733156804</v>
      </c>
      <c r="P104" s="53">
        <v>15.729934354594834</v>
      </c>
      <c r="Q104" s="53">
        <v>1.8761900000000001E-2</v>
      </c>
      <c r="R104" s="53">
        <v>6.9799999999999898</v>
      </c>
      <c r="S104" s="53">
        <v>228.52496954933011</v>
      </c>
      <c r="T104" s="53">
        <v>65.599999999999994</v>
      </c>
      <c r="U104" s="53">
        <v>67.451437556332749</v>
      </c>
      <c r="V104" s="53">
        <v>124</v>
      </c>
      <c r="W104" s="53">
        <v>51.8</v>
      </c>
      <c r="X104" s="53">
        <v>12.727272727272728</v>
      </c>
    </row>
    <row r="105" spans="1:24" x14ac:dyDescent="0.3">
      <c r="A105" s="53" t="s">
        <v>188</v>
      </c>
      <c r="B105" s="53">
        <v>14</v>
      </c>
      <c r="C105" s="53">
        <v>15</v>
      </c>
      <c r="D105" s="53">
        <v>1</v>
      </c>
      <c r="E105" s="53" t="s">
        <v>238</v>
      </c>
      <c r="F105" s="53">
        <v>0.93</v>
      </c>
      <c r="G105" s="53">
        <v>178.31669044222525</v>
      </c>
      <c r="H105" s="53">
        <v>40</v>
      </c>
      <c r="I105" s="53">
        <v>0.84036874999999978</v>
      </c>
      <c r="J105" s="53">
        <v>16.530366666666701</v>
      </c>
      <c r="K105" s="53">
        <v>38.700000000000003</v>
      </c>
      <c r="L105" s="53">
        <v>33.74781204811444</v>
      </c>
      <c r="M105" s="53">
        <v>65.802461012041832</v>
      </c>
      <c r="N105" s="53">
        <v>29.512673443562189</v>
      </c>
      <c r="O105" s="53">
        <v>84.808515506909785</v>
      </c>
      <c r="P105" s="53">
        <v>26.662981284405774</v>
      </c>
      <c r="Q105" s="53">
        <v>8.0309500000000002E-3</v>
      </c>
      <c r="S105" s="53">
        <v>207.51808785529715</v>
      </c>
      <c r="T105" s="53">
        <v>65.599999999999994</v>
      </c>
      <c r="U105" s="53">
        <v>63.181566666666676</v>
      </c>
      <c r="V105" s="53">
        <v>158.69999999999999</v>
      </c>
      <c r="W105" s="53">
        <v>86.3</v>
      </c>
      <c r="X105" s="53">
        <v>16.315789473684209</v>
      </c>
    </row>
    <row r="106" spans="1:24" x14ac:dyDescent="0.3">
      <c r="A106" s="53" t="s">
        <v>190</v>
      </c>
      <c r="B106" s="53">
        <v>14</v>
      </c>
      <c r="C106" s="53">
        <v>19</v>
      </c>
      <c r="D106" s="53">
        <v>1</v>
      </c>
      <c r="E106" s="53" t="s">
        <v>238</v>
      </c>
      <c r="F106" s="53">
        <v>0.6</v>
      </c>
      <c r="G106" s="53">
        <v>161.36840406648372</v>
      </c>
      <c r="H106" s="53">
        <v>32</v>
      </c>
      <c r="I106" s="53">
        <v>0.93849554166666682</v>
      </c>
      <c r="J106" s="53">
        <v>12.613047826087</v>
      </c>
      <c r="K106" s="53">
        <v>28.9</v>
      </c>
      <c r="L106" s="53">
        <v>41.256923322245754</v>
      </c>
      <c r="M106" s="53">
        <v>60.67961165048537</v>
      </c>
      <c r="N106" s="53">
        <v>15.434358764965921</v>
      </c>
      <c r="O106" s="53">
        <v>65.832932957626667</v>
      </c>
      <c r="P106" s="53">
        <v>14.0778857596006</v>
      </c>
      <c r="Q106" s="53">
        <v>1.31678E-2</v>
      </c>
      <c r="R106" s="53">
        <v>12.329999999999998</v>
      </c>
      <c r="S106" s="53">
        <v>455.63321799307965</v>
      </c>
      <c r="T106" s="53">
        <v>68.5</v>
      </c>
      <c r="U106" s="53">
        <v>73.23965833333331</v>
      </c>
      <c r="V106" s="53">
        <v>200.2</v>
      </c>
      <c r="W106" s="53">
        <v>85.3</v>
      </c>
      <c r="X106" s="53">
        <v>7.3684210526315788</v>
      </c>
    </row>
    <row r="107" spans="1:24" x14ac:dyDescent="0.3">
      <c r="A107" s="53" t="s">
        <v>192</v>
      </c>
      <c r="B107" s="53">
        <v>14</v>
      </c>
      <c r="C107" s="53">
        <v>22</v>
      </c>
      <c r="D107" s="53">
        <v>1</v>
      </c>
      <c r="E107" s="53" t="s">
        <v>238</v>
      </c>
      <c r="F107" s="53">
        <v>0.36699999999999999</v>
      </c>
      <c r="G107" s="53">
        <v>194.09937888198809</v>
      </c>
      <c r="H107" s="53">
        <v>40</v>
      </c>
      <c r="I107" s="53">
        <v>1.0599146153846153</v>
      </c>
      <c r="J107" s="53">
        <v>10.46245</v>
      </c>
      <c r="K107" s="53">
        <v>50</v>
      </c>
      <c r="L107" s="53">
        <v>64.75791591750675</v>
      </c>
      <c r="M107" s="53">
        <v>73.653973631877449</v>
      </c>
      <c r="N107" s="53">
        <v>38.506228434081294</v>
      </c>
      <c r="O107" s="53">
        <v>83.684767490227898</v>
      </c>
      <c r="P107" s="53">
        <v>40.484120277483143</v>
      </c>
      <c r="Q107" s="53">
        <v>8.1545999999999997E-3</v>
      </c>
      <c r="R107" s="53">
        <v>36.6</v>
      </c>
      <c r="S107" s="53">
        <v>163.09199999999998</v>
      </c>
      <c r="T107" s="53">
        <v>65.099999999999994</v>
      </c>
      <c r="U107" s="53">
        <v>52.091169230769232</v>
      </c>
      <c r="V107" s="53">
        <v>113.2</v>
      </c>
      <c r="W107" s="53">
        <v>63.8</v>
      </c>
      <c r="X107" s="53">
        <v>23.448275862068964</v>
      </c>
    </row>
    <row r="108" spans="1:24" x14ac:dyDescent="0.3">
      <c r="A108" s="53" t="s">
        <v>194</v>
      </c>
      <c r="B108" s="53">
        <v>14</v>
      </c>
      <c r="C108" s="53">
        <v>22</v>
      </c>
      <c r="D108" s="53">
        <v>1</v>
      </c>
      <c r="E108" s="53" t="s">
        <v>238</v>
      </c>
      <c r="F108" s="53">
        <v>0.48599999999999999</v>
      </c>
      <c r="G108" s="53">
        <v>169.57775139901588</v>
      </c>
      <c r="H108" s="53">
        <v>29</v>
      </c>
      <c r="I108" s="53">
        <v>0.79607337499999986</v>
      </c>
      <c r="J108" s="53">
        <v>17.252587500000001</v>
      </c>
      <c r="K108" s="53">
        <v>30</v>
      </c>
      <c r="L108" s="53">
        <v>46.84229605344288</v>
      </c>
      <c r="M108" s="53">
        <v>51.639555899819236</v>
      </c>
      <c r="N108" s="53">
        <v>19.134816788906637</v>
      </c>
      <c r="O108" s="53">
        <v>69.445215343780674</v>
      </c>
      <c r="P108" s="53">
        <v>32.925254887191592</v>
      </c>
      <c r="Q108" s="53">
        <v>9.2408300000000002E-3</v>
      </c>
      <c r="R108" s="53">
        <v>36.6</v>
      </c>
      <c r="S108" s="53">
        <v>308.02766666666668</v>
      </c>
      <c r="T108" s="53">
        <v>62.6</v>
      </c>
      <c r="U108" s="53">
        <v>65.42968333333333</v>
      </c>
      <c r="V108" s="53">
        <v>175.8</v>
      </c>
      <c r="W108" s="53">
        <v>103.8</v>
      </c>
      <c r="X108" s="53">
        <v>19.230769230769234</v>
      </c>
    </row>
    <row r="109" spans="1:24" x14ac:dyDescent="0.3">
      <c r="A109" s="53" t="s">
        <v>196</v>
      </c>
      <c r="B109" s="53">
        <v>14</v>
      </c>
      <c r="C109" s="53">
        <v>22</v>
      </c>
      <c r="D109" s="53">
        <v>1</v>
      </c>
      <c r="E109" s="53" t="s">
        <v>238</v>
      </c>
      <c r="F109" s="53">
        <v>2.6</v>
      </c>
      <c r="G109" s="53">
        <v>220.94564737074629</v>
      </c>
      <c r="H109" s="53">
        <v>30</v>
      </c>
      <c r="I109" s="53">
        <v>0.65295580000000009</v>
      </c>
      <c r="J109" s="53">
        <v>15.360526666666701</v>
      </c>
      <c r="K109" s="53">
        <v>16.100000000000001</v>
      </c>
      <c r="L109" s="53">
        <v>58.103042392154791</v>
      </c>
      <c r="M109" s="53">
        <v>53.092646668436316</v>
      </c>
      <c r="N109" s="53">
        <v>14.914113830434998</v>
      </c>
      <c r="O109" s="53">
        <v>67.891072296897164</v>
      </c>
      <c r="P109" s="53">
        <v>9.1002969003493828</v>
      </c>
      <c r="Q109" s="53">
        <v>6.7328800000000001E-3</v>
      </c>
      <c r="R109" s="53">
        <v>17.03</v>
      </c>
      <c r="S109" s="53">
        <v>418.19130434782608</v>
      </c>
      <c r="T109" s="53">
        <v>65</v>
      </c>
      <c r="U109" s="53">
        <v>65.661626666666663</v>
      </c>
      <c r="V109" s="53">
        <v>207.8</v>
      </c>
      <c r="W109" s="53">
        <v>133.30000000000001</v>
      </c>
      <c r="X109" s="53">
        <v>7.2727272727272725</v>
      </c>
    </row>
    <row r="110" spans="1:24" x14ac:dyDescent="0.3">
      <c r="A110" s="53" t="s">
        <v>198</v>
      </c>
      <c r="B110" s="53">
        <v>14</v>
      </c>
      <c r="C110" s="53">
        <v>19</v>
      </c>
      <c r="D110" s="53">
        <v>1</v>
      </c>
      <c r="E110" s="53" t="s">
        <v>238</v>
      </c>
      <c r="F110" s="53">
        <v>4.16</v>
      </c>
      <c r="G110" s="53">
        <v>221.63120567375884</v>
      </c>
      <c r="H110" s="53">
        <v>18</v>
      </c>
      <c r="I110" s="53">
        <v>0.69293559999999998</v>
      </c>
      <c r="J110" s="53">
        <v>15.886578571428601</v>
      </c>
      <c r="K110" s="53">
        <v>24.4</v>
      </c>
      <c r="L110" s="53">
        <v>65.234549090644506</v>
      </c>
      <c r="M110" s="53">
        <v>31.226580064951285</v>
      </c>
      <c r="N110" s="53">
        <v>11.485346090192815</v>
      </c>
      <c r="O110" s="53">
        <v>48.660918775143905</v>
      </c>
      <c r="P110" s="53">
        <v>8.7984425954317018</v>
      </c>
      <c r="Q110" s="53">
        <v>1.5065200000000001E-2</v>
      </c>
      <c r="R110" s="53">
        <v>4.8799999999999955</v>
      </c>
      <c r="S110" s="53">
        <v>617.4262295081968</v>
      </c>
      <c r="T110" s="53">
        <v>67.8</v>
      </c>
      <c r="U110" s="53">
        <v>57.202146666666671</v>
      </c>
      <c r="V110" s="53">
        <v>172.4</v>
      </c>
      <c r="W110" s="53">
        <v>106.4</v>
      </c>
      <c r="X110" s="53">
        <v>5.3571428571428568</v>
      </c>
    </row>
    <row r="111" spans="1:24" x14ac:dyDescent="0.3">
      <c r="A111" s="53" t="s">
        <v>199</v>
      </c>
      <c r="B111" s="53">
        <v>14</v>
      </c>
      <c r="C111" s="53">
        <v>19</v>
      </c>
      <c r="D111" s="53">
        <v>1</v>
      </c>
      <c r="E111" s="53" t="s">
        <v>238</v>
      </c>
      <c r="F111" s="53">
        <v>1.591</v>
      </c>
      <c r="G111" s="53">
        <v>198.01980198019868</v>
      </c>
      <c r="H111" s="53">
        <v>24</v>
      </c>
      <c r="I111" s="53">
        <v>0.54685449999999991</v>
      </c>
      <c r="J111" s="53">
        <v>19.061285000000002</v>
      </c>
      <c r="K111" s="53">
        <v>18.100000000000001</v>
      </c>
      <c r="L111" s="53">
        <v>60.790166905412349</v>
      </c>
      <c r="M111" s="53">
        <v>49.830576041459082</v>
      </c>
      <c r="N111" s="53">
        <v>5.4006744538614546</v>
      </c>
      <c r="O111" s="53">
        <v>59.784394033000602</v>
      </c>
      <c r="P111" s="53">
        <v>11.044982882772725</v>
      </c>
      <c r="Q111" s="53">
        <v>9.68019E-3</v>
      </c>
      <c r="R111" s="53">
        <v>7.4099999999999966</v>
      </c>
      <c r="S111" s="53">
        <v>534.81712707182317</v>
      </c>
      <c r="T111" s="53">
        <v>63</v>
      </c>
      <c r="U111" s="53">
        <v>70.129384999999985</v>
      </c>
      <c r="V111" s="53">
        <v>244.17</v>
      </c>
      <c r="W111" s="53">
        <v>153</v>
      </c>
      <c r="X111" s="53">
        <v>12.5</v>
      </c>
    </row>
    <row r="112" spans="1:24" x14ac:dyDescent="0.3">
      <c r="A112" s="53" t="s">
        <v>200</v>
      </c>
      <c r="B112" s="53">
        <v>14</v>
      </c>
      <c r="C112" s="53">
        <v>19</v>
      </c>
      <c r="D112" s="53">
        <v>1</v>
      </c>
      <c r="E112" s="53" t="s">
        <v>238</v>
      </c>
      <c r="F112" s="53">
        <v>0.8</v>
      </c>
      <c r="G112" s="53">
        <v>162.89297931259136</v>
      </c>
      <c r="H112" s="53">
        <v>30</v>
      </c>
      <c r="I112" s="53">
        <v>0.69982861538461549</v>
      </c>
      <c r="J112" s="53">
        <v>21.404576923076899</v>
      </c>
      <c r="K112" s="53">
        <v>30</v>
      </c>
      <c r="L112" s="53">
        <v>69.087318595865312</v>
      </c>
      <c r="M112" s="53">
        <v>61.425061425061102</v>
      </c>
      <c r="N112" s="53">
        <v>25.272117440565982</v>
      </c>
      <c r="O112" s="53">
        <v>63.609065101886863</v>
      </c>
      <c r="P112" s="53">
        <v>24.198899379043194</v>
      </c>
      <c r="Q112" s="53">
        <v>7.2293399999999999E-3</v>
      </c>
      <c r="R112" s="53">
        <v>12.290000000000006</v>
      </c>
      <c r="S112" s="53">
        <v>240.97800000000001</v>
      </c>
      <c r="T112" s="53">
        <v>66.040000000000006</v>
      </c>
      <c r="U112" s="53">
        <v>60.011646153846151</v>
      </c>
      <c r="V112" s="53">
        <v>210.7</v>
      </c>
      <c r="W112" s="53">
        <v>101.8</v>
      </c>
      <c r="X112" s="53">
        <v>11.818181818181818</v>
      </c>
    </row>
    <row r="113" spans="1:24" x14ac:dyDescent="0.3">
      <c r="A113" s="53" t="s">
        <v>201</v>
      </c>
      <c r="B113" s="53">
        <v>14</v>
      </c>
      <c r="C113" s="53">
        <v>16</v>
      </c>
      <c r="D113" s="53">
        <v>1</v>
      </c>
      <c r="E113" s="53" t="s">
        <v>238</v>
      </c>
      <c r="F113" s="53">
        <v>1.77</v>
      </c>
      <c r="G113" s="53">
        <v>226.75736961451264</v>
      </c>
      <c r="H113" s="53">
        <v>34</v>
      </c>
      <c r="I113" s="53">
        <v>0.60072928000000003</v>
      </c>
      <c r="J113" s="53">
        <v>12.24854</v>
      </c>
      <c r="K113" s="53">
        <v>26.7</v>
      </c>
      <c r="L113" s="53">
        <v>32.511696903100834</v>
      </c>
      <c r="M113" s="53">
        <v>60.474117077890448</v>
      </c>
      <c r="N113" s="53">
        <v>8.6195003653692304</v>
      </c>
      <c r="O113" s="53">
        <v>73.63850951037962</v>
      </c>
      <c r="P113" s="53">
        <v>6.3670629449809013</v>
      </c>
      <c r="Q113" s="53">
        <v>7.89692E-3</v>
      </c>
      <c r="R113" s="53">
        <v>2.6599999999999966</v>
      </c>
      <c r="S113" s="53">
        <v>295.76479400749065</v>
      </c>
      <c r="T113" s="53">
        <v>64.42</v>
      </c>
      <c r="U113" s="53">
        <v>81.923839999999998</v>
      </c>
      <c r="V113" s="53">
        <v>273</v>
      </c>
      <c r="W113" s="53">
        <v>153</v>
      </c>
      <c r="X113" s="53">
        <v>3.75</v>
      </c>
    </row>
    <row r="114" spans="1:24" x14ac:dyDescent="0.3">
      <c r="A114" s="53" t="s">
        <v>202</v>
      </c>
      <c r="B114" s="53">
        <v>14</v>
      </c>
      <c r="C114" s="53">
        <v>16</v>
      </c>
      <c r="D114" s="53">
        <v>1</v>
      </c>
      <c r="E114" s="53" t="s">
        <v>238</v>
      </c>
      <c r="F114" s="53">
        <v>2.1</v>
      </c>
      <c r="G114" s="53">
        <v>250.87807325639622</v>
      </c>
      <c r="H114" s="53">
        <v>40</v>
      </c>
      <c r="I114" s="53">
        <v>0.52446637499999993</v>
      </c>
      <c r="J114" s="53">
        <v>13.239343478260899</v>
      </c>
      <c r="K114" s="53">
        <v>12.74</v>
      </c>
      <c r="L114" s="53">
        <v>34.166482233987402</v>
      </c>
      <c r="M114" s="53">
        <v>75.872534142639992</v>
      </c>
      <c r="N114" s="53">
        <v>10.264279335098612</v>
      </c>
      <c r="O114" s="53">
        <v>84.08601496617257</v>
      </c>
      <c r="P114" s="53">
        <v>9.1578626760830257</v>
      </c>
      <c r="Q114" s="53">
        <v>6.5080600000000004E-3</v>
      </c>
      <c r="R114" s="53">
        <v>1.6599999999999966</v>
      </c>
      <c r="S114" s="53">
        <v>510.83673469387753</v>
      </c>
      <c r="T114" s="53">
        <v>66</v>
      </c>
      <c r="U114" s="53">
        <v>82.308449999999993</v>
      </c>
      <c r="V114" s="53">
        <v>295.64999999999998</v>
      </c>
      <c r="W114" s="53">
        <v>174.22</v>
      </c>
      <c r="X114" s="53">
        <v>4.6875</v>
      </c>
    </row>
    <row r="115" spans="1:24" x14ac:dyDescent="0.3">
      <c r="A115" s="53" t="s">
        <v>161</v>
      </c>
      <c r="B115" s="53">
        <v>14</v>
      </c>
      <c r="C115" s="53">
        <v>16</v>
      </c>
      <c r="D115" s="53">
        <v>2</v>
      </c>
      <c r="E115" s="53" t="s">
        <v>239</v>
      </c>
      <c r="F115" s="53">
        <v>1.31</v>
      </c>
      <c r="G115" s="53">
        <v>253.61399949277305</v>
      </c>
      <c r="H115" s="53">
        <v>58</v>
      </c>
      <c r="I115" s="53">
        <v>0.59651900000000002</v>
      </c>
      <c r="J115" s="53">
        <v>17.511536363636399</v>
      </c>
      <c r="K115" s="53">
        <v>26.5</v>
      </c>
      <c r="L115" s="53">
        <v>53.214708958908489</v>
      </c>
      <c r="M115" s="53">
        <v>112.08249271463765</v>
      </c>
      <c r="N115" s="53">
        <v>23.687254628078581</v>
      </c>
      <c r="O115" s="53">
        <v>119.97815459475405</v>
      </c>
      <c r="P115" s="53">
        <v>21.600150464215464</v>
      </c>
      <c r="Q115" s="53">
        <v>8.9700000000000005E-3</v>
      </c>
      <c r="R115" s="53">
        <v>6.2000000000000028</v>
      </c>
      <c r="S115" s="53">
        <v>338.4905660377359</v>
      </c>
      <c r="T115" s="53">
        <v>67.03</v>
      </c>
      <c r="U115" s="53">
        <v>63.711990476190479</v>
      </c>
      <c r="V115" s="53">
        <v>212.5</v>
      </c>
      <c r="W115" s="53">
        <v>130.19</v>
      </c>
      <c r="X115" s="53">
        <v>11.428571428571429</v>
      </c>
    </row>
    <row r="116" spans="1:24" x14ac:dyDescent="0.3">
      <c r="A116" s="53" t="s">
        <v>162</v>
      </c>
      <c r="B116" s="53">
        <v>14</v>
      </c>
      <c r="C116" s="53">
        <v>16</v>
      </c>
      <c r="D116" s="53">
        <v>2</v>
      </c>
      <c r="E116" s="53" t="s">
        <v>239</v>
      </c>
      <c r="F116" s="53">
        <v>0.7</v>
      </c>
      <c r="G116" s="53">
        <v>169.72165648336738</v>
      </c>
      <c r="H116" s="53">
        <v>24</v>
      </c>
      <c r="I116" s="53">
        <v>0.43777560714285718</v>
      </c>
      <c r="J116" s="53">
        <v>25.299067857142902</v>
      </c>
      <c r="K116" s="53">
        <v>25.7</v>
      </c>
      <c r="L116" s="53">
        <v>91.99585025232372</v>
      </c>
      <c r="M116" s="53">
        <v>49.385154822460308</v>
      </c>
      <c r="N116" s="53">
        <v>24.018593603208032</v>
      </c>
      <c r="O116" s="53">
        <v>51.909233718957637</v>
      </c>
      <c r="P116" s="53">
        <v>21.055415018364858</v>
      </c>
      <c r="Q116" s="53">
        <v>9.7796900000000006E-3</v>
      </c>
      <c r="R116" s="53">
        <v>10.13000000000001</v>
      </c>
      <c r="S116" s="53">
        <v>380.53268482490279</v>
      </c>
      <c r="T116" s="53">
        <v>65.39</v>
      </c>
      <c r="U116" s="53">
        <v>67.949571428571431</v>
      </c>
      <c r="V116" s="53">
        <v>284.10000000000002</v>
      </c>
      <c r="W116" s="53">
        <v>186.1</v>
      </c>
      <c r="X116" s="53">
        <v>11.111111111111111</v>
      </c>
    </row>
    <row r="117" spans="1:24" x14ac:dyDescent="0.3">
      <c r="A117" s="53" t="s">
        <v>163</v>
      </c>
      <c r="B117" s="53">
        <v>14</v>
      </c>
      <c r="C117" s="53">
        <v>17</v>
      </c>
      <c r="D117" s="53">
        <v>2</v>
      </c>
      <c r="E117" s="53" t="s">
        <v>239</v>
      </c>
      <c r="F117" s="53">
        <v>1.35</v>
      </c>
      <c r="G117" s="53">
        <v>251.88916876574314</v>
      </c>
      <c r="H117" s="53">
        <v>46</v>
      </c>
      <c r="I117" s="53">
        <v>0.57406783333333322</v>
      </c>
      <c r="J117" s="53">
        <v>18.7988</v>
      </c>
      <c r="K117" s="53">
        <v>16.5</v>
      </c>
      <c r="L117" s="53">
        <v>42.359360389130806</v>
      </c>
      <c r="M117" s="53">
        <v>79.113924050633003</v>
      </c>
      <c r="N117" s="53">
        <v>14.738011048545561</v>
      </c>
      <c r="O117" s="53">
        <v>96.082524103320608</v>
      </c>
      <c r="P117" s="53">
        <v>11.509598948366358</v>
      </c>
      <c r="Q117" s="53">
        <v>5.5132999999999996E-3</v>
      </c>
      <c r="R117" s="53">
        <v>5.5299999999999869</v>
      </c>
      <c r="S117" s="53">
        <v>334.13939393939393</v>
      </c>
      <c r="T117" s="53">
        <v>67</v>
      </c>
      <c r="U117" s="53">
        <v>68.433972222222224</v>
      </c>
      <c r="V117" s="53">
        <v>262.49</v>
      </c>
      <c r="W117" s="53">
        <v>138.6</v>
      </c>
      <c r="X117" s="53">
        <v>7.2222222222222223</v>
      </c>
    </row>
    <row r="118" spans="1:24" x14ac:dyDescent="0.3">
      <c r="A118" s="53" t="s">
        <v>164</v>
      </c>
      <c r="B118" s="53">
        <v>14</v>
      </c>
      <c r="C118" s="53">
        <v>17</v>
      </c>
      <c r="D118" s="53">
        <v>2</v>
      </c>
      <c r="E118" s="53" t="s">
        <v>239</v>
      </c>
      <c r="F118" s="53">
        <v>1.1000000000000001</v>
      </c>
      <c r="G118" s="53">
        <v>229.46305644791167</v>
      </c>
      <c r="H118" s="53">
        <v>36</v>
      </c>
      <c r="I118" s="53">
        <v>0.44420399999999999</v>
      </c>
      <c r="J118" s="53">
        <v>28.691608333333299</v>
      </c>
      <c r="K118" s="53">
        <v>20.05</v>
      </c>
      <c r="L118" s="53">
        <v>43.005378060065702</v>
      </c>
      <c r="M118" s="53">
        <v>66.666666666666671</v>
      </c>
      <c r="N118" s="53">
        <v>10.470319648969241</v>
      </c>
      <c r="O118" s="53">
        <v>74.976529857201697</v>
      </c>
      <c r="P118" s="53">
        <v>11.301313830657529</v>
      </c>
      <c r="Q118" s="53">
        <v>8.2363499999999999E-3</v>
      </c>
      <c r="R118" s="53">
        <v>2.4399999999999977</v>
      </c>
      <c r="S118" s="53">
        <v>410.79052369077306</v>
      </c>
      <c r="T118" s="53">
        <v>65.95</v>
      </c>
      <c r="U118" s="53">
        <v>58.466788000000008</v>
      </c>
      <c r="V118" s="53">
        <v>274</v>
      </c>
      <c r="W118" s="53">
        <v>172</v>
      </c>
      <c r="X118" s="53">
        <v>7.0454545454545459</v>
      </c>
    </row>
    <row r="119" spans="1:24" x14ac:dyDescent="0.3">
      <c r="A119" s="53" t="s">
        <v>166</v>
      </c>
      <c r="B119" s="53">
        <v>14</v>
      </c>
      <c r="C119" s="53">
        <v>17</v>
      </c>
      <c r="D119" s="53">
        <v>2</v>
      </c>
      <c r="E119" s="53" t="s">
        <v>239</v>
      </c>
      <c r="F119" s="53">
        <v>0.9</v>
      </c>
      <c r="G119" s="53">
        <v>239.23444976076516</v>
      </c>
      <c r="H119" s="53">
        <v>45</v>
      </c>
      <c r="I119" s="53">
        <v>0.68177335714285714</v>
      </c>
      <c r="J119" s="53">
        <v>16.775269230769201</v>
      </c>
      <c r="K119" s="53">
        <v>26.1</v>
      </c>
      <c r="L119" s="53">
        <v>51.328463360674519</v>
      </c>
      <c r="M119" s="53">
        <v>81.947062197820372</v>
      </c>
      <c r="N119" s="53">
        <v>18.169736143577932</v>
      </c>
      <c r="O119" s="53">
        <v>90.770034366988256</v>
      </c>
      <c r="P119" s="53">
        <v>16.696508715810143</v>
      </c>
      <c r="Q119" s="53">
        <v>5.6049799999999999E-3</v>
      </c>
      <c r="R119" s="53">
        <v>7.1000000000000085</v>
      </c>
      <c r="S119" s="53">
        <v>214.75019157088121</v>
      </c>
      <c r="T119" s="53">
        <v>65.8</v>
      </c>
      <c r="U119" s="53">
        <v>67.073264285714274</v>
      </c>
      <c r="V119" s="53">
        <v>226.56</v>
      </c>
      <c r="W119" s="53">
        <v>123.29</v>
      </c>
      <c r="X119" s="53">
        <v>9.0909090909090899</v>
      </c>
    </row>
    <row r="120" spans="1:24" x14ac:dyDescent="0.3">
      <c r="A120" s="53" t="s">
        <v>169</v>
      </c>
      <c r="B120" s="53">
        <v>14</v>
      </c>
      <c r="C120" s="53">
        <v>19</v>
      </c>
      <c r="D120" s="53">
        <v>2</v>
      </c>
      <c r="E120" s="53" t="s">
        <v>239</v>
      </c>
      <c r="F120" s="53">
        <v>0.77</v>
      </c>
      <c r="G120" s="53">
        <v>231.64234422052465</v>
      </c>
      <c r="H120" s="53">
        <v>59</v>
      </c>
      <c r="I120" s="53">
        <v>0.43186160869565227</v>
      </c>
      <c r="J120" s="53">
        <v>22.224743478260901</v>
      </c>
      <c r="K120" s="53">
        <v>17.7</v>
      </c>
      <c r="L120" s="53">
        <v>46.362468778572044</v>
      </c>
      <c r="M120" s="53">
        <v>109.03936321011827</v>
      </c>
      <c r="N120" s="53">
        <v>23.208798364452527</v>
      </c>
      <c r="O120" s="53">
        <v>121.4068249033804</v>
      </c>
      <c r="P120" s="53">
        <v>20.665024458328702</v>
      </c>
      <c r="Q120" s="53">
        <v>1.0199400000000001E-2</v>
      </c>
      <c r="R120" s="53">
        <v>10.900000000000006</v>
      </c>
      <c r="S120" s="53">
        <v>576.23728813559319</v>
      </c>
      <c r="T120" s="53">
        <v>66.650000000000006</v>
      </c>
      <c r="U120" s="53">
        <v>80.813199999999995</v>
      </c>
      <c r="V120" s="53">
        <v>334.1</v>
      </c>
      <c r="W120" s="53">
        <v>230.5</v>
      </c>
      <c r="X120" s="53">
        <v>11.25</v>
      </c>
    </row>
    <row r="121" spans="1:24" x14ac:dyDescent="0.3">
      <c r="A121" s="53" t="s">
        <v>171</v>
      </c>
      <c r="B121" s="53">
        <v>14</v>
      </c>
      <c r="C121" s="53">
        <v>17</v>
      </c>
      <c r="D121" s="53">
        <v>2</v>
      </c>
      <c r="E121" s="53" t="s">
        <v>239</v>
      </c>
      <c r="F121" s="53">
        <v>0.73</v>
      </c>
      <c r="G121" s="53">
        <v>227.94620469569179</v>
      </c>
      <c r="H121" s="53">
        <v>48</v>
      </c>
      <c r="I121" s="53">
        <v>0.59243139130434763</v>
      </c>
      <c r="J121" s="53">
        <v>15.4021043478261</v>
      </c>
      <c r="K121" s="53">
        <v>23.8</v>
      </c>
      <c r="L121" s="53">
        <v>50.956261899104781</v>
      </c>
      <c r="M121" s="53">
        <v>87.950747581354406</v>
      </c>
      <c r="N121" s="53">
        <v>20.324462940744667</v>
      </c>
      <c r="O121" s="53">
        <v>97.366213363995129</v>
      </c>
      <c r="P121" s="53">
        <v>18.076218695802158</v>
      </c>
      <c r="Q121" s="53">
        <v>8.0454299999999992E-3</v>
      </c>
      <c r="R121" s="53">
        <v>9.9399999999999977</v>
      </c>
      <c r="S121" s="53">
        <v>338.04327731092434</v>
      </c>
      <c r="T121" s="53">
        <v>65.900000000000006</v>
      </c>
      <c r="U121" s="53">
        <v>83.244</v>
      </c>
      <c r="V121" s="53">
        <v>299.41000000000003</v>
      </c>
      <c r="W121" s="53">
        <v>164.6</v>
      </c>
      <c r="X121" s="53">
        <v>10</v>
      </c>
    </row>
    <row r="122" spans="1:24" x14ac:dyDescent="0.3">
      <c r="A122" s="53" t="s">
        <v>173</v>
      </c>
      <c r="B122" s="53">
        <v>14</v>
      </c>
      <c r="C122" s="53">
        <v>16</v>
      </c>
      <c r="D122" s="53">
        <v>2</v>
      </c>
      <c r="E122" s="53" t="s">
        <v>239</v>
      </c>
      <c r="F122" s="53">
        <v>1.1499999999999999</v>
      </c>
      <c r="G122" s="53">
        <v>196.07843137254923</v>
      </c>
      <c r="H122" s="53">
        <v>35</v>
      </c>
      <c r="I122" s="53">
        <v>0.73856293103448289</v>
      </c>
      <c r="J122" s="53">
        <v>25.7947275862069</v>
      </c>
      <c r="K122" s="53">
        <v>33.5</v>
      </c>
      <c r="L122" s="53">
        <v>44.00898532339545</v>
      </c>
      <c r="M122" s="53">
        <v>63.19115323854642</v>
      </c>
      <c r="N122" s="53">
        <v>13.651919400134286</v>
      </c>
      <c r="O122" s="53">
        <v>74.048684506656841</v>
      </c>
      <c r="P122" s="53">
        <v>11.291706914511861</v>
      </c>
      <c r="Q122" s="53">
        <v>6.2831099999999997E-3</v>
      </c>
      <c r="R122" s="53">
        <v>6.2599999999999909</v>
      </c>
      <c r="S122" s="53">
        <v>187.5555223880597</v>
      </c>
      <c r="T122" s="53">
        <v>66.41</v>
      </c>
      <c r="U122" s="53">
        <v>66.199996551724098</v>
      </c>
      <c r="V122" s="53">
        <v>220.4</v>
      </c>
      <c r="W122" s="53">
        <v>106.4</v>
      </c>
      <c r="X122" s="53">
        <v>6.5</v>
      </c>
    </row>
    <row r="123" spans="1:24" x14ac:dyDescent="0.3">
      <c r="A123" s="53" t="s">
        <v>175</v>
      </c>
      <c r="B123" s="53">
        <v>14</v>
      </c>
      <c r="C123" s="53">
        <v>16</v>
      </c>
      <c r="D123" s="53">
        <v>2</v>
      </c>
      <c r="E123" s="53" t="s">
        <v>239</v>
      </c>
      <c r="F123" s="53">
        <v>1.85</v>
      </c>
      <c r="G123" s="53">
        <v>171.90991920233861</v>
      </c>
      <c r="H123" s="53">
        <v>23</v>
      </c>
      <c r="I123" s="53">
        <v>0.85713493333333324</v>
      </c>
      <c r="J123" s="53">
        <v>17.8875103448276</v>
      </c>
      <c r="K123" s="53">
        <v>21.7</v>
      </c>
      <c r="L123" s="53">
        <v>49.266284214708463</v>
      </c>
      <c r="M123" s="53">
        <v>50.423557886244467</v>
      </c>
      <c r="N123" s="53">
        <v>13.697555825614067</v>
      </c>
      <c r="O123" s="53">
        <v>60.89460419231974</v>
      </c>
      <c r="P123" s="53">
        <v>7.3457422064955225</v>
      </c>
      <c r="Q123" s="53">
        <v>4.8682300000000003E-3</v>
      </c>
      <c r="R123" s="53">
        <v>6.2099999999999937</v>
      </c>
      <c r="S123" s="53">
        <v>224.34239631336408</v>
      </c>
      <c r="T123" s="53">
        <v>71</v>
      </c>
      <c r="U123" s="53">
        <v>74.070233333333363</v>
      </c>
      <c r="V123" s="53">
        <v>194.6</v>
      </c>
      <c r="W123" s="53">
        <v>93.4</v>
      </c>
      <c r="X123" s="53">
        <v>5</v>
      </c>
    </row>
    <row r="124" spans="1:24" x14ac:dyDescent="0.3">
      <c r="A124" s="53" t="s">
        <v>177</v>
      </c>
      <c r="B124" s="53">
        <v>14</v>
      </c>
      <c r="C124" s="53">
        <v>16</v>
      </c>
      <c r="D124" s="53">
        <v>2</v>
      </c>
      <c r="E124" s="53" t="s">
        <v>239</v>
      </c>
      <c r="F124" s="53">
        <v>1.3</v>
      </c>
      <c r="G124" s="53">
        <v>168.77637130801736</v>
      </c>
      <c r="H124" s="53">
        <v>28</v>
      </c>
      <c r="I124" s="53">
        <v>0.75680099999999972</v>
      </c>
      <c r="J124" s="53">
        <v>20.943196666666701</v>
      </c>
      <c r="K124" s="53">
        <v>20</v>
      </c>
      <c r="L124" s="53">
        <v>34.348372997843512</v>
      </c>
      <c r="M124" s="53">
        <v>44.873233116446102</v>
      </c>
      <c r="N124" s="53">
        <v>9.8430241977622988</v>
      </c>
      <c r="O124" s="53">
        <v>60.149269283997398</v>
      </c>
      <c r="P124" s="53">
        <v>6.4200921815980871</v>
      </c>
      <c r="Q124" s="53">
        <v>4.57487E-3</v>
      </c>
      <c r="R124" s="53">
        <v>4</v>
      </c>
      <c r="S124" s="53">
        <v>228.74350000000001</v>
      </c>
      <c r="T124" s="53">
        <v>68</v>
      </c>
      <c r="U124" s="53">
        <v>74.328620000000015</v>
      </c>
      <c r="V124" s="53">
        <v>210</v>
      </c>
      <c r="W124" s="53">
        <v>118.55</v>
      </c>
      <c r="X124" s="53">
        <v>4.3181818181818183</v>
      </c>
    </row>
    <row r="125" spans="1:24" x14ac:dyDescent="0.3">
      <c r="A125" s="53" t="s">
        <v>179</v>
      </c>
      <c r="B125" s="53">
        <v>14</v>
      </c>
      <c r="C125" s="53">
        <v>15</v>
      </c>
      <c r="D125" s="53">
        <v>2</v>
      </c>
      <c r="E125" s="53" t="s">
        <v>239</v>
      </c>
      <c r="F125" s="53">
        <v>0.47599999999999998</v>
      </c>
      <c r="G125" s="53">
        <v>177.49378771742943</v>
      </c>
      <c r="H125" s="53">
        <v>34</v>
      </c>
      <c r="I125" s="53">
        <v>0.70381073333333333</v>
      </c>
      <c r="J125" s="53">
        <v>11.9852833333333</v>
      </c>
      <c r="K125" s="53">
        <v>36.9</v>
      </c>
      <c r="L125" s="53">
        <v>65.048437307648541</v>
      </c>
      <c r="M125" s="53">
        <v>64.226075786769229</v>
      </c>
      <c r="N125" s="53">
        <v>23.323171846891</v>
      </c>
      <c r="O125" s="53">
        <v>71.517836829727472</v>
      </c>
      <c r="P125" s="53">
        <v>20.466764471228466</v>
      </c>
      <c r="Q125" s="53">
        <v>1.4364999999999999E-2</v>
      </c>
      <c r="R125" s="53">
        <v>6.1899999999999977</v>
      </c>
      <c r="S125" s="53">
        <v>389.29539295392954</v>
      </c>
      <c r="T125" s="53">
        <v>65</v>
      </c>
      <c r="U125" s="53">
        <v>64.039961538461526</v>
      </c>
      <c r="V125" s="53">
        <v>220.27</v>
      </c>
      <c r="W125" s="53">
        <v>132.97</v>
      </c>
      <c r="X125" s="53">
        <v>11.153846153846153</v>
      </c>
    </row>
    <row r="126" spans="1:24" x14ac:dyDescent="0.3">
      <c r="A126" s="53" t="s">
        <v>181</v>
      </c>
      <c r="B126" s="53">
        <v>14</v>
      </c>
      <c r="C126" s="53">
        <v>14</v>
      </c>
      <c r="D126" s="53">
        <v>2</v>
      </c>
      <c r="E126" s="53" t="s">
        <v>239</v>
      </c>
      <c r="F126" s="53">
        <v>1.94</v>
      </c>
      <c r="G126" s="53">
        <v>234.7417840375592</v>
      </c>
      <c r="H126" s="53">
        <v>41</v>
      </c>
      <c r="I126" s="53">
        <v>0.61288623529411768</v>
      </c>
      <c r="J126" s="53">
        <v>13.384623529411799</v>
      </c>
      <c r="K126" s="53">
        <v>23.2</v>
      </c>
      <c r="L126" s="53">
        <v>40.53154703685896</v>
      </c>
      <c r="M126" s="53">
        <v>74.872716382150372</v>
      </c>
      <c r="N126" s="53">
        <v>12.884465976967769</v>
      </c>
      <c r="O126" s="53">
        <v>86.547394114663916</v>
      </c>
      <c r="P126" s="53">
        <v>10.485104198948871</v>
      </c>
      <c r="Q126" s="53">
        <v>9.2205900000000007E-3</v>
      </c>
      <c r="R126" s="53">
        <v>3</v>
      </c>
      <c r="S126" s="53">
        <v>397.43922413793103</v>
      </c>
      <c r="T126" s="53">
        <v>66.599999999999994</v>
      </c>
      <c r="U126" s="53">
        <v>76.477047058823516</v>
      </c>
      <c r="V126" s="53">
        <v>243.04</v>
      </c>
      <c r="W126" s="53">
        <v>150.34</v>
      </c>
      <c r="X126" s="53">
        <v>6.0714285714285712</v>
      </c>
    </row>
    <row r="127" spans="1:24" x14ac:dyDescent="0.3">
      <c r="A127" s="53" t="s">
        <v>183</v>
      </c>
      <c r="B127" s="53">
        <v>14</v>
      </c>
      <c r="C127" s="53">
        <v>14</v>
      </c>
      <c r="D127" s="53">
        <v>2</v>
      </c>
      <c r="E127" s="53" t="s">
        <v>239</v>
      </c>
      <c r="F127" s="53">
        <v>1.04</v>
      </c>
      <c r="G127" s="53">
        <v>219.78021978021923</v>
      </c>
      <c r="H127" s="53">
        <v>37</v>
      </c>
      <c r="I127" s="53">
        <v>0.71910734482758598</v>
      </c>
      <c r="J127" s="53">
        <v>13.833927586206901</v>
      </c>
      <c r="K127" s="53">
        <v>29.3</v>
      </c>
      <c r="L127" s="53">
        <v>55.973063302217092</v>
      </c>
      <c r="M127" s="53">
        <v>65.312520410162477</v>
      </c>
      <c r="N127" s="53">
        <v>16.884957422845364</v>
      </c>
      <c r="O127" s="53">
        <v>81.784904598260766</v>
      </c>
      <c r="P127" s="53">
        <v>14.343956035656374</v>
      </c>
      <c r="Q127" s="53">
        <v>7.3106100000000004E-3</v>
      </c>
      <c r="R127" s="53">
        <v>6.9200000000000017</v>
      </c>
      <c r="S127" s="53">
        <v>249.50887372013651</v>
      </c>
      <c r="T127" s="53">
        <v>67.5</v>
      </c>
      <c r="U127" s="53">
        <v>76.285531034482744</v>
      </c>
      <c r="V127" s="53">
        <v>208.05</v>
      </c>
      <c r="W127" s="53">
        <v>120.22</v>
      </c>
      <c r="X127" s="53">
        <v>6.5909090909090908</v>
      </c>
    </row>
    <row r="128" spans="1:24" x14ac:dyDescent="0.3">
      <c r="A128" s="53" t="s">
        <v>185</v>
      </c>
      <c r="B128" s="53">
        <v>14</v>
      </c>
      <c r="C128" s="53">
        <v>14</v>
      </c>
      <c r="D128" s="53">
        <v>2</v>
      </c>
      <c r="E128" s="53" t="s">
        <v>239</v>
      </c>
      <c r="F128" s="53">
        <v>1.1399999999999999</v>
      </c>
      <c r="G128" s="53">
        <v>233.31777881474562</v>
      </c>
      <c r="H128" s="53">
        <v>42</v>
      </c>
      <c r="I128" s="53">
        <v>0.61940659999999992</v>
      </c>
      <c r="J128" s="53">
        <v>12.2884233333333</v>
      </c>
      <c r="K128" s="53">
        <v>32.9</v>
      </c>
      <c r="L128" s="53">
        <v>47.529964724667032</v>
      </c>
      <c r="M128" s="53">
        <v>76.405867970659685</v>
      </c>
      <c r="N128" s="53">
        <v>16.616740130627342</v>
      </c>
      <c r="O128" s="53">
        <v>88.236669808071653</v>
      </c>
      <c r="P128" s="53">
        <v>14.479808319702482</v>
      </c>
      <c r="Q128" s="53">
        <v>7.62073E-3</v>
      </c>
      <c r="R128" s="53">
        <v>4.0499999999999972</v>
      </c>
      <c r="S128" s="53">
        <v>231.63313069908816</v>
      </c>
      <c r="T128" s="53">
        <v>63</v>
      </c>
      <c r="U128" s="53">
        <v>76.293943333333331</v>
      </c>
      <c r="V128" s="53">
        <v>265.45</v>
      </c>
      <c r="W128" s="53">
        <v>148.01</v>
      </c>
      <c r="X128" s="53">
        <v>7.916666666666667</v>
      </c>
    </row>
    <row r="129" spans="1:24" x14ac:dyDescent="0.3">
      <c r="A129" s="53" t="s">
        <v>187</v>
      </c>
      <c r="B129" s="53">
        <v>14</v>
      </c>
      <c r="C129" s="53">
        <v>14</v>
      </c>
      <c r="D129" s="53">
        <v>2</v>
      </c>
      <c r="E129" s="53" t="s">
        <v>239</v>
      </c>
      <c r="F129" s="53">
        <v>1.25</v>
      </c>
      <c r="G129" s="53">
        <v>205.0440844781624</v>
      </c>
      <c r="H129" s="53">
        <v>35</v>
      </c>
      <c r="I129" s="53">
        <v>0.70102951851851847</v>
      </c>
      <c r="J129" s="53">
        <v>17.0649814814815</v>
      </c>
      <c r="K129" s="53">
        <v>23.2</v>
      </c>
      <c r="L129" s="53">
        <v>45.310683623975834</v>
      </c>
      <c r="M129" s="53">
        <v>48.030739673390855</v>
      </c>
      <c r="N129" s="53">
        <v>11.828160498820138</v>
      </c>
      <c r="O129" s="53">
        <v>64.426726782203147</v>
      </c>
      <c r="P129" s="53">
        <v>7.5614981981624636</v>
      </c>
      <c r="Q129" s="53">
        <v>1.90361E-2</v>
      </c>
      <c r="R129" s="53">
        <v>4.2400000000000091</v>
      </c>
      <c r="S129" s="53">
        <v>820.52155172413802</v>
      </c>
      <c r="T129" s="53">
        <v>60</v>
      </c>
      <c r="U129" s="53">
        <v>71.354614814814823</v>
      </c>
      <c r="V129" s="53">
        <v>204.66</v>
      </c>
      <c r="W129" s="53">
        <v>116.61</v>
      </c>
      <c r="X129" s="53">
        <v>5</v>
      </c>
    </row>
    <row r="130" spans="1:24" x14ac:dyDescent="0.3">
      <c r="A130" s="53" t="s">
        <v>189</v>
      </c>
      <c r="B130" s="53">
        <v>14</v>
      </c>
      <c r="C130" s="53">
        <v>18</v>
      </c>
      <c r="D130" s="53">
        <v>2</v>
      </c>
      <c r="E130" s="53" t="s">
        <v>239</v>
      </c>
      <c r="F130" s="53">
        <v>0.64800000000000002</v>
      </c>
      <c r="G130" s="53">
        <v>201.04543626859711</v>
      </c>
      <c r="H130" s="53">
        <v>39</v>
      </c>
      <c r="I130" s="53">
        <v>0.50786206896551722</v>
      </c>
      <c r="J130" s="53">
        <v>20.002686206896598</v>
      </c>
      <c r="K130" s="53">
        <v>26.9</v>
      </c>
      <c r="L130" s="53">
        <v>31.753094405557103</v>
      </c>
      <c r="M130" s="53">
        <v>70.126227208976204</v>
      </c>
      <c r="N130" s="53">
        <v>11.798285996296812</v>
      </c>
      <c r="O130" s="53">
        <v>82.724623049821005</v>
      </c>
      <c r="P130" s="53">
        <v>9.3154438382385525</v>
      </c>
      <c r="Q130" s="53">
        <v>1.11501E-2</v>
      </c>
      <c r="R130" s="53">
        <v>8.730000000000004</v>
      </c>
      <c r="S130" s="53">
        <v>414.50185873605949</v>
      </c>
      <c r="T130" s="53">
        <v>70</v>
      </c>
      <c r="U130" s="53">
        <v>87.86957241379308</v>
      </c>
      <c r="V130" s="53">
        <v>350.8</v>
      </c>
      <c r="W130" s="53">
        <v>215.95</v>
      </c>
      <c r="X130" s="53">
        <v>5.5</v>
      </c>
    </row>
    <row r="131" spans="1:24" x14ac:dyDescent="0.3">
      <c r="A131" s="53" t="s">
        <v>191</v>
      </c>
      <c r="B131" s="53">
        <v>14</v>
      </c>
      <c r="C131" s="53">
        <v>18</v>
      </c>
      <c r="D131" s="53">
        <v>2</v>
      </c>
      <c r="E131" s="53" t="s">
        <v>239</v>
      </c>
      <c r="F131" s="53">
        <v>1</v>
      </c>
      <c r="G131" s="53">
        <v>221.97558268590478</v>
      </c>
      <c r="H131" s="53">
        <v>34</v>
      </c>
      <c r="I131" s="53">
        <v>0.58646034482758624</v>
      </c>
      <c r="J131" s="53">
        <v>14.991486206896599</v>
      </c>
      <c r="K131" s="53">
        <v>36.6</v>
      </c>
      <c r="L131" s="53">
        <v>41.603111594982295</v>
      </c>
      <c r="M131" s="53">
        <v>57.803468208092255</v>
      </c>
      <c r="N131" s="53">
        <v>10.850562490276165</v>
      </c>
      <c r="O131" s="53">
        <v>70.392269291537318</v>
      </c>
      <c r="P131" s="53">
        <v>8.3444050551417259</v>
      </c>
      <c r="Q131" s="53">
        <v>6.6858000000000004E-3</v>
      </c>
      <c r="R131" s="53">
        <v>11.829999999999998</v>
      </c>
      <c r="S131" s="53">
        <v>182.67213114754097</v>
      </c>
      <c r="T131" s="53">
        <v>69.75</v>
      </c>
      <c r="U131" s="53">
        <v>86.051151724137938</v>
      </c>
      <c r="V131" s="53">
        <v>301.89</v>
      </c>
      <c r="W131" s="53">
        <v>170.11</v>
      </c>
      <c r="X131" s="53">
        <v>5</v>
      </c>
    </row>
    <row r="132" spans="1:24" x14ac:dyDescent="0.3">
      <c r="A132" s="53" t="s">
        <v>193</v>
      </c>
      <c r="B132" s="53">
        <v>14</v>
      </c>
      <c r="C132" s="53">
        <v>15</v>
      </c>
      <c r="D132" s="53">
        <v>2</v>
      </c>
      <c r="E132" s="53" t="s">
        <v>239</v>
      </c>
      <c r="F132" s="53">
        <v>2.95</v>
      </c>
      <c r="G132" s="53">
        <v>224.61814914645112</v>
      </c>
      <c r="H132" s="53">
        <v>23</v>
      </c>
      <c r="I132" s="53">
        <v>0.58253524137931023</v>
      </c>
      <c r="J132" s="53">
        <v>18.678875862068999</v>
      </c>
      <c r="K132" s="53">
        <v>20</v>
      </c>
      <c r="L132" s="53">
        <v>55.261393061683336</v>
      </c>
      <c r="M132" s="53">
        <v>44.931703810208312</v>
      </c>
      <c r="N132" s="53">
        <v>12.409369677919248</v>
      </c>
      <c r="O132" s="53">
        <v>58.880835586176794</v>
      </c>
      <c r="P132" s="53">
        <v>8.4448019979527977</v>
      </c>
      <c r="Q132" s="53">
        <v>5.4415599999999998E-3</v>
      </c>
      <c r="R132" s="53">
        <v>3.9499999999999886</v>
      </c>
      <c r="S132" s="53">
        <v>272.07799999999997</v>
      </c>
      <c r="T132" s="53">
        <v>66.87</v>
      </c>
      <c r="U132" s="53">
        <v>73.793613793103461</v>
      </c>
      <c r="V132" s="53">
        <v>250.82</v>
      </c>
      <c r="W132" s="53">
        <v>136.63999999999999</v>
      </c>
      <c r="X132" s="53">
        <v>5.2777777777777777</v>
      </c>
    </row>
    <row r="133" spans="1:24" x14ac:dyDescent="0.3">
      <c r="A133" s="53" t="s">
        <v>195</v>
      </c>
      <c r="B133" s="53">
        <v>14</v>
      </c>
      <c r="C133" s="53">
        <v>15</v>
      </c>
      <c r="D133" s="53">
        <v>2</v>
      </c>
      <c r="E133" s="53" t="s">
        <v>239</v>
      </c>
      <c r="F133" s="53">
        <v>1.9</v>
      </c>
      <c r="G133" s="53">
        <v>240.15369836695393</v>
      </c>
      <c r="H133" s="53">
        <v>42</v>
      </c>
      <c r="I133" s="53">
        <v>0.58458258620689652</v>
      </c>
      <c r="J133" s="53">
        <v>14.2990724137931</v>
      </c>
      <c r="K133" s="53">
        <v>17.8</v>
      </c>
      <c r="L133" s="53">
        <v>29.3951373550318</v>
      </c>
      <c r="M133" s="53">
        <v>70.906899241296415</v>
      </c>
      <c r="N133" s="53">
        <v>8.5703774456426913</v>
      </c>
      <c r="O133" s="53">
        <v>87.386756664070688</v>
      </c>
      <c r="P133" s="53">
        <v>6.8421226424859904</v>
      </c>
      <c r="Q133" s="53">
        <v>6.7315200000000004E-3</v>
      </c>
      <c r="R133" s="53">
        <v>3.5300000000000011</v>
      </c>
      <c r="S133" s="53">
        <v>378.17528089887639</v>
      </c>
      <c r="T133" s="53">
        <v>65.09</v>
      </c>
      <c r="U133" s="53">
        <v>80.050765517241388</v>
      </c>
      <c r="V133" s="53">
        <v>274.32</v>
      </c>
      <c r="W133" s="53">
        <v>154.19</v>
      </c>
      <c r="X133" s="53">
        <v>3.8888888888888888</v>
      </c>
    </row>
    <row r="134" spans="1:24" x14ac:dyDescent="0.3">
      <c r="A134" s="53" t="s">
        <v>197</v>
      </c>
      <c r="B134" s="53">
        <v>14</v>
      </c>
      <c r="C134" s="53">
        <v>15</v>
      </c>
      <c r="D134" s="53">
        <v>2</v>
      </c>
      <c r="E134" s="53" t="s">
        <v>239</v>
      </c>
      <c r="F134" s="53">
        <v>0.64</v>
      </c>
      <c r="G134" s="53">
        <v>196.03999215840034</v>
      </c>
      <c r="H134" s="53">
        <v>38</v>
      </c>
      <c r="I134" s="53">
        <v>0.7134968965517241</v>
      </c>
      <c r="J134" s="53">
        <v>13.3898551724138</v>
      </c>
      <c r="K134" s="53">
        <v>44.7</v>
      </c>
      <c r="L134" s="53">
        <v>15.893766178984807</v>
      </c>
      <c r="M134" s="53">
        <v>64.345923685734761</v>
      </c>
      <c r="N134" s="53">
        <v>19.253620475296948</v>
      </c>
      <c r="O134" s="53">
        <v>81.360104296228357</v>
      </c>
      <c r="P134" s="53">
        <v>25.476048288819086</v>
      </c>
      <c r="Q134" s="53">
        <v>7.0010300000000001E-3</v>
      </c>
      <c r="R134" s="53">
        <v>14.86999999999999</v>
      </c>
      <c r="S134" s="53">
        <v>156.62259507829975</v>
      </c>
      <c r="T134" s="53">
        <v>65</v>
      </c>
      <c r="U134" s="53">
        <v>70.8618275862069</v>
      </c>
      <c r="V134" s="53">
        <v>185</v>
      </c>
      <c r="W134" s="53">
        <v>115</v>
      </c>
      <c r="X134" s="53">
        <v>14.545454545454545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163"/>
  <sheetViews>
    <sheetView tabSelected="1" topLeftCell="N1" zoomScale="50" zoomScaleNormal="50" workbookViewId="0">
      <selection sqref="A1:AF1048576"/>
    </sheetView>
  </sheetViews>
  <sheetFormatPr defaultRowHeight="14.4" x14ac:dyDescent="0.3"/>
  <cols>
    <col min="1" max="1" width="22" style="34" customWidth="1"/>
    <col min="3" max="7" width="25.21875" style="34" customWidth="1"/>
    <col min="8" max="10" width="25.21875" customWidth="1"/>
    <col min="11" max="18" width="25.21875" style="34" customWidth="1"/>
    <col min="20" max="21" width="25.21875" style="34" customWidth="1"/>
    <col min="22" max="22" width="25.21875" customWidth="1"/>
    <col min="23" max="23" width="25.21875" style="34" customWidth="1"/>
    <col min="24" max="26" width="25.21875" customWidth="1"/>
    <col min="27" max="28" width="25.21875" style="34" customWidth="1"/>
    <col min="33" max="33" width="12.44140625" customWidth="1"/>
  </cols>
  <sheetData>
    <row r="1" spans="1:30" ht="15" thickBot="1" x14ac:dyDescent="0.35">
      <c r="A1" s="2" t="s">
        <v>1</v>
      </c>
      <c r="B1" s="34" t="s">
        <v>234</v>
      </c>
      <c r="C1" s="2" t="s">
        <v>9</v>
      </c>
      <c r="D1" s="2" t="s">
        <v>2</v>
      </c>
      <c r="E1" s="2" t="s">
        <v>240</v>
      </c>
      <c r="F1" s="2" t="s">
        <v>6</v>
      </c>
      <c r="G1" s="2" t="s">
        <v>7</v>
      </c>
      <c r="H1" s="5" t="s">
        <v>241</v>
      </c>
      <c r="I1" s="5" t="s">
        <v>242</v>
      </c>
      <c r="J1" s="5" t="s">
        <v>243</v>
      </c>
      <c r="K1" s="2" t="s">
        <v>83</v>
      </c>
      <c r="L1" s="2" t="s">
        <v>5</v>
      </c>
      <c r="M1" s="2" t="s">
        <v>12</v>
      </c>
      <c r="N1" s="2" t="s">
        <v>13</v>
      </c>
      <c r="O1" s="3" t="s">
        <v>244</v>
      </c>
      <c r="P1" s="3" t="s">
        <v>245</v>
      </c>
      <c r="Q1" s="3" t="s">
        <v>246</v>
      </c>
      <c r="R1" s="3" t="s">
        <v>247</v>
      </c>
      <c r="S1" s="5" t="s">
        <v>355</v>
      </c>
      <c r="T1" s="3" t="s">
        <v>18</v>
      </c>
      <c r="U1" s="4" t="s">
        <v>248</v>
      </c>
      <c r="V1" s="2" t="s">
        <v>3</v>
      </c>
      <c r="W1" s="2" t="s">
        <v>249</v>
      </c>
      <c r="X1" s="5" t="s">
        <v>250</v>
      </c>
      <c r="Y1" s="5" t="s">
        <v>353</v>
      </c>
      <c r="Z1" s="5" t="s">
        <v>251</v>
      </c>
      <c r="AA1" s="5" t="s">
        <v>252</v>
      </c>
      <c r="AB1" s="5" t="s">
        <v>20</v>
      </c>
      <c r="AC1" s="5" t="s">
        <v>354</v>
      </c>
      <c r="AD1" s="5" t="s">
        <v>356</v>
      </c>
    </row>
    <row r="2" spans="1:30" s="103" customFormat="1" x14ac:dyDescent="0.3">
      <c r="A2" s="103" t="s">
        <v>29</v>
      </c>
      <c r="B2" s="103">
        <v>3</v>
      </c>
      <c r="C2" s="103">
        <v>1</v>
      </c>
      <c r="D2" s="103">
        <v>3</v>
      </c>
      <c r="E2" s="103" t="s">
        <v>253</v>
      </c>
      <c r="F2" s="103">
        <v>1.6787210714285712</v>
      </c>
      <c r="G2" s="103">
        <v>-22.304966666666672</v>
      </c>
      <c r="H2" s="103">
        <v>96.9</v>
      </c>
      <c r="I2" s="103">
        <v>37.4</v>
      </c>
      <c r="J2" s="103">
        <v>25</v>
      </c>
      <c r="K2" s="103">
        <v>77.549437766576133</v>
      </c>
      <c r="L2" s="103">
        <v>16</v>
      </c>
      <c r="M2" s="103">
        <v>154.34216907199172</v>
      </c>
      <c r="N2" s="103">
        <v>35.172874679047467</v>
      </c>
      <c r="O2" s="103">
        <v>54.455264954119357</v>
      </c>
      <c r="P2" s="103">
        <v>32.612620210124575</v>
      </c>
      <c r="Q2" s="103">
        <v>38.722649925064523</v>
      </c>
      <c r="R2" s="103">
        <v>1.8208100000000001E-2</v>
      </c>
      <c r="S2" s="103">
        <f>R2*1000</f>
        <v>18.208100000000002</v>
      </c>
      <c r="T2" s="103">
        <v>7.7000000000000028</v>
      </c>
      <c r="U2" s="103">
        <v>151.65891062929668</v>
      </c>
      <c r="V2" s="103">
        <v>0.06</v>
      </c>
      <c r="W2" s="103">
        <v>99</v>
      </c>
      <c r="X2" s="103">
        <v>9.0900000000000034</v>
      </c>
      <c r="Y2" s="103">
        <v>78.040000000000006</v>
      </c>
      <c r="Z2" s="103">
        <v>1.0000000000000001E-5</v>
      </c>
      <c r="AA2" s="103">
        <v>65.5</v>
      </c>
      <c r="AB2" s="103">
        <v>-65.2</v>
      </c>
      <c r="AC2" s="103">
        <v>12.842814583333301</v>
      </c>
      <c r="AD2" s="103">
        <v>-47.730574999999995</v>
      </c>
    </row>
    <row r="3" spans="1:30" s="103" customFormat="1" x14ac:dyDescent="0.3">
      <c r="A3" s="103" t="s">
        <v>32</v>
      </c>
      <c r="B3" s="103">
        <v>3</v>
      </c>
      <c r="C3" s="103">
        <v>1</v>
      </c>
      <c r="D3" s="103">
        <v>3</v>
      </c>
      <c r="E3" s="103" t="s">
        <v>253</v>
      </c>
      <c r="F3" s="103">
        <v>1.1895036666666665</v>
      </c>
      <c r="G3" s="103">
        <v>-7.1390068965517246</v>
      </c>
      <c r="H3" s="103">
        <v>205.7</v>
      </c>
      <c r="I3" s="103">
        <v>65.3</v>
      </c>
      <c r="J3" s="103">
        <v>18.399999999999999</v>
      </c>
      <c r="K3" s="103">
        <v>122.9105211406097</v>
      </c>
      <c r="L3" s="103">
        <v>29</v>
      </c>
      <c r="M3" s="103">
        <v>85.928817008238866</v>
      </c>
      <c r="N3" s="103">
        <v>52.90165582182717</v>
      </c>
      <c r="O3" s="103">
        <v>36.601035346339991</v>
      </c>
      <c r="P3" s="103">
        <v>57.160249562243465</v>
      </c>
      <c r="Q3" s="103">
        <v>34.046266666252833</v>
      </c>
      <c r="R3" s="103">
        <v>1.53467E-2</v>
      </c>
      <c r="S3" s="103">
        <f t="shared" ref="S3:S66" si="0">R3*1000</f>
        <v>15.3467</v>
      </c>
      <c r="T3" s="103">
        <v>8.7999999999999972</v>
      </c>
      <c r="U3" s="103">
        <v>237.19783616692425</v>
      </c>
      <c r="V3" s="103">
        <v>1.4</v>
      </c>
      <c r="W3" s="103">
        <v>64.7</v>
      </c>
      <c r="X3" s="103">
        <v>6.7099999999999937</v>
      </c>
      <c r="Y3" s="103">
        <v>78.25</v>
      </c>
      <c r="Z3" s="103">
        <v>1.0000000000000001E-5</v>
      </c>
      <c r="AA3" s="103">
        <v>78.599999999999994</v>
      </c>
      <c r="AB3" s="103">
        <v>-65</v>
      </c>
      <c r="AC3" s="103">
        <v>6.6266742857142802</v>
      </c>
      <c r="AD3" s="103">
        <v>-47.126259999999988</v>
      </c>
    </row>
    <row r="4" spans="1:30" s="103" customFormat="1" x14ac:dyDescent="0.3">
      <c r="A4" s="103" t="s">
        <v>34</v>
      </c>
      <c r="B4" s="103">
        <v>3</v>
      </c>
      <c r="C4" s="103">
        <v>1</v>
      </c>
      <c r="D4" s="103">
        <v>3</v>
      </c>
      <c r="E4" s="103" t="s">
        <v>253</v>
      </c>
      <c r="F4" s="103">
        <v>0.98629673333333345</v>
      </c>
      <c r="G4" s="103">
        <v>-5.3563655172413771</v>
      </c>
      <c r="H4" s="103">
        <v>168.7</v>
      </c>
      <c r="I4" s="103">
        <v>72.599999999999994</v>
      </c>
      <c r="J4" s="103">
        <v>32.5</v>
      </c>
      <c r="K4" s="103">
        <v>138.66258572218629</v>
      </c>
      <c r="L4" s="103">
        <v>22</v>
      </c>
      <c r="M4" s="103">
        <v>217.66701727173663</v>
      </c>
      <c r="N4" s="103">
        <v>46.74207721791155</v>
      </c>
      <c r="O4" s="103">
        <v>65.017658572770969</v>
      </c>
      <c r="P4" s="103">
        <v>42.84169722220431</v>
      </c>
      <c r="Q4" s="103">
        <v>32.5</v>
      </c>
      <c r="R4" s="103">
        <v>1.2986599999999999E-2</v>
      </c>
      <c r="S4" s="103">
        <f t="shared" si="0"/>
        <v>12.986599999999999</v>
      </c>
      <c r="T4" s="103">
        <v>7.1000000000000085</v>
      </c>
      <c r="U4" s="103">
        <v>212.89508196721309</v>
      </c>
      <c r="V4" s="103">
        <v>0.36</v>
      </c>
      <c r="W4" s="103">
        <v>52.8</v>
      </c>
      <c r="X4" s="103">
        <v>4.0100000000000051</v>
      </c>
      <c r="Y4" s="103">
        <v>46.524999999999999</v>
      </c>
      <c r="Z4" s="103">
        <v>1.0000000000000001E-5</v>
      </c>
      <c r="AA4" s="103">
        <v>71.759999999999991</v>
      </c>
      <c r="AB4" s="103">
        <v>-65</v>
      </c>
      <c r="AC4" s="103">
        <v>7.1207679012345801</v>
      </c>
      <c r="AD4" s="103">
        <v>-42.754110000000004</v>
      </c>
    </row>
    <row r="5" spans="1:30" s="103" customFormat="1" x14ac:dyDescent="0.3">
      <c r="A5" s="103" t="s">
        <v>36</v>
      </c>
      <c r="B5" s="103">
        <v>3</v>
      </c>
      <c r="C5" s="103">
        <v>1</v>
      </c>
      <c r="D5" s="103">
        <v>3</v>
      </c>
      <c r="E5" s="103" t="s">
        <v>253</v>
      </c>
      <c r="F5" s="103">
        <v>1.0856079166666668</v>
      </c>
      <c r="G5" s="103">
        <v>-7.0721347826086944</v>
      </c>
      <c r="H5" s="103">
        <v>119.4</v>
      </c>
      <c r="I5" s="103">
        <v>57.3</v>
      </c>
      <c r="J5" s="103">
        <v>36.666666666666671</v>
      </c>
      <c r="K5" s="103">
        <v>151.05740181268936</v>
      </c>
      <c r="L5" s="103">
        <v>25</v>
      </c>
      <c r="M5" s="103">
        <v>173.15067006208034</v>
      </c>
      <c r="N5" s="103">
        <v>51.064698973599626</v>
      </c>
      <c r="O5" s="103">
        <v>68.946232205314757</v>
      </c>
      <c r="P5" s="103">
        <v>57.556769979018881</v>
      </c>
      <c r="Q5" s="103">
        <v>64.161035690089761</v>
      </c>
      <c r="R5" s="103">
        <v>1.36533E-2</v>
      </c>
      <c r="S5" s="103">
        <f t="shared" si="0"/>
        <v>13.6533</v>
      </c>
      <c r="T5" s="103">
        <v>2.1700000000000017</v>
      </c>
      <c r="U5" s="103">
        <v>292.36188436830838</v>
      </c>
      <c r="V5" s="103">
        <v>0.33</v>
      </c>
      <c r="W5" s="103">
        <v>46.699999999999996</v>
      </c>
      <c r="X5" s="103">
        <v>2.3900000000000006</v>
      </c>
      <c r="Y5" s="103">
        <v>45.234999999999999</v>
      </c>
      <c r="Z5" s="103">
        <v>2.4600000000000009</v>
      </c>
      <c r="AA5" s="103">
        <v>60.7</v>
      </c>
      <c r="AB5" s="103">
        <v>-60.9</v>
      </c>
      <c r="AC5" s="103">
        <v>1.9921194444444399</v>
      </c>
      <c r="AD5" s="103">
        <v>-31.941729166666661</v>
      </c>
    </row>
    <row r="6" spans="1:30" s="103" customFormat="1" x14ac:dyDescent="0.3">
      <c r="A6" s="103" t="s">
        <v>38</v>
      </c>
      <c r="B6" s="103">
        <v>3</v>
      </c>
      <c r="C6" s="103">
        <v>1</v>
      </c>
      <c r="D6" s="103">
        <v>3</v>
      </c>
      <c r="E6" s="103" t="s">
        <v>253</v>
      </c>
      <c r="F6" s="103">
        <v>1.1950000000000001</v>
      </c>
      <c r="G6" s="103">
        <v>-7.8070000000000004</v>
      </c>
      <c r="H6" s="103">
        <v>114.8</v>
      </c>
      <c r="I6" s="103">
        <v>53.7</v>
      </c>
      <c r="J6" s="103">
        <v>32.5</v>
      </c>
      <c r="K6" s="103">
        <v>135.2447930754665</v>
      </c>
      <c r="L6" s="103">
        <v>26</v>
      </c>
      <c r="M6" s="103">
        <v>129.96244770699451</v>
      </c>
      <c r="N6" s="103">
        <v>37.94638696326507</v>
      </c>
      <c r="O6" s="103">
        <v>66.635948208024558</v>
      </c>
      <c r="P6" s="103">
        <v>54.773227477637072</v>
      </c>
      <c r="Q6" s="103">
        <v>55.255815213056266</v>
      </c>
      <c r="R6" s="103">
        <v>1.6842599999999999E-2</v>
      </c>
      <c r="S6" s="103">
        <f t="shared" si="0"/>
        <v>16.842600000000001</v>
      </c>
      <c r="T6" s="103">
        <v>13.299999999999997</v>
      </c>
      <c r="U6" s="103">
        <v>206.91154791154801</v>
      </c>
      <c r="V6" s="103">
        <v>0.25</v>
      </c>
      <c r="W6" s="103">
        <v>81.400000000000006</v>
      </c>
      <c r="X6" s="103">
        <v>5.5500000000000043</v>
      </c>
      <c r="Y6" s="103">
        <v>62.5</v>
      </c>
      <c r="Z6" s="103">
        <v>0.32999999999999829</v>
      </c>
      <c r="AA6" s="103">
        <v>62.23</v>
      </c>
      <c r="AB6" s="103">
        <v>-58</v>
      </c>
      <c r="AC6" s="103">
        <v>17.293295061728401</v>
      </c>
      <c r="AD6" s="103">
        <v>-34.633795999999997</v>
      </c>
    </row>
    <row r="7" spans="1:30" s="103" customFormat="1" x14ac:dyDescent="0.3">
      <c r="A7" s="103" t="s">
        <v>42</v>
      </c>
      <c r="B7" s="103">
        <v>3</v>
      </c>
      <c r="C7" s="103">
        <v>1</v>
      </c>
      <c r="D7" s="103">
        <v>2</v>
      </c>
      <c r="E7" s="103" t="s">
        <v>253</v>
      </c>
      <c r="F7" s="103">
        <v>1.1420199999999998</v>
      </c>
      <c r="G7" s="103">
        <v>-20.2611375</v>
      </c>
      <c r="H7" s="103">
        <v>193.9</v>
      </c>
      <c r="I7" s="103">
        <v>73.400000000000006</v>
      </c>
      <c r="J7" s="103">
        <v>36.000000000000007</v>
      </c>
      <c r="K7" s="103">
        <v>110</v>
      </c>
      <c r="L7" s="103">
        <v>29</v>
      </c>
      <c r="M7" s="103">
        <v>142.06416836010368</v>
      </c>
      <c r="N7" s="103">
        <v>54.710581026370441</v>
      </c>
      <c r="O7" s="103">
        <v>73.5681357442257</v>
      </c>
      <c r="P7" s="103">
        <v>59.049966726885998</v>
      </c>
      <c r="Q7" s="103">
        <v>66.987742828600076</v>
      </c>
      <c r="R7" s="103">
        <v>2.4686300000000001E-2</v>
      </c>
      <c r="S7" s="103">
        <f t="shared" si="0"/>
        <v>24.686300000000003</v>
      </c>
      <c r="T7" s="103">
        <v>14.700000000000017</v>
      </c>
      <c r="U7" s="103">
        <v>202.34672131147542</v>
      </c>
      <c r="V7" s="103">
        <v>0.18</v>
      </c>
      <c r="W7" s="103">
        <v>122</v>
      </c>
      <c r="X7" s="103">
        <v>9.1700000000000017</v>
      </c>
      <c r="Y7" s="103">
        <v>84.06</v>
      </c>
      <c r="Z7" s="103">
        <v>0.29099999999999682</v>
      </c>
      <c r="AA7" s="103">
        <v>80.8</v>
      </c>
      <c r="AB7" s="103">
        <v>-63.9</v>
      </c>
      <c r="AC7" s="103">
        <v>11.114427160493801</v>
      </c>
      <c r="AD7" s="103">
        <v>-41.454808695652176</v>
      </c>
    </row>
    <row r="8" spans="1:30" s="103" customFormat="1" x14ac:dyDescent="0.3">
      <c r="A8" s="103" t="s">
        <v>44</v>
      </c>
      <c r="B8" s="103">
        <v>3</v>
      </c>
      <c r="C8" s="103">
        <v>1</v>
      </c>
      <c r="D8" s="103">
        <v>2</v>
      </c>
      <c r="E8" s="103" t="s">
        <v>253</v>
      </c>
      <c r="F8" s="103">
        <v>1.0427513333333336</v>
      </c>
      <c r="G8" s="103">
        <v>-10.258113793103448</v>
      </c>
      <c r="H8" s="103">
        <v>192.2</v>
      </c>
      <c r="I8" s="103">
        <v>75.8</v>
      </c>
      <c r="J8" s="103">
        <v>40</v>
      </c>
      <c r="K8" s="103">
        <v>141.63</v>
      </c>
      <c r="L8" s="103">
        <v>26</v>
      </c>
      <c r="M8" s="103">
        <v>351.90253693574465</v>
      </c>
      <c r="N8" s="103">
        <v>49.925112331502817</v>
      </c>
      <c r="O8" s="103">
        <v>92.079395306529662</v>
      </c>
      <c r="P8" s="103">
        <v>53.219581502002427</v>
      </c>
      <c r="Q8" s="103">
        <v>75.221594931397291</v>
      </c>
      <c r="R8" s="103">
        <v>1.1476800000000001E-2</v>
      </c>
      <c r="S8" s="103">
        <f t="shared" si="0"/>
        <v>11.476800000000001</v>
      </c>
      <c r="T8" s="103">
        <v>5.9000000000000057</v>
      </c>
      <c r="U8" s="103">
        <v>183.62880000000001</v>
      </c>
      <c r="V8" s="103">
        <v>0.27</v>
      </c>
      <c r="W8" s="103">
        <v>62.5</v>
      </c>
      <c r="X8" s="103">
        <v>5.6000000000000014</v>
      </c>
      <c r="Y8" s="103">
        <v>47.87</v>
      </c>
      <c r="Z8" s="103">
        <v>1.6700000000000017</v>
      </c>
      <c r="AA8" s="103">
        <v>77.400000000000006</v>
      </c>
      <c r="AB8" s="103">
        <v>-64.3</v>
      </c>
      <c r="AC8" s="103">
        <v>5.0862635416666704</v>
      </c>
      <c r="AD8" s="103">
        <v>-41.671753333333328</v>
      </c>
    </row>
    <row r="9" spans="1:30" s="103" customFormat="1" x14ac:dyDescent="0.3">
      <c r="A9" s="103" t="s">
        <v>46</v>
      </c>
      <c r="B9" s="103">
        <v>3</v>
      </c>
      <c r="C9" s="103">
        <v>1</v>
      </c>
      <c r="D9" s="103">
        <v>3</v>
      </c>
      <c r="E9" s="103" t="s">
        <v>253</v>
      </c>
      <c r="F9" s="103">
        <v>1.0872793333333333</v>
      </c>
      <c r="G9" s="103">
        <v>-11.768600000000003</v>
      </c>
      <c r="H9" s="103">
        <v>168.5</v>
      </c>
      <c r="I9" s="103">
        <v>75.400000000000006</v>
      </c>
      <c r="J9" s="103">
        <v>25.714285714285712</v>
      </c>
      <c r="K9" s="103">
        <v>126.1352169525732</v>
      </c>
      <c r="L9" s="103">
        <v>23</v>
      </c>
      <c r="M9" s="103">
        <v>64.520019543078703</v>
      </c>
      <c r="N9" s="103">
        <v>42.545949625595611</v>
      </c>
      <c r="O9" s="103">
        <v>52.870523527181341</v>
      </c>
      <c r="P9" s="103">
        <v>49.210881469075986</v>
      </c>
      <c r="Q9" s="103">
        <v>43.669869986261133</v>
      </c>
      <c r="R9" s="103">
        <v>1.44984E-2</v>
      </c>
      <c r="S9" s="103">
        <f t="shared" si="0"/>
        <v>14.4984</v>
      </c>
      <c r="T9" s="103">
        <v>1.8399999999999892</v>
      </c>
      <c r="U9" s="103">
        <v>253.46853146853147</v>
      </c>
      <c r="V9" s="103">
        <v>0.35</v>
      </c>
      <c r="W9" s="103">
        <v>57.2</v>
      </c>
      <c r="X9" s="103">
        <v>5.2659999999999911</v>
      </c>
      <c r="Y9" s="103">
        <v>102.5</v>
      </c>
      <c r="Z9" s="103">
        <v>0.71000000000000085</v>
      </c>
      <c r="AA9" s="103">
        <v>81.2</v>
      </c>
      <c r="AB9" s="103">
        <v>-65</v>
      </c>
      <c r="AC9" s="103">
        <v>4.5776361111110999</v>
      </c>
      <c r="AD9" s="103">
        <v>-36.278273333333338</v>
      </c>
    </row>
    <row r="10" spans="1:30" s="103" customFormat="1" x14ac:dyDescent="0.3">
      <c r="A10" s="103" t="s">
        <v>48</v>
      </c>
      <c r="B10" s="103">
        <v>3</v>
      </c>
      <c r="C10" s="103">
        <v>1</v>
      </c>
      <c r="D10" s="103">
        <v>3</v>
      </c>
      <c r="E10" s="103" t="s">
        <v>253</v>
      </c>
      <c r="F10" s="103">
        <v>1.0085</v>
      </c>
      <c r="G10" s="103">
        <v>13.964</v>
      </c>
      <c r="H10" s="103">
        <v>172.4</v>
      </c>
      <c r="I10" s="103">
        <v>81.2</v>
      </c>
      <c r="J10" s="103">
        <v>23.157894736842106</v>
      </c>
      <c r="K10" s="103">
        <v>120.90436464756397</v>
      </c>
      <c r="L10" s="103">
        <v>25</v>
      </c>
      <c r="M10" s="103">
        <v>65.088670630613294</v>
      </c>
      <c r="N10" s="103">
        <v>49.171460884102892</v>
      </c>
      <c r="O10" s="103">
        <v>53.866809457974156</v>
      </c>
      <c r="P10" s="103">
        <v>62.932021233446413</v>
      </c>
      <c r="Q10" s="103">
        <v>52.41660982921735</v>
      </c>
      <c r="R10" s="103">
        <v>1.42325E-2</v>
      </c>
      <c r="S10" s="103">
        <f t="shared" si="0"/>
        <v>14.2325</v>
      </c>
      <c r="T10" s="103">
        <v>2.5499999999999972</v>
      </c>
      <c r="U10" s="103">
        <v>286.36799999999999</v>
      </c>
      <c r="V10" s="103">
        <v>0.48</v>
      </c>
      <c r="W10" s="103">
        <v>49.699999999999996</v>
      </c>
      <c r="X10" s="103">
        <v>5.3800000000000026</v>
      </c>
      <c r="Y10" s="103">
        <v>78.185000000000002</v>
      </c>
      <c r="Z10" s="103">
        <v>0.90999999999999659</v>
      </c>
      <c r="AA10" s="103">
        <v>74.58</v>
      </c>
      <c r="AB10" s="103">
        <v>-63.9</v>
      </c>
      <c r="AC10" s="103">
        <v>2.7020781249999999</v>
      </c>
      <c r="AD10" s="103">
        <v>-29.991653333333335</v>
      </c>
    </row>
    <row r="11" spans="1:30" s="103" customFormat="1" x14ac:dyDescent="0.3">
      <c r="A11" s="103" t="s">
        <v>50</v>
      </c>
      <c r="B11" s="103">
        <v>3</v>
      </c>
      <c r="C11" s="103">
        <v>1</v>
      </c>
      <c r="D11" s="103">
        <v>3</v>
      </c>
      <c r="E11" s="103" t="s">
        <v>253</v>
      </c>
      <c r="F11" s="103">
        <v>1.4664000000000001</v>
      </c>
      <c r="G11" s="103">
        <v>-10.903752941176469</v>
      </c>
      <c r="H11" s="103">
        <v>135.6</v>
      </c>
      <c r="I11" s="103">
        <v>47.8</v>
      </c>
      <c r="J11" s="103">
        <v>73.333333333333343</v>
      </c>
      <c r="K11" s="103">
        <v>103.45541071798058</v>
      </c>
      <c r="L11" s="103">
        <v>20</v>
      </c>
      <c r="M11" s="103">
        <v>329.65412360409596</v>
      </c>
      <c r="N11" s="103">
        <v>35.273368606701915</v>
      </c>
      <c r="O11" s="103">
        <v>157.57325641699643</v>
      </c>
      <c r="P11" s="103">
        <v>64.483783630286567</v>
      </c>
      <c r="Q11" s="103">
        <v>144.65740273586241</v>
      </c>
      <c r="R11" s="103">
        <v>2.8678700000000001E-2</v>
      </c>
      <c r="S11" s="103">
        <f t="shared" si="0"/>
        <v>28.678700000000003</v>
      </c>
      <c r="T11" s="103">
        <v>15.050000000000011</v>
      </c>
      <c r="U11" s="103">
        <v>151.65891062929668</v>
      </c>
      <c r="V11" s="103">
        <v>0.09</v>
      </c>
      <c r="W11" s="103">
        <v>189.1</v>
      </c>
      <c r="X11" s="103">
        <v>0.56000000000000227</v>
      </c>
      <c r="Y11" s="103">
        <v>18.055</v>
      </c>
      <c r="Z11" s="103">
        <v>1.6559999999999988</v>
      </c>
      <c r="AA11" s="103">
        <v>77</v>
      </c>
      <c r="AB11" s="103">
        <v>-65</v>
      </c>
      <c r="AC11" s="103">
        <v>14.1285086419753</v>
      </c>
      <c r="AD11" s="103">
        <v>-37.178731818181809</v>
      </c>
    </row>
    <row r="12" spans="1:30" s="103" customFormat="1" x14ac:dyDescent="0.3">
      <c r="A12" s="103" t="s">
        <v>55</v>
      </c>
      <c r="B12" s="103">
        <v>3</v>
      </c>
      <c r="C12" s="103">
        <v>1</v>
      </c>
      <c r="D12" s="103">
        <v>3</v>
      </c>
      <c r="E12" s="103" t="s">
        <v>253</v>
      </c>
      <c r="F12" s="103">
        <v>1.0732326086956518</v>
      </c>
      <c r="G12" s="103">
        <v>-9.1303045454545479</v>
      </c>
      <c r="H12" s="103">
        <v>154.5</v>
      </c>
      <c r="I12" s="103">
        <v>69.3</v>
      </c>
      <c r="J12" s="103">
        <v>16.19047619047619</v>
      </c>
      <c r="K12" s="103">
        <v>104.3841336116912</v>
      </c>
      <c r="L12" s="103">
        <v>21</v>
      </c>
      <c r="M12" s="103">
        <v>86.190067931890027</v>
      </c>
      <c r="N12" s="103">
        <v>39.536630688332728</v>
      </c>
      <c r="O12" s="103">
        <v>29.828993252302599</v>
      </c>
      <c r="P12" s="103">
        <v>43.006410260326511</v>
      </c>
      <c r="Q12" s="103">
        <v>24.539168222284086</v>
      </c>
      <c r="R12" s="103">
        <v>1.0788499999999999E-2</v>
      </c>
      <c r="S12" s="103">
        <f t="shared" si="0"/>
        <v>10.788499999999999</v>
      </c>
      <c r="T12" s="103">
        <v>3.2600000000000051</v>
      </c>
      <c r="U12" s="103">
        <v>204.71537001897531</v>
      </c>
      <c r="V12" s="103">
        <v>0.55000000000000004</v>
      </c>
      <c r="W12" s="103">
        <v>52.7</v>
      </c>
      <c r="X12" s="103">
        <v>5.6000000000000014</v>
      </c>
      <c r="Y12" s="103">
        <v>88.084999999999994</v>
      </c>
      <c r="Z12" s="103">
        <v>1.0000000000000001E-5</v>
      </c>
      <c r="AA12" s="103">
        <v>63.131582608695652</v>
      </c>
      <c r="AB12" s="103">
        <v>-63.1</v>
      </c>
      <c r="AC12" s="103">
        <v>2.5431312500000001</v>
      </c>
      <c r="AD12" s="201">
        <v>-24.623704347826088</v>
      </c>
    </row>
    <row r="13" spans="1:30" s="103" customFormat="1" x14ac:dyDescent="0.3">
      <c r="A13" s="103" t="s">
        <v>58</v>
      </c>
      <c r="B13" s="103">
        <v>3</v>
      </c>
      <c r="C13" s="103">
        <v>1</v>
      </c>
      <c r="D13" s="103">
        <v>3</v>
      </c>
      <c r="E13" s="103" t="s">
        <v>253</v>
      </c>
      <c r="F13" s="103">
        <v>1.0503516666666666</v>
      </c>
      <c r="G13" s="103">
        <v>-4.032524137931035</v>
      </c>
      <c r="H13" s="103">
        <v>163.5</v>
      </c>
      <c r="I13" s="103">
        <v>74.8</v>
      </c>
      <c r="J13" s="103">
        <v>18.75</v>
      </c>
      <c r="K13" s="103">
        <v>94.759783947692625</v>
      </c>
      <c r="L13" s="103">
        <v>21</v>
      </c>
      <c r="M13" s="103">
        <v>106.4965862578288</v>
      </c>
      <c r="N13" s="103">
        <v>41.464527097068526</v>
      </c>
      <c r="O13" s="103">
        <v>37.047598037090623</v>
      </c>
      <c r="P13" s="103">
        <v>41.962914740784115</v>
      </c>
      <c r="Q13" s="103">
        <v>33.046600065584236</v>
      </c>
      <c r="R13" s="103">
        <v>9.2183600000000001E-3</v>
      </c>
      <c r="S13" s="103">
        <f t="shared" si="0"/>
        <v>9.2183600000000006</v>
      </c>
      <c r="T13" s="103">
        <v>1E-4</v>
      </c>
      <c r="U13" s="103">
        <v>223.20484261501213</v>
      </c>
      <c r="V13" s="103">
        <v>0.46</v>
      </c>
      <c r="W13" s="103">
        <v>41.3</v>
      </c>
      <c r="X13" s="103">
        <v>6.1800000000000068</v>
      </c>
      <c r="Y13" s="103">
        <v>82.45</v>
      </c>
      <c r="Z13" s="103">
        <v>1.0000000000000001E-5</v>
      </c>
      <c r="AA13" s="103">
        <v>63.138836666666656</v>
      </c>
      <c r="AB13" s="103">
        <v>-63.19</v>
      </c>
      <c r="AC13" s="103">
        <v>0.96371228070176296</v>
      </c>
      <c r="AD13" s="103">
        <v>-34.293623333333322</v>
      </c>
    </row>
    <row r="14" spans="1:30" s="103" customFormat="1" x14ac:dyDescent="0.3">
      <c r="A14" s="103" t="s">
        <v>61</v>
      </c>
      <c r="B14" s="103">
        <v>3</v>
      </c>
      <c r="C14" s="103">
        <v>1</v>
      </c>
      <c r="D14" s="103">
        <v>3</v>
      </c>
      <c r="E14" s="103" t="s">
        <v>253</v>
      </c>
      <c r="F14" s="103">
        <v>0.95915493333333335</v>
      </c>
      <c r="G14" s="103">
        <v>-9.5256931034482779</v>
      </c>
      <c r="H14" s="103">
        <v>148.16</v>
      </c>
      <c r="I14" s="103">
        <v>78.959999999999994</v>
      </c>
      <c r="J14" s="103">
        <v>15</v>
      </c>
      <c r="K14" s="103">
        <v>131.09596224436262</v>
      </c>
      <c r="L14" s="103">
        <v>26</v>
      </c>
      <c r="M14" s="103">
        <v>128.63979023999968</v>
      </c>
      <c r="N14" s="103">
        <v>48.787627457676834</v>
      </c>
      <c r="O14" s="103">
        <v>35.00851938935385</v>
      </c>
      <c r="P14" s="103">
        <v>53.904474963360116</v>
      </c>
      <c r="Q14" s="103">
        <v>28.918192264944416</v>
      </c>
      <c r="R14" s="103">
        <v>6.0709800000000001E-3</v>
      </c>
      <c r="S14" s="103">
        <f t="shared" si="0"/>
        <v>6.0709800000000005</v>
      </c>
      <c r="T14" s="103">
        <v>1E-4</v>
      </c>
      <c r="U14" s="103">
        <v>152.658910629297</v>
      </c>
      <c r="V14" s="103">
        <v>1.25</v>
      </c>
      <c r="W14" s="103">
        <v>23.9</v>
      </c>
      <c r="X14" s="103">
        <v>4.32</v>
      </c>
      <c r="Y14" s="103">
        <v>57.7</v>
      </c>
      <c r="Z14" s="103">
        <v>1.0000000000000001E-5</v>
      </c>
      <c r="AA14" s="103">
        <v>59.560143333333357</v>
      </c>
      <c r="AB14" s="103">
        <v>-68.900000000000006</v>
      </c>
      <c r="AC14" s="103">
        <v>0.50862708333333884</v>
      </c>
      <c r="AD14" s="103">
        <v>-16.963699999999999</v>
      </c>
    </row>
    <row r="15" spans="1:30" s="103" customFormat="1" x14ac:dyDescent="0.3">
      <c r="A15" s="103" t="s">
        <v>64</v>
      </c>
      <c r="B15" s="103">
        <v>3</v>
      </c>
      <c r="C15" s="103">
        <v>1</v>
      </c>
      <c r="D15" s="103">
        <v>3</v>
      </c>
      <c r="E15" s="103" t="s">
        <v>253</v>
      </c>
      <c r="F15" s="103">
        <v>1.1003613333333333</v>
      </c>
      <c r="G15" s="103">
        <v>-9.2478724137931021</v>
      </c>
      <c r="H15" s="103">
        <v>149.30000000000001</v>
      </c>
      <c r="I15" s="103">
        <v>72.8</v>
      </c>
      <c r="J15" s="103">
        <v>16.923076923076923</v>
      </c>
      <c r="K15" s="103">
        <v>128.98232942086909</v>
      </c>
      <c r="L15" s="103">
        <v>26</v>
      </c>
      <c r="M15" s="103">
        <v>91.481160293845761</v>
      </c>
      <c r="N15" s="103">
        <v>47.709923664122051</v>
      </c>
      <c r="O15" s="103">
        <v>32.287966252831055</v>
      </c>
      <c r="P15" s="103">
        <v>52.14115166923014</v>
      </c>
      <c r="Q15" s="103">
        <v>28.614095472321939</v>
      </c>
      <c r="R15" s="103">
        <v>1.6213399999999999E-2</v>
      </c>
      <c r="S15" s="103">
        <f t="shared" si="0"/>
        <v>16.2134</v>
      </c>
      <c r="T15" s="103">
        <v>3.7199999999999989</v>
      </c>
      <c r="U15" s="103">
        <v>229.6515580736544</v>
      </c>
      <c r="V15" s="103">
        <v>0.57999999999999996</v>
      </c>
      <c r="W15" s="103">
        <v>70.599999999999994</v>
      </c>
      <c r="X15" s="103">
        <v>4.9200000000000017</v>
      </c>
      <c r="Y15" s="103">
        <v>55</v>
      </c>
      <c r="Z15" s="103">
        <v>1.0000000000000001E-5</v>
      </c>
      <c r="AA15" s="103">
        <v>63.806149999999995</v>
      </c>
      <c r="AB15" s="103">
        <v>-66.5</v>
      </c>
      <c r="AC15" s="103">
        <v>2.6702885416666602</v>
      </c>
      <c r="AD15" s="103">
        <v>-19.964603333333333</v>
      </c>
    </row>
    <row r="16" spans="1:30" s="103" customFormat="1" x14ac:dyDescent="0.3">
      <c r="A16" s="103" t="s">
        <v>67</v>
      </c>
      <c r="B16" s="103">
        <v>3</v>
      </c>
      <c r="C16" s="103">
        <v>1</v>
      </c>
      <c r="D16" s="103">
        <v>3</v>
      </c>
      <c r="E16" s="103" t="s">
        <v>253</v>
      </c>
      <c r="F16" s="103">
        <v>0.90819736666666651</v>
      </c>
      <c r="G16" s="103">
        <v>-9.6688068965517218</v>
      </c>
      <c r="H16" s="103">
        <v>165.2</v>
      </c>
      <c r="I16" s="103">
        <v>84</v>
      </c>
      <c r="J16" s="103">
        <v>16.363636363636363</v>
      </c>
      <c r="K16" s="103">
        <v>114.42956860052632</v>
      </c>
      <c r="L16" s="103">
        <v>25</v>
      </c>
      <c r="M16" s="103">
        <v>91.621163991744851</v>
      </c>
      <c r="N16" s="103">
        <v>47.705371624844979</v>
      </c>
      <c r="O16" s="103">
        <v>33.57948829193321</v>
      </c>
      <c r="P16" s="103">
        <v>52.379576755619638</v>
      </c>
      <c r="Q16" s="103">
        <v>27.988092482965587</v>
      </c>
      <c r="R16" s="103">
        <v>1.43082E-2</v>
      </c>
      <c r="S16" s="103">
        <f t="shared" si="0"/>
        <v>14.308199999999999</v>
      </c>
      <c r="T16" s="103">
        <v>3.7000000000000171</v>
      </c>
      <c r="U16" s="103">
        <v>444.07821229050279</v>
      </c>
      <c r="V16" s="103">
        <v>0.78</v>
      </c>
      <c r="W16" s="103">
        <v>32.22</v>
      </c>
      <c r="X16" s="103">
        <v>4.0600000000000023</v>
      </c>
      <c r="Y16" s="103">
        <v>53.715000000000003</v>
      </c>
      <c r="Z16" s="103">
        <v>1.0000000000000001E-5</v>
      </c>
      <c r="AA16" s="103">
        <v>60.386150000000015</v>
      </c>
      <c r="AB16" s="103">
        <v>-66.2</v>
      </c>
      <c r="AC16" s="103">
        <v>2.03450625000001</v>
      </c>
      <c r="AD16" s="103">
        <v>-34.230540000000005</v>
      </c>
    </row>
    <row r="17" spans="1:30" s="103" customFormat="1" x14ac:dyDescent="0.3">
      <c r="A17" s="103" t="s">
        <v>71</v>
      </c>
      <c r="B17" s="103">
        <v>3</v>
      </c>
      <c r="C17" s="103">
        <v>1</v>
      </c>
      <c r="D17" s="103">
        <v>2</v>
      </c>
      <c r="E17" s="103" t="s">
        <v>253</v>
      </c>
      <c r="F17" s="103">
        <v>1.4320226666666671</v>
      </c>
      <c r="G17" s="103">
        <v>-8.5112551724137901</v>
      </c>
      <c r="H17" s="103">
        <v>126.8</v>
      </c>
      <c r="I17" s="103">
        <v>52.1</v>
      </c>
      <c r="J17" s="103">
        <v>44</v>
      </c>
      <c r="K17" s="103">
        <v>62.586055826761765</v>
      </c>
      <c r="L17" s="103">
        <v>15</v>
      </c>
      <c r="M17" s="103">
        <v>179.3050900469558</v>
      </c>
      <c r="N17" s="103">
        <v>27.057741219762956</v>
      </c>
      <c r="O17" s="103">
        <v>82.595498245948818</v>
      </c>
      <c r="P17" s="103">
        <v>31.007337360199497</v>
      </c>
      <c r="Q17" s="103">
        <v>68.605380947016997</v>
      </c>
      <c r="R17" s="103">
        <v>3.0579800000000001E-2</v>
      </c>
      <c r="S17" s="103">
        <f t="shared" si="0"/>
        <v>30.579800000000002</v>
      </c>
      <c r="T17" s="103">
        <v>14.389999999999986</v>
      </c>
      <c r="U17" s="103">
        <v>188.76419753086421</v>
      </c>
      <c r="V17" s="103">
        <v>0.13</v>
      </c>
      <c r="W17" s="103">
        <v>162</v>
      </c>
      <c r="X17" s="103">
        <v>1.9399999999999977</v>
      </c>
      <c r="Y17" s="103">
        <v>69.5</v>
      </c>
      <c r="Z17" s="103">
        <v>1.0000000000000001E-5</v>
      </c>
      <c r="AA17" s="103">
        <v>73.154700000000005</v>
      </c>
      <c r="AB17" s="103">
        <v>-79</v>
      </c>
      <c r="AC17" s="103">
        <v>27.514260317460302</v>
      </c>
      <c r="AD17" s="103">
        <v>-52.331533333333333</v>
      </c>
    </row>
    <row r="18" spans="1:30" s="103" customFormat="1" ht="15" thickBot="1" x14ac:dyDescent="0.35">
      <c r="A18" s="103" t="s">
        <v>74</v>
      </c>
      <c r="B18" s="103">
        <v>3</v>
      </c>
      <c r="C18" s="103">
        <v>1</v>
      </c>
      <c r="D18" s="103">
        <v>3</v>
      </c>
      <c r="E18" s="103" t="s">
        <v>253</v>
      </c>
      <c r="F18" s="103">
        <v>1.6449433333333336</v>
      </c>
      <c r="G18" s="103">
        <v>-7.7430448275861998</v>
      </c>
      <c r="H18" s="103">
        <v>94.8</v>
      </c>
      <c r="I18" s="103">
        <v>48.9</v>
      </c>
      <c r="J18" s="103">
        <v>25.714285714285715</v>
      </c>
      <c r="K18" s="103">
        <v>76.103500761034923</v>
      </c>
      <c r="L18" s="103">
        <v>17</v>
      </c>
      <c r="M18" s="103">
        <v>139.57473569397817</v>
      </c>
      <c r="N18" s="103">
        <v>30.861339999382754</v>
      </c>
      <c r="O18" s="103">
        <v>56.973205659742888</v>
      </c>
      <c r="P18" s="103">
        <v>35.326528348875897</v>
      </c>
      <c r="Q18" s="103">
        <v>50.102981162931712</v>
      </c>
      <c r="R18" s="103">
        <v>2.3177E-2</v>
      </c>
      <c r="S18" s="103">
        <f t="shared" si="0"/>
        <v>23.177</v>
      </c>
      <c r="T18" s="103">
        <v>9.3100000000000023</v>
      </c>
      <c r="U18" s="103">
        <v>175.58333333333334</v>
      </c>
      <c r="V18" s="103">
        <v>0.13</v>
      </c>
      <c r="W18" s="103">
        <v>132</v>
      </c>
      <c r="X18" s="103">
        <v>8.8500000000000085</v>
      </c>
      <c r="Y18" s="103">
        <v>92.78</v>
      </c>
      <c r="Z18" s="103">
        <v>0.74000000000000199</v>
      </c>
      <c r="AA18" s="103">
        <v>64.003489999999999</v>
      </c>
      <c r="AB18" s="103">
        <v>-60</v>
      </c>
      <c r="AC18" s="103">
        <v>11.6086470588235</v>
      </c>
      <c r="AD18" s="103">
        <v>-36.942546666666665</v>
      </c>
    </row>
    <row r="19" spans="1:30" s="200" customFormat="1" ht="15" thickBot="1" x14ac:dyDescent="0.35">
      <c r="A19" s="199" t="s">
        <v>30</v>
      </c>
      <c r="B19" s="200">
        <v>3</v>
      </c>
      <c r="C19" s="200">
        <v>2</v>
      </c>
      <c r="D19" s="200">
        <v>3</v>
      </c>
      <c r="E19" s="200" t="s">
        <v>254</v>
      </c>
      <c r="F19" s="200">
        <v>1.4358890909090911</v>
      </c>
      <c r="G19" s="200">
        <v>-7.8094600000000014</v>
      </c>
      <c r="H19" s="200">
        <v>93</v>
      </c>
      <c r="I19" s="200">
        <v>48.1</v>
      </c>
      <c r="J19" s="200">
        <v>34.285714285714285</v>
      </c>
      <c r="K19" s="200">
        <v>102.63779123473267</v>
      </c>
      <c r="L19" s="200">
        <v>25</v>
      </c>
      <c r="M19" s="200">
        <v>172.83982627878282</v>
      </c>
      <c r="N19" s="200">
        <v>45.777065690089444</v>
      </c>
      <c r="O19" s="200">
        <v>71.600813090149316</v>
      </c>
      <c r="P19" s="200">
        <v>50.066064513770904</v>
      </c>
      <c r="Q19" s="200">
        <v>65.818856974088334</v>
      </c>
      <c r="R19" s="200">
        <v>1.7831300000000001E-2</v>
      </c>
      <c r="S19" s="200">
        <f t="shared" si="0"/>
        <v>17.831300000000002</v>
      </c>
      <c r="T19" s="200">
        <v>1.5</v>
      </c>
      <c r="U19" s="200">
        <v>209.78</v>
      </c>
      <c r="V19" s="200">
        <v>0.15</v>
      </c>
      <c r="W19" s="200">
        <v>85</v>
      </c>
      <c r="X19" s="200">
        <v>4.8500000000000085</v>
      </c>
      <c r="Y19" s="200">
        <v>64.245000000000005</v>
      </c>
      <c r="Z19" s="200">
        <v>1.0000000000000001E-5</v>
      </c>
      <c r="AA19" s="200">
        <v>53.383559090909102</v>
      </c>
      <c r="AB19" s="200">
        <v>-66.3</v>
      </c>
      <c r="AD19" s="200">
        <v>-33.13098636363636</v>
      </c>
    </row>
    <row r="20" spans="1:30" s="103" customFormat="1" x14ac:dyDescent="0.3">
      <c r="A20" s="103" t="s">
        <v>33</v>
      </c>
      <c r="B20" s="103">
        <v>3</v>
      </c>
      <c r="C20" s="103">
        <v>2</v>
      </c>
      <c r="D20" s="103">
        <v>3</v>
      </c>
      <c r="E20" s="103" t="s">
        <v>254</v>
      </c>
      <c r="F20" s="103">
        <v>1.0472443333333332</v>
      </c>
      <c r="G20" s="103">
        <v>-6.9874517241379301</v>
      </c>
      <c r="H20" s="103">
        <v>143.30000000000001</v>
      </c>
      <c r="I20" s="103">
        <v>74.5</v>
      </c>
      <c r="J20" s="103">
        <v>15.454545454545455</v>
      </c>
      <c r="K20" s="103">
        <v>112.04481792717073</v>
      </c>
      <c r="L20" s="103">
        <v>24</v>
      </c>
      <c r="M20" s="103">
        <v>92.214796550053876</v>
      </c>
      <c r="N20" s="103">
        <v>44.939780693870311</v>
      </c>
      <c r="O20" s="103">
        <v>29.53707288819966</v>
      </c>
      <c r="P20" s="103">
        <v>49.337156470038387</v>
      </c>
      <c r="Q20" s="103">
        <v>25.765695733953411</v>
      </c>
      <c r="R20" s="103">
        <v>1.03569E-2</v>
      </c>
      <c r="S20" s="103">
        <f t="shared" si="0"/>
        <v>10.356900000000001</v>
      </c>
      <c r="T20" s="103">
        <v>1.1700000000000017</v>
      </c>
      <c r="U20" s="103">
        <v>217.58193277310923</v>
      </c>
      <c r="V20" s="103">
        <v>0.43</v>
      </c>
      <c r="W20" s="103">
        <v>47.6</v>
      </c>
      <c r="X20" s="103">
        <v>4.8900000000000006</v>
      </c>
      <c r="Y20" s="103">
        <v>54.36</v>
      </c>
      <c r="Z20" s="103">
        <v>1.0000000000000001E-5</v>
      </c>
      <c r="AA20" s="103">
        <v>64.790856666666656</v>
      </c>
      <c r="AB20" s="103">
        <v>-66.099999999999994</v>
      </c>
      <c r="AC20" s="103">
        <v>0.98217471264367096</v>
      </c>
      <c r="AD20" s="103">
        <v>-42.195643330000003</v>
      </c>
    </row>
    <row r="21" spans="1:30" s="103" customFormat="1" x14ac:dyDescent="0.3">
      <c r="A21" s="103" t="s">
        <v>35</v>
      </c>
      <c r="B21" s="103">
        <v>3</v>
      </c>
      <c r="C21" s="103">
        <v>2</v>
      </c>
      <c r="D21" s="103">
        <v>3</v>
      </c>
      <c r="E21" s="103" t="s">
        <v>254</v>
      </c>
      <c r="F21" s="103">
        <v>1.2507579999999996</v>
      </c>
      <c r="G21" s="103">
        <v>-3.1778999999999984</v>
      </c>
      <c r="H21" s="103">
        <v>98.6</v>
      </c>
      <c r="I21" s="103">
        <v>55</v>
      </c>
      <c r="J21" s="103">
        <v>28.333333333333332</v>
      </c>
      <c r="K21" s="103">
        <v>110.90163025396478</v>
      </c>
      <c r="L21" s="103">
        <v>21</v>
      </c>
      <c r="M21" s="103">
        <v>166.57421218663774</v>
      </c>
      <c r="N21" s="103">
        <v>41.701417848206809</v>
      </c>
      <c r="O21" s="103">
        <v>58.105359002158444</v>
      </c>
      <c r="P21" s="103">
        <v>44.032842462630597</v>
      </c>
      <c r="Q21" s="103">
        <v>62.816280028495441</v>
      </c>
      <c r="R21" s="103">
        <v>6.1029400000000003E-3</v>
      </c>
      <c r="S21" s="103">
        <f t="shared" si="0"/>
        <v>6.1029400000000003</v>
      </c>
      <c r="T21" s="103">
        <v>1E-4</v>
      </c>
      <c r="U21" s="103">
        <v>117.81737451737452</v>
      </c>
      <c r="V21" s="103">
        <v>0.9</v>
      </c>
      <c r="W21" s="103">
        <v>51.8</v>
      </c>
      <c r="X21" s="103">
        <v>2.0889999999999986</v>
      </c>
      <c r="Y21" s="103">
        <v>62.637365000000003</v>
      </c>
      <c r="Z21" s="103">
        <v>1.0000000000000001E-5</v>
      </c>
      <c r="AA21" s="103">
        <v>50.626626666666667</v>
      </c>
      <c r="AB21" s="103">
        <v>-72</v>
      </c>
      <c r="AD21" s="103">
        <v>-21.903483333333334</v>
      </c>
    </row>
    <row r="22" spans="1:30" s="103" customFormat="1" x14ac:dyDescent="0.3">
      <c r="A22" s="103" t="s">
        <v>37</v>
      </c>
      <c r="B22" s="103">
        <v>3</v>
      </c>
      <c r="C22" s="103">
        <v>2</v>
      </c>
      <c r="D22" s="103">
        <v>3</v>
      </c>
      <c r="E22" s="103" t="s">
        <v>254</v>
      </c>
      <c r="F22" s="103">
        <v>1.1589092000000001</v>
      </c>
      <c r="G22" s="103">
        <v>-11.591570833333334</v>
      </c>
      <c r="H22" s="103">
        <v>175.8</v>
      </c>
      <c r="I22" s="103">
        <v>75.5</v>
      </c>
      <c r="J22" s="103">
        <v>13.029851672562543</v>
      </c>
      <c r="K22" s="103">
        <v>110.21712774165096</v>
      </c>
      <c r="L22" s="103">
        <v>23</v>
      </c>
      <c r="M22" s="103">
        <v>190.79118268664479</v>
      </c>
      <c r="N22" s="103">
        <v>44.089766765133731</v>
      </c>
      <c r="O22" s="103">
        <v>59.442830078058805</v>
      </c>
      <c r="P22" s="103">
        <v>47.009370733252446</v>
      </c>
      <c r="Q22" s="103">
        <v>47.413919200919246</v>
      </c>
      <c r="R22" s="103">
        <v>2.5238300000000002E-2</v>
      </c>
      <c r="S22" s="103">
        <f t="shared" si="0"/>
        <v>25.238300000000002</v>
      </c>
      <c r="T22" s="103">
        <v>18.699999999999989</v>
      </c>
      <c r="U22" s="103">
        <v>156.85705407085146</v>
      </c>
      <c r="V22" s="103">
        <v>0.12</v>
      </c>
      <c r="W22" s="103">
        <v>160.9</v>
      </c>
      <c r="X22" s="103">
        <v>9.9399999999999977</v>
      </c>
      <c r="Y22" s="103">
        <v>113</v>
      </c>
      <c r="Z22" s="103">
        <v>1.0000000000000001E-5</v>
      </c>
      <c r="AA22" s="103">
        <v>76.433104</v>
      </c>
      <c r="AB22" s="103">
        <v>-68</v>
      </c>
      <c r="AC22" s="103">
        <v>27.4658208333334</v>
      </c>
      <c r="AD22" s="103">
        <v>-50.200203999999992</v>
      </c>
    </row>
    <row r="23" spans="1:30" s="103" customFormat="1" x14ac:dyDescent="0.3">
      <c r="A23" s="103" t="s">
        <v>39</v>
      </c>
      <c r="B23" s="103">
        <v>3</v>
      </c>
      <c r="C23" s="103">
        <v>2</v>
      </c>
      <c r="D23" s="103">
        <v>3</v>
      </c>
      <c r="E23" s="103" t="s">
        <v>254</v>
      </c>
      <c r="F23" s="103">
        <v>0.78696290000000013</v>
      </c>
      <c r="G23" s="103">
        <v>-16.174316666666673</v>
      </c>
      <c r="H23" s="103">
        <v>147.19999999999999</v>
      </c>
      <c r="I23" s="103">
        <v>91.8</v>
      </c>
      <c r="J23" s="103">
        <v>36.666666666666664</v>
      </c>
      <c r="K23" s="103">
        <v>42.74417610600554</v>
      </c>
      <c r="L23" s="103">
        <v>16</v>
      </c>
      <c r="M23" s="103">
        <v>91.551124469211729</v>
      </c>
      <c r="N23" s="103">
        <v>32.621105855488473</v>
      </c>
      <c r="O23" s="103">
        <v>65.630454844507298</v>
      </c>
      <c r="P23" s="103">
        <v>33.772148991559966</v>
      </c>
      <c r="Q23" s="103">
        <v>67.844474162050943</v>
      </c>
      <c r="R23" s="103">
        <v>2.2071400000000001E-2</v>
      </c>
      <c r="S23" s="103">
        <f t="shared" si="0"/>
        <v>22.071400000000001</v>
      </c>
      <c r="T23" s="103">
        <v>16.099999999999994</v>
      </c>
      <c r="U23" s="103">
        <v>246.33258928571433</v>
      </c>
      <c r="V23" s="103">
        <v>0.2</v>
      </c>
      <c r="W23" s="103">
        <v>89.6</v>
      </c>
      <c r="X23" s="103">
        <v>6.5300000000000011</v>
      </c>
      <c r="Y23" s="103">
        <v>76.02</v>
      </c>
      <c r="Z23" s="103">
        <v>0.78600000000000136</v>
      </c>
      <c r="AA23" s="103">
        <v>58.83789666666668</v>
      </c>
      <c r="AB23" s="103">
        <v>-73</v>
      </c>
      <c r="AC23" s="103">
        <v>20.490373809523799</v>
      </c>
      <c r="AD23" s="103">
        <v>-48.687733333333327</v>
      </c>
    </row>
    <row r="24" spans="1:30" s="103" customFormat="1" x14ac:dyDescent="0.3">
      <c r="A24" s="103" t="s">
        <v>41</v>
      </c>
      <c r="B24" s="103">
        <v>3</v>
      </c>
      <c r="C24" s="103">
        <v>2</v>
      </c>
      <c r="D24" s="103">
        <v>2</v>
      </c>
      <c r="E24" s="103" t="s">
        <v>254</v>
      </c>
      <c r="F24" s="103">
        <v>1.4000260000000002</v>
      </c>
      <c r="G24" s="103">
        <v>-12.82754583333333</v>
      </c>
      <c r="H24" s="103">
        <v>81.099999999999994</v>
      </c>
      <c r="I24" s="103">
        <v>48.4</v>
      </c>
      <c r="J24" s="103">
        <v>31.111111111111111</v>
      </c>
      <c r="K24" s="103">
        <v>78.204426370532531</v>
      </c>
      <c r="L24" s="103">
        <v>18</v>
      </c>
      <c r="M24" s="103">
        <v>146.45045631070948</v>
      </c>
      <c r="N24" s="103">
        <v>35.737259666928779</v>
      </c>
      <c r="O24" s="103">
        <v>55.332610478661039</v>
      </c>
      <c r="P24" s="103">
        <v>37.590771422035807</v>
      </c>
      <c r="Q24" s="103">
        <v>48.983887883387276</v>
      </c>
      <c r="R24" s="103">
        <v>1.7332699999999999E-2</v>
      </c>
      <c r="S24" s="103">
        <f t="shared" si="0"/>
        <v>17.332699999999999</v>
      </c>
      <c r="T24" s="103">
        <v>14.400000000000006</v>
      </c>
      <c r="U24" s="103">
        <v>147.13667232597621</v>
      </c>
      <c r="V24" s="103">
        <v>0.22500000000000001</v>
      </c>
      <c r="W24" s="103">
        <v>117.8</v>
      </c>
      <c r="X24" s="103">
        <v>4.1670000000000016</v>
      </c>
      <c r="Y24" s="103">
        <v>78.669484999999995</v>
      </c>
      <c r="Z24" s="103">
        <v>1.0000000000000001E-5</v>
      </c>
      <c r="AA24" s="103">
        <v>47.026376000000006</v>
      </c>
      <c r="AB24" s="103">
        <v>-60</v>
      </c>
      <c r="AC24" s="103">
        <v>10.744731249999999</v>
      </c>
      <c r="AD24" s="103">
        <v>-19.418948000000004</v>
      </c>
    </row>
    <row r="25" spans="1:30" s="103" customFormat="1" x14ac:dyDescent="0.3">
      <c r="A25" s="103" t="s">
        <v>43</v>
      </c>
      <c r="B25" s="103">
        <v>3</v>
      </c>
      <c r="C25" s="103">
        <v>2</v>
      </c>
      <c r="D25" s="103">
        <v>2</v>
      </c>
      <c r="E25" s="103" t="s">
        <v>254</v>
      </c>
      <c r="F25" s="103">
        <v>1.3265130000000001</v>
      </c>
      <c r="G25" s="103">
        <v>-5.9461157894736854</v>
      </c>
      <c r="H25" s="103">
        <v>128.1</v>
      </c>
      <c r="I25" s="103">
        <v>57.6</v>
      </c>
      <c r="J25" s="103">
        <v>40</v>
      </c>
      <c r="K25" s="103">
        <v>90.637179370978075</v>
      </c>
      <c r="L25" s="103">
        <v>17</v>
      </c>
      <c r="M25" s="103">
        <v>254.44496906677338</v>
      </c>
      <c r="N25" s="103">
        <v>31.769228325444001</v>
      </c>
      <c r="O25" s="103">
        <v>82.524023628216725</v>
      </c>
      <c r="P25" s="103">
        <v>36.203422211125364</v>
      </c>
      <c r="Q25" s="103">
        <v>63.842235168499698</v>
      </c>
      <c r="R25" s="103">
        <v>1.4704200000000001E-2</v>
      </c>
      <c r="S25" s="103">
        <f t="shared" si="0"/>
        <v>14.7042</v>
      </c>
      <c r="T25" s="103">
        <v>10.060000000000002</v>
      </c>
      <c r="U25" s="103">
        <v>189.24324324324326</v>
      </c>
      <c r="V25" s="103">
        <v>0.193</v>
      </c>
      <c r="W25" s="103">
        <v>77.7</v>
      </c>
      <c r="X25" s="103">
        <v>3.8799999999999955</v>
      </c>
      <c r="Y25" s="103">
        <v>75.190010000000001</v>
      </c>
      <c r="Z25" s="103">
        <v>0.42999999999999972</v>
      </c>
      <c r="AA25" s="103">
        <v>64.730820000000008</v>
      </c>
      <c r="AB25" s="103">
        <v>-64.599999999999994</v>
      </c>
      <c r="AC25" s="103">
        <v>2.9919196078431436</v>
      </c>
      <c r="AD25" s="103">
        <v>-39.520254999999999</v>
      </c>
    </row>
    <row r="26" spans="1:30" s="103" customFormat="1" x14ac:dyDescent="0.3">
      <c r="A26" s="103" t="s">
        <v>45</v>
      </c>
      <c r="B26" s="103">
        <v>3</v>
      </c>
      <c r="C26" s="103">
        <v>2</v>
      </c>
      <c r="D26" s="103">
        <v>3</v>
      </c>
      <c r="E26" s="103" t="s">
        <v>254</v>
      </c>
      <c r="F26" s="103">
        <v>1.4607985185185184</v>
      </c>
      <c r="G26" s="103">
        <v>-8.9745423076923068</v>
      </c>
      <c r="H26" s="103">
        <v>89.2</v>
      </c>
      <c r="I26" s="103">
        <v>48</v>
      </c>
      <c r="J26" s="103">
        <v>32</v>
      </c>
      <c r="K26" s="103">
        <v>67.226890756302524</v>
      </c>
      <c r="L26" s="103">
        <v>13</v>
      </c>
      <c r="M26" s="103">
        <v>227.72860958831171</v>
      </c>
      <c r="N26" s="103">
        <v>29.792939073439648</v>
      </c>
      <c r="O26" s="103">
        <v>73.301080146631165</v>
      </c>
      <c r="P26" s="103">
        <v>30.471434164217531</v>
      </c>
      <c r="Q26" s="103">
        <v>68.043744534315891</v>
      </c>
      <c r="R26" s="103">
        <v>1.64937E-2</v>
      </c>
      <c r="S26" s="103">
        <f t="shared" si="0"/>
        <v>16.4937</v>
      </c>
      <c r="T26" s="103">
        <v>7.9000000000000057</v>
      </c>
      <c r="U26" s="103">
        <v>241.84310850439883</v>
      </c>
      <c r="V26" s="103">
        <v>0.37</v>
      </c>
      <c r="W26" s="103">
        <v>68.2</v>
      </c>
      <c r="X26" s="103">
        <v>3.2499999999999929</v>
      </c>
      <c r="Y26" s="103">
        <v>82.601534999999998</v>
      </c>
      <c r="Z26" s="103">
        <v>1.5</v>
      </c>
      <c r="AA26" s="103">
        <v>53.335685185185184</v>
      </c>
      <c r="AB26" s="103">
        <v>-65</v>
      </c>
      <c r="AC26" s="103">
        <v>6.8028760416666598</v>
      </c>
      <c r="AD26" s="103">
        <v>-26.247370370370366</v>
      </c>
    </row>
    <row r="27" spans="1:30" s="103" customFormat="1" x14ac:dyDescent="0.3">
      <c r="A27" s="103" t="s">
        <v>47</v>
      </c>
      <c r="B27" s="103">
        <v>3</v>
      </c>
      <c r="C27" s="103">
        <v>2</v>
      </c>
      <c r="D27" s="103">
        <v>2</v>
      </c>
      <c r="E27" s="103" t="s">
        <v>254</v>
      </c>
      <c r="F27" s="103">
        <v>0.80528522222222232</v>
      </c>
      <c r="G27" s="103">
        <v>-16.350655555555552</v>
      </c>
      <c r="H27" s="103">
        <v>242.83</v>
      </c>
      <c r="I27" s="103">
        <v>108.28</v>
      </c>
      <c r="J27" s="103">
        <v>20.512820512820515</v>
      </c>
      <c r="K27" s="103">
        <v>117.564072419469</v>
      </c>
      <c r="L27" s="103">
        <v>27</v>
      </c>
      <c r="M27" s="103">
        <v>80.207995611616411</v>
      </c>
      <c r="N27" s="103">
        <v>51.816156277527391</v>
      </c>
      <c r="O27" s="103">
        <v>37.894910448061282</v>
      </c>
      <c r="P27" s="103">
        <v>54.507303433487827</v>
      </c>
      <c r="Q27" s="103">
        <v>32.050578331655522</v>
      </c>
      <c r="R27" s="103">
        <v>9.3377300000000007E-3</v>
      </c>
      <c r="S27" s="103">
        <f t="shared" si="0"/>
        <v>9.3377300000000005</v>
      </c>
      <c r="T27" s="103">
        <v>7.789999999999992</v>
      </c>
      <c r="U27" s="103">
        <v>133.39614285714288</v>
      </c>
      <c r="V27" s="103">
        <v>0.35</v>
      </c>
      <c r="W27" s="103">
        <v>70</v>
      </c>
      <c r="X27" s="103">
        <v>7.2740000000000009</v>
      </c>
      <c r="Y27" s="103">
        <v>65.582104999999999</v>
      </c>
      <c r="Z27" s="103">
        <v>0.27499999999999858</v>
      </c>
      <c r="AA27" s="103">
        <v>75.873488888888886</v>
      </c>
      <c r="AB27" s="103">
        <v>-64.87</v>
      </c>
      <c r="AC27" s="103">
        <v>9.2188520833333296</v>
      </c>
      <c r="AD27" s="103">
        <v>-41.64631111111111</v>
      </c>
    </row>
    <row r="28" spans="1:30" s="103" customFormat="1" x14ac:dyDescent="0.3">
      <c r="A28" s="103" t="s">
        <v>49</v>
      </c>
      <c r="B28" s="103">
        <v>3</v>
      </c>
      <c r="C28" s="103">
        <v>2</v>
      </c>
      <c r="D28" s="103">
        <v>2</v>
      </c>
      <c r="E28" s="103" t="s">
        <v>254</v>
      </c>
      <c r="F28" s="103">
        <v>0.91917976470588258</v>
      </c>
      <c r="G28" s="103">
        <v>-12.113676470588233</v>
      </c>
      <c r="H28" s="103">
        <v>158.69999999999999</v>
      </c>
      <c r="I28" s="103">
        <v>90</v>
      </c>
      <c r="J28" s="103">
        <v>32</v>
      </c>
      <c r="K28" s="103">
        <v>132.27513227513222</v>
      </c>
      <c r="L28" s="103">
        <v>31</v>
      </c>
      <c r="M28" s="103">
        <v>146.60873092477297</v>
      </c>
      <c r="N28" s="103">
        <v>54.996425232359918</v>
      </c>
      <c r="O28" s="103">
        <v>60.768832035746527</v>
      </c>
      <c r="P28" s="103">
        <v>62.257869837245941</v>
      </c>
      <c r="Q28" s="103">
        <v>52.289326759343112</v>
      </c>
      <c r="R28" s="103">
        <v>1.29012E-2</v>
      </c>
      <c r="S28" s="103">
        <f t="shared" si="0"/>
        <v>12.901199999999999</v>
      </c>
      <c r="T28" s="103">
        <v>4.0499999999999972</v>
      </c>
      <c r="U28" s="103">
        <v>224.75958188153311</v>
      </c>
      <c r="V28" s="103">
        <v>0.67</v>
      </c>
      <c r="W28" s="103">
        <v>57.4</v>
      </c>
      <c r="X28" s="103">
        <v>5.0900000000000034</v>
      </c>
      <c r="Y28" s="103">
        <v>66.226915000000005</v>
      </c>
      <c r="Z28" s="103">
        <v>1.0000000000000001E-5</v>
      </c>
      <c r="AA28" s="103">
        <v>65.368652941176492</v>
      </c>
      <c r="AB28" s="103">
        <v>-68.2</v>
      </c>
      <c r="AC28" s="103">
        <v>2.73386666666668</v>
      </c>
      <c r="AD28" s="103">
        <v>-37.306841176470591</v>
      </c>
    </row>
    <row r="29" spans="1:30" s="103" customFormat="1" x14ac:dyDescent="0.3">
      <c r="A29" s="103" t="s">
        <v>52</v>
      </c>
      <c r="B29" s="103">
        <v>3</v>
      </c>
      <c r="C29" s="103">
        <v>2</v>
      </c>
      <c r="D29" s="103">
        <v>2</v>
      </c>
      <c r="E29" s="103" t="s">
        <v>254</v>
      </c>
      <c r="F29" s="103">
        <v>0.7873917241379309</v>
      </c>
      <c r="G29" s="103">
        <v>-15.096734482758624</v>
      </c>
      <c r="H29" s="103">
        <v>244.67</v>
      </c>
      <c r="I29" s="103">
        <v>114.75</v>
      </c>
      <c r="J29" s="103">
        <v>50</v>
      </c>
      <c r="K29" s="103">
        <v>139.0047261606897</v>
      </c>
      <c r="L29" s="103">
        <v>33</v>
      </c>
      <c r="M29" s="103">
        <v>85.430664010955908</v>
      </c>
      <c r="N29" s="103">
        <v>63.271116735210576</v>
      </c>
      <c r="O29" s="103">
        <v>74.568502447441347</v>
      </c>
      <c r="P29" s="103">
        <v>67.771236789718856</v>
      </c>
      <c r="Q29" s="103">
        <v>77.319395547671533</v>
      </c>
      <c r="R29" s="103">
        <v>1.1332E-2</v>
      </c>
      <c r="S29" s="103">
        <f t="shared" si="0"/>
        <v>11.332000000000001</v>
      </c>
      <c r="T29" s="103">
        <v>4.7399999999999949</v>
      </c>
      <c r="U29" s="103">
        <v>226.64000000000001</v>
      </c>
      <c r="V29" s="103">
        <v>0.49</v>
      </c>
      <c r="W29" s="103">
        <v>50</v>
      </c>
      <c r="X29" s="103">
        <v>6.7019999999999982</v>
      </c>
      <c r="Y29" s="103">
        <v>56.111409999999999</v>
      </c>
      <c r="Z29" s="103">
        <v>1.0000000000000001E-5</v>
      </c>
      <c r="AA29" s="103">
        <v>73.839920689655173</v>
      </c>
      <c r="AB29" s="103">
        <v>-64.599999999999994</v>
      </c>
      <c r="AC29" s="103">
        <v>4.9591062499999898</v>
      </c>
      <c r="AD29" s="103">
        <v>-40.733603448275865</v>
      </c>
    </row>
    <row r="30" spans="1:30" s="103" customFormat="1" x14ac:dyDescent="0.3">
      <c r="A30" s="103" t="s">
        <v>54</v>
      </c>
      <c r="B30" s="103">
        <v>3</v>
      </c>
      <c r="C30" s="103">
        <v>2</v>
      </c>
      <c r="D30" s="103">
        <v>2</v>
      </c>
      <c r="E30" s="103" t="s">
        <v>254</v>
      </c>
      <c r="F30" s="103">
        <v>0.96135249999999994</v>
      </c>
      <c r="G30" s="103">
        <v>-10.653427272727273</v>
      </c>
      <c r="H30" s="103">
        <v>139.80000000000001</v>
      </c>
      <c r="I30" s="103">
        <v>85.1</v>
      </c>
      <c r="J30" s="103">
        <v>20</v>
      </c>
      <c r="K30" s="103">
        <v>108.18998160770319</v>
      </c>
      <c r="L30" s="103">
        <v>28</v>
      </c>
      <c r="M30" s="103">
        <v>86.086095413210728</v>
      </c>
      <c r="N30" s="103">
        <v>50.942435048395325</v>
      </c>
      <c r="O30" s="103">
        <v>38.273365243423299</v>
      </c>
      <c r="P30" s="103">
        <v>55.721003397224052</v>
      </c>
      <c r="Q30" s="103">
        <v>33.919961181954775</v>
      </c>
      <c r="R30" s="103">
        <v>1.6192600000000001E-2</v>
      </c>
      <c r="S30" s="103">
        <f t="shared" si="0"/>
        <v>16.192600000000002</v>
      </c>
      <c r="T30" s="103">
        <v>2.6299999999999955</v>
      </c>
      <c r="U30" s="103">
        <v>289.15357142857147</v>
      </c>
      <c r="V30" s="103">
        <v>0.37</v>
      </c>
      <c r="W30" s="103">
        <v>56</v>
      </c>
      <c r="X30" s="103">
        <v>4.0869999999999891</v>
      </c>
      <c r="Y30" s="103">
        <v>73.680000000000007</v>
      </c>
      <c r="Z30" s="103">
        <v>1.0000000000000001E-5</v>
      </c>
      <c r="AA30" s="103">
        <v>55.225727272727269</v>
      </c>
      <c r="AB30" s="103">
        <v>-66.7</v>
      </c>
      <c r="AC30" s="103">
        <v>3.1153364583333398</v>
      </c>
      <c r="AD30" s="103">
        <v>-32.276499999999999</v>
      </c>
    </row>
    <row r="31" spans="1:30" s="103" customFormat="1" x14ac:dyDescent="0.3">
      <c r="A31" s="103" t="s">
        <v>57</v>
      </c>
      <c r="B31" s="103">
        <v>3</v>
      </c>
      <c r="C31" s="103">
        <v>2</v>
      </c>
      <c r="D31" s="103">
        <v>3</v>
      </c>
      <c r="E31" s="103" t="s">
        <v>254</v>
      </c>
      <c r="F31" s="103">
        <v>0.97377523333333349</v>
      </c>
      <c r="G31" s="103">
        <v>-9.1808929580032093</v>
      </c>
      <c r="H31" s="103">
        <v>130.5</v>
      </c>
      <c r="I31" s="103">
        <v>79.7</v>
      </c>
      <c r="J31" s="103">
        <v>20</v>
      </c>
      <c r="K31" s="103">
        <v>119.58861516383648</v>
      </c>
      <c r="L31" s="103">
        <v>28</v>
      </c>
      <c r="M31" s="103">
        <v>113.77190648768541</v>
      </c>
      <c r="N31" s="103">
        <v>51.538421893521566</v>
      </c>
      <c r="O31" s="103">
        <v>41.625570338561033</v>
      </c>
      <c r="P31" s="103">
        <v>55.724852305077142</v>
      </c>
      <c r="Q31" s="103">
        <v>36.632997111516389</v>
      </c>
      <c r="R31" s="103">
        <v>1.30648E-2</v>
      </c>
      <c r="S31" s="103">
        <f t="shared" si="0"/>
        <v>13.0648</v>
      </c>
      <c r="T31" s="103">
        <v>2.3900000000000006</v>
      </c>
      <c r="U31" s="103">
        <v>287.13846153846151</v>
      </c>
      <c r="V31" s="103">
        <v>0.45</v>
      </c>
      <c r="W31" s="103">
        <v>45.5</v>
      </c>
      <c r="X31" s="103">
        <v>5.0999999999999943</v>
      </c>
      <c r="Y31" s="103">
        <v>84.922084999999996</v>
      </c>
      <c r="Z31" s="103">
        <v>1.0000000000000001E-5</v>
      </c>
      <c r="AA31" s="103">
        <v>59.936526666666651</v>
      </c>
      <c r="AB31" s="103">
        <v>-64.8</v>
      </c>
      <c r="AC31" s="103">
        <v>1.3987218750000101</v>
      </c>
      <c r="AD31" s="103">
        <v>-35.300703333333324</v>
      </c>
    </row>
    <row r="32" spans="1:30" s="103" customFormat="1" x14ac:dyDescent="0.3">
      <c r="A32" s="103" t="s">
        <v>60</v>
      </c>
      <c r="B32" s="103">
        <v>3</v>
      </c>
      <c r="C32" s="103">
        <v>2</v>
      </c>
      <c r="D32" s="103">
        <v>3</v>
      </c>
      <c r="E32" s="103" t="s">
        <v>254</v>
      </c>
      <c r="F32" s="103">
        <v>1.0570581818181817</v>
      </c>
      <c r="G32" s="103">
        <v>-13.49432272727273</v>
      </c>
      <c r="H32" s="103">
        <v>123</v>
      </c>
      <c r="I32" s="103">
        <v>70.3</v>
      </c>
      <c r="J32" s="103">
        <v>36</v>
      </c>
      <c r="K32" s="103">
        <v>95.147478591817148</v>
      </c>
      <c r="L32" s="103">
        <v>26</v>
      </c>
      <c r="M32" s="103">
        <v>159.77354461153524</v>
      </c>
      <c r="N32" s="103">
        <v>47.438330170777895</v>
      </c>
      <c r="O32" s="103">
        <v>77.371654471361467</v>
      </c>
      <c r="P32" s="103">
        <v>51.906628279548833</v>
      </c>
      <c r="Q32" s="103">
        <v>69.715274361404894</v>
      </c>
      <c r="R32" s="103">
        <v>1.6072199999999998E-2</v>
      </c>
      <c r="S32" s="103">
        <f t="shared" si="0"/>
        <v>16.072199999999999</v>
      </c>
      <c r="T32" s="103">
        <v>15.199999999999989</v>
      </c>
      <c r="U32" s="103">
        <v>163.83486238532112</v>
      </c>
      <c r="V32" s="103">
        <v>0.25</v>
      </c>
      <c r="W32" s="103">
        <v>98.1</v>
      </c>
      <c r="X32" s="103">
        <v>4.5570000000000022</v>
      </c>
      <c r="Y32" s="103">
        <v>94.92698</v>
      </c>
      <c r="Z32" s="103">
        <v>1.0000000000000001E-5</v>
      </c>
      <c r="AA32" s="103">
        <v>66.716977272727277</v>
      </c>
      <c r="AB32" s="103">
        <v>-66.716977272727306</v>
      </c>
      <c r="AC32" s="103">
        <v>11.1897791666667</v>
      </c>
      <c r="AD32" s="103">
        <v>-38.743454545454547</v>
      </c>
    </row>
    <row r="33" spans="1:30" s="103" customFormat="1" x14ac:dyDescent="0.3">
      <c r="A33" s="103" t="s">
        <v>63</v>
      </c>
      <c r="B33" s="103">
        <v>3</v>
      </c>
      <c r="C33" s="103">
        <v>2</v>
      </c>
      <c r="D33" s="103">
        <v>3</v>
      </c>
      <c r="E33" s="103" t="s">
        <v>254</v>
      </c>
      <c r="F33" s="103">
        <v>1.0664890909090909</v>
      </c>
      <c r="G33" s="103">
        <v>-6.7471590909090926</v>
      </c>
      <c r="H33" s="103">
        <v>134.30000000000001</v>
      </c>
      <c r="I33" s="103">
        <v>68.099999999999994</v>
      </c>
      <c r="J33" s="103">
        <v>21.25</v>
      </c>
      <c r="K33" s="103">
        <v>130.0052002080082</v>
      </c>
      <c r="L33" s="103">
        <v>28</v>
      </c>
      <c r="M33" s="103">
        <v>113.75089352122228</v>
      </c>
      <c r="N33" s="103">
        <v>53.14343412871338</v>
      </c>
      <c r="O33" s="103">
        <v>43.538633562945535</v>
      </c>
      <c r="P33" s="103">
        <v>57.172885213390423</v>
      </c>
      <c r="Q33" s="103">
        <v>42.107213386725384</v>
      </c>
      <c r="R33" s="103">
        <v>1.6740999999999999E-2</v>
      </c>
      <c r="S33" s="103">
        <f t="shared" si="0"/>
        <v>16.741</v>
      </c>
      <c r="T33" s="103">
        <v>1E-4</v>
      </c>
      <c r="U33" s="103">
        <v>215.56785990213751</v>
      </c>
      <c r="V33" s="103">
        <v>0.2</v>
      </c>
      <c r="W33" s="103">
        <v>77.66</v>
      </c>
      <c r="X33" s="103">
        <v>8.2999999999999972</v>
      </c>
      <c r="Y33" s="103">
        <v>131.48515</v>
      </c>
      <c r="Z33" s="103">
        <v>0.67999999999999972</v>
      </c>
      <c r="AA33" s="103">
        <v>63.92876363636362</v>
      </c>
      <c r="AB33" s="103">
        <v>-66.819999999999993</v>
      </c>
      <c r="AC33" s="103">
        <v>0.49108850574712787</v>
      </c>
      <c r="AD33" s="103">
        <v>-43.684522727272721</v>
      </c>
    </row>
    <row r="34" spans="1:30" s="103" customFormat="1" ht="15" thickBot="1" x14ac:dyDescent="0.35">
      <c r="A34" s="103" t="s">
        <v>66</v>
      </c>
      <c r="B34" s="103">
        <v>3</v>
      </c>
      <c r="C34" s="103">
        <v>2</v>
      </c>
      <c r="D34" s="103">
        <v>3</v>
      </c>
      <c r="E34" s="103" t="s">
        <v>254</v>
      </c>
      <c r="F34" s="103">
        <v>0.73556913636363641</v>
      </c>
      <c r="G34" s="103">
        <v>-11.876895454545455</v>
      </c>
      <c r="H34" s="103">
        <v>225.83</v>
      </c>
      <c r="I34" s="103">
        <v>112.53</v>
      </c>
      <c r="J34" s="103">
        <v>18.18181818181818</v>
      </c>
      <c r="K34" s="103">
        <v>118.45534233593965</v>
      </c>
      <c r="L34" s="103">
        <v>27</v>
      </c>
      <c r="M34" s="103">
        <v>95.092073652603872</v>
      </c>
      <c r="N34" s="103">
        <v>55.524708495280429</v>
      </c>
      <c r="O34" s="103">
        <v>32.178374933567333</v>
      </c>
      <c r="P34" s="103">
        <v>55.295349871239971</v>
      </c>
      <c r="Q34" s="103">
        <v>37.892692813085901</v>
      </c>
      <c r="R34" s="103">
        <v>1.46721E-2</v>
      </c>
      <c r="S34" s="103">
        <f t="shared" si="0"/>
        <v>14.6721</v>
      </c>
      <c r="T34" s="103">
        <v>6.9300000000000068</v>
      </c>
      <c r="U34" s="103">
        <v>338.84757505773678</v>
      </c>
      <c r="V34" s="103">
        <v>0.4</v>
      </c>
      <c r="W34" s="103">
        <v>43.3</v>
      </c>
      <c r="X34" s="103">
        <v>5.25</v>
      </c>
      <c r="Y34" s="103">
        <v>80.538619999999995</v>
      </c>
      <c r="Z34" s="103">
        <v>0.90999999999999659</v>
      </c>
      <c r="AA34" s="103">
        <v>73.730463636363638</v>
      </c>
      <c r="AB34" s="103">
        <v>-64.349999999999994</v>
      </c>
      <c r="AC34" s="103">
        <v>5.8228942528735699</v>
      </c>
      <c r="AD34" s="103">
        <v>-39.966922727272731</v>
      </c>
    </row>
    <row r="35" spans="1:30" s="200" customFormat="1" ht="15" thickBot="1" x14ac:dyDescent="0.35">
      <c r="A35" s="199" t="s">
        <v>69</v>
      </c>
      <c r="B35" s="200">
        <v>3</v>
      </c>
      <c r="C35" s="200">
        <v>2</v>
      </c>
      <c r="D35" s="200">
        <v>3</v>
      </c>
      <c r="E35" s="200" t="s">
        <v>254</v>
      </c>
      <c r="F35" s="200">
        <v>0.82643472727272738</v>
      </c>
      <c r="G35" s="200">
        <v>-17.600322727272726</v>
      </c>
      <c r="H35" s="200">
        <v>188.42</v>
      </c>
      <c r="I35" s="200">
        <v>88.5</v>
      </c>
      <c r="J35" s="200">
        <v>22.727272727272727</v>
      </c>
      <c r="K35" s="200">
        <v>127.92631444288125</v>
      </c>
      <c r="L35" s="200">
        <v>32</v>
      </c>
      <c r="M35" s="200">
        <v>98.815956310326015</v>
      </c>
      <c r="N35" s="200">
        <v>59.63740458015257</v>
      </c>
      <c r="O35" s="200">
        <v>44.979572641845891</v>
      </c>
      <c r="P35" s="200">
        <v>63.558136743248845</v>
      </c>
      <c r="Q35" s="200">
        <v>38.8244591656822</v>
      </c>
      <c r="R35" s="200">
        <v>1.08548E-2</v>
      </c>
      <c r="S35" s="200">
        <f t="shared" si="0"/>
        <v>10.854799999999999</v>
      </c>
      <c r="T35" s="200">
        <v>6.1099999999999994</v>
      </c>
      <c r="U35" s="200">
        <v>201.7620817843866</v>
      </c>
      <c r="V35" s="200">
        <v>0.53</v>
      </c>
      <c r="W35" s="200">
        <v>53.8</v>
      </c>
      <c r="X35" s="200">
        <v>4.9470000000000027</v>
      </c>
      <c r="Y35" s="200">
        <v>60.02</v>
      </c>
      <c r="Z35" s="200">
        <v>1.0000000000000001E-5</v>
      </c>
      <c r="AA35" s="200">
        <v>70.520581818181824</v>
      </c>
      <c r="AB35" s="200">
        <v>-70.520581818181796</v>
      </c>
      <c r="AC35" s="200">
        <v>5.4721172413792996</v>
      </c>
      <c r="AD35" s="200">
        <v>-39.966922727272731</v>
      </c>
    </row>
    <row r="36" spans="1:30" s="197" customFormat="1" x14ac:dyDescent="0.3">
      <c r="A36" s="197" t="s">
        <v>92</v>
      </c>
      <c r="B36" s="197">
        <v>7</v>
      </c>
      <c r="C36" s="197">
        <v>1</v>
      </c>
      <c r="D36" s="197">
        <v>7</v>
      </c>
      <c r="E36" s="197" t="s">
        <v>255</v>
      </c>
      <c r="F36" s="197">
        <v>0.85354328125000023</v>
      </c>
      <c r="G36" s="197">
        <v>-14.59503125</v>
      </c>
      <c r="H36" s="197">
        <v>201.2</v>
      </c>
      <c r="I36" s="197">
        <v>85.1</v>
      </c>
      <c r="J36" s="197">
        <v>15.333333333333336</v>
      </c>
      <c r="K36" s="197">
        <v>164.20361247947449</v>
      </c>
      <c r="L36" s="197">
        <v>33</v>
      </c>
      <c r="M36" s="197">
        <v>93.107800027986585</v>
      </c>
      <c r="N36" s="197">
        <v>59.790732436472268</v>
      </c>
      <c r="O36" s="197">
        <v>30.594778517907262</v>
      </c>
      <c r="P36" s="197">
        <v>67.82680431808339</v>
      </c>
      <c r="Q36" s="197">
        <v>24.487295037195999</v>
      </c>
      <c r="R36" s="197">
        <v>1.04457E-2</v>
      </c>
      <c r="S36" s="103">
        <f t="shared" si="0"/>
        <v>10.4457</v>
      </c>
      <c r="T36" s="197">
        <v>1.8999999999999915</v>
      </c>
      <c r="U36" s="197">
        <v>503.40722891566264</v>
      </c>
      <c r="V36" s="197">
        <v>1.05</v>
      </c>
      <c r="W36" s="197">
        <v>20.75</v>
      </c>
      <c r="AA36" s="197">
        <v>72.8</v>
      </c>
      <c r="AB36" s="197">
        <v>-64</v>
      </c>
      <c r="AD36" s="197">
        <v>-41.667462499999999</v>
      </c>
    </row>
    <row r="37" spans="1:30" s="197" customFormat="1" x14ac:dyDescent="0.3">
      <c r="A37" s="197" t="s">
        <v>94</v>
      </c>
      <c r="B37" s="197">
        <v>7</v>
      </c>
      <c r="C37" s="197">
        <v>1</v>
      </c>
      <c r="D37" s="197">
        <v>7</v>
      </c>
      <c r="E37" s="197" t="s">
        <v>255</v>
      </c>
      <c r="F37" s="197">
        <v>0.89785375000000001</v>
      </c>
      <c r="G37" s="197">
        <v>-11.662166666666661</v>
      </c>
      <c r="H37" s="197">
        <v>204.3</v>
      </c>
      <c r="I37" s="197">
        <v>67.2</v>
      </c>
      <c r="J37" s="197">
        <v>14.285714285714285</v>
      </c>
      <c r="K37" s="197">
        <v>130.17443374121291</v>
      </c>
      <c r="L37" s="197">
        <v>22</v>
      </c>
      <c r="M37" s="197">
        <v>89.822804179646127</v>
      </c>
      <c r="N37" s="197">
        <v>44.712720769058777</v>
      </c>
      <c r="O37" s="197">
        <v>28.408267329918264</v>
      </c>
      <c r="P37" s="197">
        <v>46.250157601404325</v>
      </c>
      <c r="Q37" s="197">
        <v>24.759167853755901</v>
      </c>
      <c r="R37" s="197">
        <v>1.5667299999999999E-2</v>
      </c>
      <c r="S37" s="103">
        <f t="shared" si="0"/>
        <v>15.667299999999999</v>
      </c>
      <c r="T37" s="197">
        <v>1.1400000000000006</v>
      </c>
      <c r="U37" s="197">
        <v>716.21942857142847</v>
      </c>
      <c r="V37" s="197">
        <v>0.5</v>
      </c>
      <c r="W37" s="197">
        <v>21.875</v>
      </c>
      <c r="AA37" s="197">
        <v>67.699999999999989</v>
      </c>
      <c r="AB37" s="197">
        <v>-62</v>
      </c>
      <c r="AC37" s="197">
        <v>12.363533333333301</v>
      </c>
      <c r="AD37" s="197">
        <v>-38.337704166666668</v>
      </c>
    </row>
    <row r="38" spans="1:30" s="197" customFormat="1" x14ac:dyDescent="0.3">
      <c r="A38" s="197" t="s">
        <v>96</v>
      </c>
      <c r="B38" s="197">
        <v>7</v>
      </c>
      <c r="C38" s="197">
        <v>1</v>
      </c>
      <c r="D38" s="197">
        <v>7</v>
      </c>
      <c r="E38" s="197" t="s">
        <v>255</v>
      </c>
      <c r="F38" s="197">
        <v>1.0411362500000001</v>
      </c>
      <c r="G38" s="197">
        <v>-15.12655</v>
      </c>
      <c r="H38" s="197">
        <v>156.5</v>
      </c>
      <c r="I38" s="197">
        <v>63.6</v>
      </c>
      <c r="J38" s="197">
        <v>32.5</v>
      </c>
      <c r="K38" s="197">
        <v>145.39110206455391</v>
      </c>
      <c r="L38" s="197">
        <v>29</v>
      </c>
      <c r="M38" s="197">
        <v>220.72595956457496</v>
      </c>
      <c r="N38" s="197">
        <v>51.91568892119183</v>
      </c>
      <c r="O38" s="197">
        <v>62.666871756337102</v>
      </c>
      <c r="P38" s="197">
        <v>61.547871404943301</v>
      </c>
      <c r="Q38" s="197">
        <v>47.377577274447994</v>
      </c>
      <c r="R38" s="197">
        <v>1.1673299999999999E-2</v>
      </c>
      <c r="S38" s="103">
        <f t="shared" si="0"/>
        <v>11.673299999999999</v>
      </c>
      <c r="T38" s="197">
        <v>4</v>
      </c>
      <c r="U38" s="197">
        <v>279.18206278026906</v>
      </c>
      <c r="V38" s="197">
        <v>0.4</v>
      </c>
      <c r="W38" s="197">
        <v>41.8125</v>
      </c>
      <c r="AA38" s="197">
        <v>65.900000000000006</v>
      </c>
      <c r="AB38" s="197">
        <v>-64</v>
      </c>
      <c r="AC38" s="197">
        <v>1.29982222222222</v>
      </c>
      <c r="AD38" s="197">
        <v>-33.201845833333337</v>
      </c>
    </row>
    <row r="39" spans="1:30" s="197" customFormat="1" x14ac:dyDescent="0.3">
      <c r="A39" s="197" t="s">
        <v>98</v>
      </c>
      <c r="B39" s="197">
        <v>7</v>
      </c>
      <c r="C39" s="197">
        <v>1</v>
      </c>
      <c r="D39" s="197">
        <v>7</v>
      </c>
      <c r="E39" s="197" t="s">
        <v>255</v>
      </c>
      <c r="F39" s="197">
        <v>0.82788986666666664</v>
      </c>
      <c r="G39" s="197">
        <v>-15.2888</v>
      </c>
      <c r="H39" s="197">
        <v>160.4</v>
      </c>
      <c r="I39" s="197">
        <v>83.8</v>
      </c>
      <c r="J39" s="197">
        <v>18.947368421052634</v>
      </c>
      <c r="K39" s="197">
        <v>172.9206294310915</v>
      </c>
      <c r="L39" s="197">
        <v>41</v>
      </c>
      <c r="M39" s="197">
        <v>79.62169903303689</v>
      </c>
      <c r="N39" s="197">
        <v>97.087378640776592</v>
      </c>
      <c r="O39" s="197">
        <v>36.625405681703455</v>
      </c>
      <c r="P39" s="197">
        <v>84.429611687116349</v>
      </c>
      <c r="Q39" s="197">
        <v>28.168751979827512</v>
      </c>
      <c r="R39" s="197">
        <v>9.51252E-3</v>
      </c>
      <c r="S39" s="103">
        <f t="shared" si="0"/>
        <v>9.5125200000000003</v>
      </c>
      <c r="T39" s="197">
        <v>3.3999999999999915</v>
      </c>
      <c r="U39" s="197">
        <v>272.76043010752687</v>
      </c>
      <c r="V39" s="197">
        <v>0.6</v>
      </c>
      <c r="W39" s="197">
        <v>34.875</v>
      </c>
      <c r="AA39" s="197">
        <v>62.8</v>
      </c>
      <c r="AB39" s="197">
        <v>-58</v>
      </c>
      <c r="AC39" s="197">
        <v>0.64131014492753569</v>
      </c>
      <c r="AD39" s="197">
        <v>-27.154033333333341</v>
      </c>
    </row>
    <row r="40" spans="1:30" s="197" customFormat="1" x14ac:dyDescent="0.3">
      <c r="A40" s="197" t="s">
        <v>100</v>
      </c>
      <c r="B40" s="197">
        <v>7</v>
      </c>
      <c r="C40" s="197">
        <v>1</v>
      </c>
      <c r="D40" s="197">
        <v>6</v>
      </c>
      <c r="E40" s="197" t="s">
        <v>255</v>
      </c>
      <c r="F40" s="197">
        <v>0.94244819999999985</v>
      </c>
      <c r="G40" s="197">
        <v>-11.547836666666671</v>
      </c>
      <c r="H40" s="197">
        <v>137.5</v>
      </c>
      <c r="I40" s="197">
        <v>74.900000000000006</v>
      </c>
      <c r="J40" s="197">
        <v>18.399999999999995</v>
      </c>
      <c r="K40" s="197">
        <v>174.52006980802739</v>
      </c>
      <c r="L40" s="197">
        <v>33</v>
      </c>
      <c r="M40" s="197">
        <v>114.95902226201872</v>
      </c>
      <c r="N40" s="197">
        <v>67.186240257995607</v>
      </c>
      <c r="O40" s="197">
        <v>38.713859620860525</v>
      </c>
      <c r="P40" s="197">
        <v>67.83977763523896</v>
      </c>
      <c r="Q40" s="197">
        <v>36.370032782164245</v>
      </c>
      <c r="R40" s="197">
        <v>7.4446499999999997E-3</v>
      </c>
      <c r="S40" s="103">
        <f t="shared" si="0"/>
        <v>7.4446499999999993</v>
      </c>
      <c r="T40" s="197">
        <v>1E-4</v>
      </c>
      <c r="U40" s="197">
        <v>588.97547468354423</v>
      </c>
      <c r="V40" s="197">
        <v>0.28999999999999998</v>
      </c>
      <c r="W40" s="197">
        <v>12.64</v>
      </c>
      <c r="AA40" s="197">
        <v>59.099999999999994</v>
      </c>
      <c r="AB40" s="197">
        <v>-64.5</v>
      </c>
      <c r="AC40" s="197">
        <v>0.79611159420290156</v>
      </c>
      <c r="AD40" s="197">
        <v>-22.328703333333337</v>
      </c>
    </row>
    <row r="41" spans="1:30" s="197" customFormat="1" x14ac:dyDescent="0.3">
      <c r="A41" s="197" t="s">
        <v>103</v>
      </c>
      <c r="B41" s="197">
        <v>7</v>
      </c>
      <c r="C41" s="197">
        <v>1</v>
      </c>
      <c r="D41" s="197">
        <v>6</v>
      </c>
      <c r="E41" s="197" t="s">
        <v>255</v>
      </c>
      <c r="F41" s="197">
        <v>0.86277386666666678</v>
      </c>
      <c r="G41" s="197">
        <v>-7.6014200000000036</v>
      </c>
      <c r="H41" s="197">
        <v>181.1</v>
      </c>
      <c r="I41" s="197">
        <v>83.6</v>
      </c>
      <c r="J41" s="197">
        <v>23.750000000000004</v>
      </c>
      <c r="K41" s="197">
        <v>165.8374792703151</v>
      </c>
      <c r="L41" s="197">
        <v>25</v>
      </c>
      <c r="M41" s="197">
        <v>153.19232621348488</v>
      </c>
      <c r="N41" s="197">
        <v>47.993856786331321</v>
      </c>
      <c r="O41" s="197">
        <v>52.072217900409619</v>
      </c>
      <c r="P41" s="197">
        <v>54.430114286745535</v>
      </c>
      <c r="Q41" s="197">
        <v>39.128998786205948</v>
      </c>
      <c r="R41" s="197">
        <v>1.5173300000000001E-2</v>
      </c>
      <c r="S41" s="103">
        <f t="shared" si="0"/>
        <v>15.173300000000001</v>
      </c>
      <c r="T41" s="197">
        <v>1.7000000000000028</v>
      </c>
      <c r="U41" s="197">
        <v>358.89540078843629</v>
      </c>
      <c r="V41" s="197">
        <v>0.56000000000000005</v>
      </c>
      <c r="W41" s="197">
        <v>42.277777777777779</v>
      </c>
      <c r="AA41" s="197">
        <v>69.599999999999994</v>
      </c>
      <c r="AB41" s="197">
        <v>-65</v>
      </c>
      <c r="AC41" s="197">
        <v>0.58810000000000295</v>
      </c>
      <c r="AD41" s="197">
        <v>-33.838403333333332</v>
      </c>
    </row>
    <row r="42" spans="1:30" s="197" customFormat="1" x14ac:dyDescent="0.3">
      <c r="A42" s="197" t="s">
        <v>105</v>
      </c>
      <c r="B42" s="197">
        <v>7</v>
      </c>
      <c r="C42" s="197">
        <v>1</v>
      </c>
      <c r="D42" s="197">
        <v>6</v>
      </c>
      <c r="E42" s="197" t="s">
        <v>255</v>
      </c>
      <c r="F42" s="197">
        <v>0.83984700000000001</v>
      </c>
      <c r="G42" s="197">
        <v>-8.0092285714285705</v>
      </c>
      <c r="H42" s="197">
        <v>181.5</v>
      </c>
      <c r="I42" s="197">
        <v>84.3</v>
      </c>
      <c r="J42" s="197">
        <v>53.333333333333364</v>
      </c>
      <c r="K42" s="197">
        <v>173.2501732501735</v>
      </c>
      <c r="L42" s="197">
        <v>23</v>
      </c>
      <c r="M42" s="197">
        <v>502.25919700449703</v>
      </c>
      <c r="N42" s="197">
        <v>47.553378667554341</v>
      </c>
      <c r="O42" s="197">
        <v>114.69888086864935</v>
      </c>
      <c r="P42" s="197">
        <v>54.994720900264433</v>
      </c>
      <c r="Q42" s="197">
        <v>84.633564920347979</v>
      </c>
      <c r="R42" s="197">
        <v>5.9754700000000001E-3</v>
      </c>
      <c r="S42" s="103">
        <f t="shared" si="0"/>
        <v>5.9754700000000005</v>
      </c>
      <c r="T42" s="197">
        <v>0.01</v>
      </c>
      <c r="U42" s="197">
        <v>262.08201754385965</v>
      </c>
      <c r="V42" s="197">
        <v>1.1499999999999999</v>
      </c>
      <c r="W42" s="197">
        <v>22.8</v>
      </c>
      <c r="AA42" s="197">
        <v>71.5</v>
      </c>
      <c r="AB42" s="197">
        <v>-67</v>
      </c>
      <c r="AC42" s="197">
        <v>0.270208333333333</v>
      </c>
      <c r="AD42" s="197">
        <v>-29.879428571428576</v>
      </c>
    </row>
    <row r="43" spans="1:30" s="197" customFormat="1" x14ac:dyDescent="0.3">
      <c r="A43" s="197" t="s">
        <v>111</v>
      </c>
      <c r="B43" s="197">
        <v>7</v>
      </c>
      <c r="C43" s="197">
        <v>1</v>
      </c>
      <c r="D43" s="197">
        <v>6</v>
      </c>
      <c r="E43" s="197" t="s">
        <v>255</v>
      </c>
      <c r="F43" s="197">
        <v>0.90103379166666686</v>
      </c>
      <c r="G43" s="197">
        <v>-9.4670869565217419</v>
      </c>
      <c r="H43" s="197">
        <v>168.6</v>
      </c>
      <c r="I43" s="197">
        <v>86.8</v>
      </c>
      <c r="K43" s="197">
        <v>154.15446277169735</v>
      </c>
      <c r="L43" s="197">
        <v>24</v>
      </c>
      <c r="M43" s="197">
        <v>101.30311766848808</v>
      </c>
      <c r="N43" s="197">
        <v>50.466818067120727</v>
      </c>
      <c r="O43" s="197">
        <v>26.983517277889138</v>
      </c>
      <c r="P43" s="197">
        <v>50.812862502335065</v>
      </c>
      <c r="Q43" s="197">
        <v>22.27579140876891</v>
      </c>
      <c r="R43" s="197">
        <v>1.10486E-2</v>
      </c>
      <c r="S43" s="103">
        <f t="shared" si="0"/>
        <v>11.0486</v>
      </c>
      <c r="T43" s="197">
        <v>3.2600000000000051</v>
      </c>
      <c r="U43" s="197">
        <v>346.3510971786834</v>
      </c>
      <c r="V43" s="197">
        <v>0.54</v>
      </c>
      <c r="W43" s="197">
        <v>31.9</v>
      </c>
      <c r="AA43" s="197">
        <v>70.599999999999994</v>
      </c>
      <c r="AB43" s="197">
        <v>-65</v>
      </c>
      <c r="AC43" s="197">
        <v>3.0835468750000201</v>
      </c>
      <c r="AD43" s="197">
        <v>-36.27395416666667</v>
      </c>
    </row>
    <row r="44" spans="1:30" s="197" customFormat="1" x14ac:dyDescent="0.3">
      <c r="A44" s="197" t="s">
        <v>113</v>
      </c>
      <c r="B44" s="197">
        <v>7</v>
      </c>
      <c r="C44" s="197">
        <v>1</v>
      </c>
      <c r="D44" s="197">
        <v>6</v>
      </c>
      <c r="E44" s="197" t="s">
        <v>255</v>
      </c>
      <c r="F44" s="197">
        <v>0.77972688000000023</v>
      </c>
      <c r="G44" s="197">
        <v>-12.746179166666666</v>
      </c>
      <c r="H44" s="197">
        <v>244.2</v>
      </c>
      <c r="I44" s="197">
        <v>98.8</v>
      </c>
      <c r="J44" s="197">
        <v>22.5</v>
      </c>
      <c r="K44" s="197">
        <v>167.1961210499918</v>
      </c>
      <c r="L44" s="197">
        <v>31</v>
      </c>
      <c r="M44" s="197">
        <v>40.077363051260804</v>
      </c>
      <c r="N44" s="197">
        <v>72.679700559633616</v>
      </c>
      <c r="O44" s="197">
        <v>39.645510050324461</v>
      </c>
      <c r="P44" s="197">
        <v>61.093140904024487</v>
      </c>
      <c r="Q44" s="197">
        <v>41.340920929796226</v>
      </c>
      <c r="R44" s="197">
        <v>6.9324299999999998E-3</v>
      </c>
      <c r="S44" s="103">
        <f t="shared" si="0"/>
        <v>6.9324300000000001</v>
      </c>
      <c r="T44" s="197">
        <v>1.0074906297634025</v>
      </c>
      <c r="U44" s="197">
        <v>288.85125000000005</v>
      </c>
      <c r="V44" s="197">
        <v>0.84</v>
      </c>
      <c r="W44" s="197">
        <v>23.999999999999996</v>
      </c>
      <c r="AA44" s="197">
        <v>74.099999999999994</v>
      </c>
      <c r="AB44" s="197">
        <v>-67.5</v>
      </c>
      <c r="AC44" s="197">
        <v>1.8407428571428699</v>
      </c>
      <c r="AD44" s="197">
        <v>-45.042724</v>
      </c>
    </row>
    <row r="45" spans="1:30" s="197" customFormat="1" x14ac:dyDescent="0.3">
      <c r="A45" s="197" t="s">
        <v>115</v>
      </c>
      <c r="B45" s="197">
        <v>7</v>
      </c>
      <c r="C45" s="197">
        <v>1</v>
      </c>
      <c r="D45" s="197">
        <v>7</v>
      </c>
      <c r="E45" s="197" t="s">
        <v>255</v>
      </c>
      <c r="F45" s="197">
        <v>1.176507391304348</v>
      </c>
      <c r="G45" s="197">
        <v>-11.486809999999997</v>
      </c>
      <c r="H45" s="197">
        <v>191.2</v>
      </c>
      <c r="I45" s="197">
        <v>62.4</v>
      </c>
      <c r="J45" s="197">
        <v>25.714285714285715</v>
      </c>
      <c r="K45" s="197">
        <v>153.35071308081615</v>
      </c>
      <c r="L45" s="197">
        <v>26</v>
      </c>
      <c r="M45" s="197">
        <v>55.080441876844034</v>
      </c>
      <c r="N45" s="197">
        <v>54.972239019295337</v>
      </c>
      <c r="O45" s="197">
        <v>46.940247543881831</v>
      </c>
      <c r="P45" s="197">
        <v>60.524538518363201</v>
      </c>
      <c r="Q45" s="197">
        <v>45.865173476381344</v>
      </c>
      <c r="R45" s="197">
        <v>2.1326399999999999E-2</v>
      </c>
      <c r="S45" s="103">
        <f t="shared" si="0"/>
        <v>21.3264</v>
      </c>
      <c r="T45" s="197">
        <v>5.5</v>
      </c>
      <c r="U45" s="197">
        <v>245.13103448275859</v>
      </c>
      <c r="V45" s="197">
        <v>0.1</v>
      </c>
      <c r="W45" s="197">
        <v>87</v>
      </c>
      <c r="AA45" s="197">
        <v>70.122773913043474</v>
      </c>
      <c r="AB45" s="197">
        <v>-60</v>
      </c>
      <c r="AC45" s="197">
        <v>5.2036384615384597</v>
      </c>
      <c r="AD45" s="197">
        <v>-39.995286956521738</v>
      </c>
    </row>
    <row r="46" spans="1:30" s="197" customFormat="1" x14ac:dyDescent="0.3">
      <c r="A46" s="197" t="s">
        <v>117</v>
      </c>
      <c r="B46" s="197">
        <v>7</v>
      </c>
      <c r="C46" s="197">
        <v>1</v>
      </c>
      <c r="D46" s="197">
        <v>7</v>
      </c>
      <c r="E46" s="197" t="s">
        <v>255</v>
      </c>
      <c r="F46" s="197">
        <v>1.4718652173913045</v>
      </c>
      <c r="G46" s="197">
        <v>-12.984552173913041</v>
      </c>
      <c r="H46" s="197">
        <v>147.1</v>
      </c>
      <c r="I46" s="197">
        <v>57.1</v>
      </c>
      <c r="J46" s="197">
        <v>30</v>
      </c>
      <c r="K46" s="197">
        <v>66.56460094521735</v>
      </c>
      <c r="L46" s="197">
        <v>18</v>
      </c>
      <c r="M46" s="197">
        <v>121.01063912335957</v>
      </c>
      <c r="N46" s="197">
        <v>31.245117950320267</v>
      </c>
      <c r="O46" s="197">
        <v>61.475930468249942</v>
      </c>
      <c r="P46" s="197">
        <v>37.912358614317192</v>
      </c>
      <c r="Q46" s="197">
        <v>45.717937749586639</v>
      </c>
      <c r="R46" s="197">
        <v>2.0165499999999999E-2</v>
      </c>
      <c r="S46" s="103">
        <f t="shared" si="0"/>
        <v>20.165499999999998</v>
      </c>
      <c r="T46" s="197">
        <v>8.0999999999999943</v>
      </c>
      <c r="U46" s="197">
        <v>194.27263969171491</v>
      </c>
      <c r="V46" s="197">
        <v>7.0000000000000007E-2</v>
      </c>
      <c r="W46" s="197">
        <v>103.79999999999995</v>
      </c>
      <c r="X46" s="197">
        <v>5.2100000000000009</v>
      </c>
      <c r="Y46" s="197">
        <v>124.035</v>
      </c>
      <c r="Z46" s="197">
        <v>1.0000000000000001E-5</v>
      </c>
      <c r="AA46" s="197">
        <v>69.585386956521731</v>
      </c>
      <c r="AB46" s="197">
        <v>-63</v>
      </c>
      <c r="AC46" s="197">
        <v>9.8546343750000105</v>
      </c>
      <c r="AD46" s="197">
        <v>-44.060387652173915</v>
      </c>
    </row>
    <row r="47" spans="1:30" s="197" customFormat="1" x14ac:dyDescent="0.3">
      <c r="A47" s="197" t="s">
        <v>119</v>
      </c>
      <c r="B47" s="197">
        <v>7</v>
      </c>
      <c r="C47" s="197">
        <v>1</v>
      </c>
      <c r="D47" s="197">
        <v>7</v>
      </c>
      <c r="E47" s="197" t="s">
        <v>255</v>
      </c>
      <c r="F47" s="197">
        <v>0.98832821739130439</v>
      </c>
      <c r="G47" s="197">
        <v>-10.224708695652176</v>
      </c>
      <c r="H47" s="197">
        <v>141.9</v>
      </c>
      <c r="I47" s="197">
        <v>80</v>
      </c>
      <c r="J47" s="197">
        <v>15.714285714285715</v>
      </c>
      <c r="K47" s="197">
        <v>115.76753878212543</v>
      </c>
      <c r="L47" s="197">
        <v>19</v>
      </c>
      <c r="M47" s="197">
        <v>115.78405070704147</v>
      </c>
      <c r="N47" s="197">
        <v>32.70218123548846</v>
      </c>
      <c r="O47" s="197">
        <v>35.18075895951808</v>
      </c>
      <c r="P47" s="197">
        <v>38.626042294107165</v>
      </c>
      <c r="Q47" s="197">
        <v>25.548888678656688</v>
      </c>
      <c r="R47" s="197">
        <v>1.25002E-2</v>
      </c>
      <c r="S47" s="103">
        <f t="shared" si="0"/>
        <v>12.5002</v>
      </c>
      <c r="T47" s="197">
        <v>6.7999999999999972</v>
      </c>
      <c r="U47" s="197">
        <v>285.39269406392697</v>
      </c>
      <c r="V47" s="197">
        <v>0.55800000000000005</v>
      </c>
      <c r="W47" s="197">
        <v>43.8</v>
      </c>
      <c r="X47" s="197">
        <v>5.0099999999999909</v>
      </c>
      <c r="Y47" s="197">
        <v>81.155000000000001</v>
      </c>
      <c r="Z47" s="197">
        <v>0.41000000000000369</v>
      </c>
      <c r="AA47" s="197">
        <v>61.39340434782607</v>
      </c>
      <c r="AB47" s="197">
        <v>-67</v>
      </c>
      <c r="AC47" s="197">
        <v>5.2769968749999796</v>
      </c>
      <c r="AD47" s="197">
        <v>-35.494545043478247</v>
      </c>
    </row>
    <row r="48" spans="1:30" s="197" customFormat="1" x14ac:dyDescent="0.3">
      <c r="A48" s="197" t="s">
        <v>121</v>
      </c>
      <c r="B48" s="197">
        <v>7</v>
      </c>
      <c r="C48" s="197">
        <v>1</v>
      </c>
      <c r="D48" s="197">
        <v>7</v>
      </c>
      <c r="E48" s="197" t="s">
        <v>255</v>
      </c>
      <c r="F48" s="197">
        <v>1.2008766666666668</v>
      </c>
      <c r="G48" s="197">
        <v>-4.857379166666667</v>
      </c>
      <c r="H48" s="197">
        <v>174.4</v>
      </c>
      <c r="I48" s="197">
        <v>68.3</v>
      </c>
      <c r="J48" s="197">
        <v>25.714285714285715</v>
      </c>
      <c r="K48" s="197">
        <v>88.144557073600708</v>
      </c>
      <c r="L48" s="197">
        <v>12</v>
      </c>
      <c r="M48" s="197">
        <v>55.080441876844034</v>
      </c>
      <c r="N48" s="197">
        <v>24.5392751098132</v>
      </c>
      <c r="O48" s="197">
        <v>46.940247543881831</v>
      </c>
      <c r="P48" s="197">
        <v>27.624983442418799</v>
      </c>
      <c r="Q48" s="197">
        <v>45.865173476381344</v>
      </c>
      <c r="R48" s="197">
        <v>2.7547599999999998E-2</v>
      </c>
      <c r="S48" s="103">
        <f t="shared" si="0"/>
        <v>27.547599999999999</v>
      </c>
      <c r="T48" s="197">
        <v>12.719999999999999</v>
      </c>
      <c r="U48" s="197">
        <v>161.87331061229284</v>
      </c>
      <c r="V48" s="197">
        <v>0.15</v>
      </c>
      <c r="W48" s="197">
        <v>170.18</v>
      </c>
      <c r="X48" s="197">
        <v>2.230000000000004</v>
      </c>
      <c r="Y48" s="197">
        <v>89.015000000000001</v>
      </c>
      <c r="Z48" s="197">
        <v>2.3500000000000014</v>
      </c>
      <c r="AA48" s="197">
        <v>75.56153333333333</v>
      </c>
      <c r="AB48" s="197">
        <v>-67.7</v>
      </c>
      <c r="AC48" s="197">
        <v>18.154046153846199</v>
      </c>
      <c r="AD48" s="197">
        <v>-35.494545043478247</v>
      </c>
    </row>
    <row r="49" spans="1:30" s="197" customFormat="1" x14ac:dyDescent="0.3">
      <c r="A49" s="197" t="s">
        <v>123</v>
      </c>
      <c r="B49" s="197">
        <v>7</v>
      </c>
      <c r="C49" s="197">
        <v>1</v>
      </c>
      <c r="D49" s="197">
        <v>7</v>
      </c>
      <c r="E49" s="197" t="s">
        <v>255</v>
      </c>
      <c r="F49" s="197">
        <v>0.98320047999999971</v>
      </c>
      <c r="G49" s="197">
        <v>-6.3867240000000001</v>
      </c>
      <c r="H49" s="197">
        <v>152.9</v>
      </c>
      <c r="I49" s="197">
        <v>76</v>
      </c>
      <c r="J49" s="197">
        <v>28</v>
      </c>
      <c r="K49" s="197">
        <v>128.86597938144345</v>
      </c>
      <c r="L49" s="197">
        <v>21</v>
      </c>
      <c r="M49" s="197">
        <v>228.23349968069928</v>
      </c>
      <c r="N49" s="197">
        <v>43.531255441406969</v>
      </c>
      <c r="O49" s="197">
        <v>53.419816937898766</v>
      </c>
      <c r="P49" s="197">
        <v>47.337757978428002</v>
      </c>
      <c r="Q49" s="197">
        <v>26.666666666666668</v>
      </c>
      <c r="R49" s="197">
        <v>6.9934999999999997E-3</v>
      </c>
      <c r="S49" s="103">
        <f t="shared" si="0"/>
        <v>6.9935</v>
      </c>
      <c r="T49" s="197">
        <v>1.9699999999999989</v>
      </c>
      <c r="U49" s="197">
        <v>207.5222551928783</v>
      </c>
      <c r="V49" s="197">
        <v>0.75700000000000001</v>
      </c>
      <c r="W49" s="197">
        <v>33.700000000000003</v>
      </c>
      <c r="X49" s="197">
        <v>2.2900000000000063</v>
      </c>
      <c r="Y49" s="197">
        <v>31.215</v>
      </c>
      <c r="Z49" s="197">
        <v>1.3799999999999955</v>
      </c>
      <c r="AA49" s="197">
        <v>61.83</v>
      </c>
      <c r="AB49" s="197">
        <v>-69</v>
      </c>
      <c r="AC49" s="197">
        <v>1.3987229166666699</v>
      </c>
      <c r="AD49" s="197">
        <v>-37.244464000000008</v>
      </c>
    </row>
    <row r="50" spans="1:30" s="197" customFormat="1" x14ac:dyDescent="0.3">
      <c r="A50" s="197" t="s">
        <v>125</v>
      </c>
      <c r="B50" s="197">
        <v>7</v>
      </c>
      <c r="C50" s="197">
        <v>1</v>
      </c>
      <c r="D50" s="197">
        <v>6</v>
      </c>
      <c r="E50" s="197" t="s">
        <v>255</v>
      </c>
      <c r="F50" s="197">
        <v>0.89002185185185201</v>
      </c>
      <c r="G50" s="197">
        <v>-18.247251851851853</v>
      </c>
      <c r="H50" s="197">
        <v>223.9</v>
      </c>
      <c r="I50" s="197">
        <v>101.9</v>
      </c>
      <c r="J50" s="197">
        <v>18.461538461538463</v>
      </c>
      <c r="K50" s="197">
        <v>121.06537530266357</v>
      </c>
      <c r="L50" s="197">
        <v>31</v>
      </c>
      <c r="M50" s="197">
        <v>76.45858472469736</v>
      </c>
      <c r="N50" s="197">
        <v>62.034739454094279</v>
      </c>
      <c r="O50" s="197">
        <v>37.212086022578319</v>
      </c>
      <c r="P50" s="197">
        <v>61.171721323715857</v>
      </c>
      <c r="Q50" s="197">
        <v>35.444022294136012</v>
      </c>
      <c r="R50" s="197">
        <v>1.8240800000000001E-2</v>
      </c>
      <c r="S50" s="103">
        <f t="shared" si="0"/>
        <v>18.2408</v>
      </c>
      <c r="T50" s="197">
        <v>9.4000000000000057</v>
      </c>
      <c r="U50" s="197">
        <v>207.51763367463028</v>
      </c>
      <c r="V50" s="197">
        <v>0.16</v>
      </c>
      <c r="W50" s="197">
        <v>87.9</v>
      </c>
      <c r="X50" s="197">
        <v>9.9699999999999989</v>
      </c>
      <c r="Y50" s="197">
        <v>70.784999999999997</v>
      </c>
      <c r="Z50" s="197">
        <v>1.0000000000000001E-5</v>
      </c>
      <c r="AA50" s="197">
        <v>78.172466666666665</v>
      </c>
      <c r="AB50" s="197">
        <v>-66.84</v>
      </c>
      <c r="AC50" s="197">
        <v>11.189778571428601</v>
      </c>
      <c r="AD50" s="197">
        <v>-50.573285185185185</v>
      </c>
    </row>
    <row r="51" spans="1:30" s="197" customFormat="1" x14ac:dyDescent="0.3">
      <c r="A51" s="197" t="s">
        <v>127</v>
      </c>
      <c r="B51" s="197">
        <v>7</v>
      </c>
      <c r="C51" s="197">
        <v>1</v>
      </c>
      <c r="D51" s="197">
        <v>6</v>
      </c>
      <c r="E51" s="197" t="s">
        <v>255</v>
      </c>
      <c r="F51" s="197">
        <v>1.0208263157894737</v>
      </c>
      <c r="G51" s="197">
        <v>-3.4349222222222218</v>
      </c>
      <c r="H51" s="197">
        <v>130.69999999999999</v>
      </c>
      <c r="I51" s="197">
        <v>70.5</v>
      </c>
      <c r="J51" s="197">
        <v>45</v>
      </c>
      <c r="K51" s="197">
        <v>122.88031457360523</v>
      </c>
      <c r="L51" s="197">
        <v>20</v>
      </c>
      <c r="M51" s="197">
        <v>453.48986374931519</v>
      </c>
      <c r="N51" s="197">
        <v>40.817992571125316</v>
      </c>
      <c r="O51" s="197">
        <v>96.378718217674887</v>
      </c>
      <c r="P51" s="197">
        <v>45.196314457145355</v>
      </c>
      <c r="Q51" s="197">
        <v>62.337443794759672</v>
      </c>
      <c r="R51" s="197">
        <v>1.44756E-2</v>
      </c>
      <c r="S51" s="103">
        <f t="shared" si="0"/>
        <v>14.4756</v>
      </c>
      <c r="T51" s="197">
        <v>0.81300000000000239</v>
      </c>
      <c r="U51" s="197">
        <v>224.08049535603718</v>
      </c>
      <c r="V51" s="197">
        <v>0.371</v>
      </c>
      <c r="W51" s="197">
        <v>64.599999999999994</v>
      </c>
      <c r="X51" s="197">
        <v>2.0900000000000034</v>
      </c>
      <c r="Y51" s="197">
        <v>31.5</v>
      </c>
      <c r="Z51" s="197">
        <v>1.7700000000000031</v>
      </c>
      <c r="AA51" s="197">
        <v>63.071799999999996</v>
      </c>
      <c r="AB51" s="197">
        <v>-67</v>
      </c>
      <c r="AC51" s="197">
        <v>0.87192976190474802</v>
      </c>
      <c r="AD51" s="197">
        <v>-39.319494736842103</v>
      </c>
    </row>
    <row r="52" spans="1:30" s="197" customFormat="1" x14ac:dyDescent="0.3">
      <c r="A52" s="197" t="s">
        <v>129</v>
      </c>
      <c r="B52" s="197">
        <v>7</v>
      </c>
      <c r="C52" s="197">
        <v>1</v>
      </c>
      <c r="D52" s="197">
        <v>6</v>
      </c>
      <c r="E52" s="197" t="s">
        <v>255</v>
      </c>
      <c r="F52" s="197">
        <v>1.0574189999999999</v>
      </c>
      <c r="G52" s="197">
        <v>-5.5786099999999994</v>
      </c>
      <c r="H52" s="197">
        <v>131.5</v>
      </c>
      <c r="I52" s="197">
        <v>66</v>
      </c>
      <c r="J52" s="197">
        <v>15.555555555555555</v>
      </c>
      <c r="K52" s="197">
        <v>107.57314974182454</v>
      </c>
      <c r="L52" s="197">
        <v>18</v>
      </c>
      <c r="M52" s="197">
        <v>105.85339665833509</v>
      </c>
      <c r="N52" s="197">
        <v>37.707390648567142</v>
      </c>
      <c r="O52" s="197">
        <v>31.631661005225602</v>
      </c>
      <c r="P52" s="197">
        <v>39.555390725774402</v>
      </c>
      <c r="Q52" s="197">
        <v>24.459472465910551</v>
      </c>
      <c r="R52" s="197">
        <v>1.25332E-2</v>
      </c>
      <c r="S52" s="103">
        <f t="shared" si="0"/>
        <v>12.533199999999999</v>
      </c>
      <c r="T52" s="197">
        <v>5.7759999999999962</v>
      </c>
      <c r="U52" s="197">
        <v>257.88477366255142</v>
      </c>
      <c r="V52" s="197">
        <v>0.37</v>
      </c>
      <c r="W52" s="197">
        <v>48.6</v>
      </c>
      <c r="X52" s="197">
        <v>5.99</v>
      </c>
      <c r="Y52" s="197">
        <v>52.54</v>
      </c>
      <c r="Z52" s="197">
        <v>0.68600000000000005</v>
      </c>
      <c r="AA52" s="197">
        <v>63.528450000000007</v>
      </c>
      <c r="AB52" s="197">
        <v>-60</v>
      </c>
      <c r="AC52" s="197">
        <v>5.9722580645161196</v>
      </c>
      <c r="AD52" s="197">
        <v>-30.976804761904766</v>
      </c>
    </row>
    <row r="53" spans="1:30" s="197" customFormat="1" x14ac:dyDescent="0.3">
      <c r="A53" s="197" t="s">
        <v>131</v>
      </c>
      <c r="B53" s="197">
        <v>7</v>
      </c>
      <c r="C53" s="197">
        <v>1</v>
      </c>
      <c r="D53" s="197">
        <v>6</v>
      </c>
      <c r="E53" s="197" t="s">
        <v>255</v>
      </c>
      <c r="F53" s="197">
        <v>0.81850287499999996</v>
      </c>
      <c r="G53" s="197">
        <v>-8.3326217391304347</v>
      </c>
      <c r="H53" s="197">
        <v>159.80000000000001</v>
      </c>
      <c r="I53" s="197">
        <v>88.1</v>
      </c>
      <c r="J53" s="197">
        <v>16.25</v>
      </c>
      <c r="K53" s="197">
        <v>115.6470452179948</v>
      </c>
      <c r="L53" s="197">
        <v>20</v>
      </c>
      <c r="M53" s="197">
        <v>116.99932353681801</v>
      </c>
      <c r="N53" s="197">
        <v>39.33910306844993</v>
      </c>
      <c r="O53" s="197">
        <v>34.500548785893045</v>
      </c>
      <c r="P53" s="197">
        <v>44.827588674072651</v>
      </c>
      <c r="Q53" s="197">
        <v>30.222739974201726</v>
      </c>
      <c r="R53" s="197">
        <v>1.62174E-2</v>
      </c>
      <c r="S53" s="103">
        <f t="shared" si="0"/>
        <v>16.217400000000001</v>
      </c>
      <c r="T53" s="197">
        <v>2.0599999999999881</v>
      </c>
      <c r="U53" s="197">
        <v>397.48529411764707</v>
      </c>
      <c r="V53" s="197">
        <v>0.73</v>
      </c>
      <c r="W53" s="197">
        <v>40.799999999999997</v>
      </c>
      <c r="X53" s="197">
        <v>3.7600000000000051</v>
      </c>
      <c r="Y53" s="197">
        <v>115.6470452179948</v>
      </c>
      <c r="Z53" s="197">
        <v>0.74000000000000199</v>
      </c>
      <c r="AA53" s="197">
        <v>64.631150000000005</v>
      </c>
      <c r="AB53" s="197">
        <v>-64.099999999999994</v>
      </c>
      <c r="AC53" s="197">
        <v>2.2313935483870999</v>
      </c>
      <c r="AD53" s="197">
        <v>-29.777524999999997</v>
      </c>
    </row>
    <row r="54" spans="1:30" s="197" customFormat="1" x14ac:dyDescent="0.3">
      <c r="A54" s="197" t="s">
        <v>133</v>
      </c>
      <c r="B54" s="197">
        <v>7</v>
      </c>
      <c r="C54" s="197">
        <v>1</v>
      </c>
      <c r="D54" s="197">
        <v>7</v>
      </c>
      <c r="E54" s="197" t="s">
        <v>255</v>
      </c>
      <c r="F54" s="197">
        <v>0.78418421428571428</v>
      </c>
      <c r="G54" s="197">
        <v>-10.296855555555556</v>
      </c>
      <c r="H54" s="197">
        <v>158</v>
      </c>
      <c r="I54" s="197">
        <v>100</v>
      </c>
      <c r="J54" s="197">
        <v>70</v>
      </c>
      <c r="K54" s="197">
        <v>115.16756881262208</v>
      </c>
      <c r="L54" s="197">
        <v>26</v>
      </c>
      <c r="M54" s="197">
        <v>128.5622013622833</v>
      </c>
      <c r="N54" s="197">
        <v>49.517207229512408</v>
      </c>
      <c r="O54" s="197">
        <v>116.18495904912348</v>
      </c>
      <c r="P54" s="197">
        <v>53.952991626052032</v>
      </c>
      <c r="Q54" s="197">
        <v>110.61013151911477</v>
      </c>
      <c r="R54" s="197">
        <v>1.2534500000000001E-2</v>
      </c>
      <c r="S54" s="103">
        <f t="shared" si="0"/>
        <v>12.534500000000001</v>
      </c>
      <c r="T54" s="197">
        <v>0.59799999999999898</v>
      </c>
      <c r="U54" s="197">
        <v>408.28990228013032</v>
      </c>
      <c r="V54" s="197">
        <v>1</v>
      </c>
      <c r="W54" s="197">
        <v>30.7</v>
      </c>
      <c r="X54" s="197">
        <v>1.5499999999999972</v>
      </c>
      <c r="Y54" s="197">
        <v>29.7684675</v>
      </c>
      <c r="Z54" s="197">
        <v>1.0000000000000001E-5</v>
      </c>
      <c r="AA54" s="197">
        <v>63.975742857142862</v>
      </c>
      <c r="AB54" s="197">
        <v>-71</v>
      </c>
      <c r="AC54" s="197">
        <v>0.52746543209875796</v>
      </c>
      <c r="AD54" s="197">
        <v>-31.598125925925917</v>
      </c>
    </row>
    <row r="55" spans="1:30" s="197" customFormat="1" x14ac:dyDescent="0.3">
      <c r="A55" s="197" t="s">
        <v>135</v>
      </c>
      <c r="B55" s="197">
        <v>7</v>
      </c>
      <c r="C55" s="197">
        <v>1</v>
      </c>
      <c r="D55" s="197">
        <v>7</v>
      </c>
      <c r="E55" s="197" t="s">
        <v>255</v>
      </c>
      <c r="F55" s="197">
        <v>0.86151679999999997</v>
      </c>
      <c r="G55" s="197">
        <v>-10.367541379310342</v>
      </c>
      <c r="H55" s="197">
        <v>225.1</v>
      </c>
      <c r="I55" s="197">
        <v>96.8</v>
      </c>
      <c r="J55" s="197">
        <v>21.428571428571427</v>
      </c>
      <c r="K55" s="197">
        <v>109.20607185759515</v>
      </c>
      <c r="L55" s="197">
        <v>18</v>
      </c>
      <c r="M55" s="197">
        <v>138.40189381070033</v>
      </c>
      <c r="N55" s="197">
        <v>32.336297493936989</v>
      </c>
      <c r="O55" s="197">
        <v>42.099256870711201</v>
      </c>
      <c r="P55" s="197">
        <v>36.873018022385651</v>
      </c>
      <c r="Q55" s="197">
        <v>34.525091625330298</v>
      </c>
      <c r="R55" s="197">
        <v>1.44151E-2</v>
      </c>
      <c r="S55" s="103">
        <f t="shared" si="0"/>
        <v>14.415100000000001</v>
      </c>
      <c r="T55" s="197">
        <v>19</v>
      </c>
      <c r="U55" s="197">
        <v>266.94629629629634</v>
      </c>
      <c r="V55" s="197">
        <v>0.43</v>
      </c>
      <c r="W55" s="197">
        <v>54</v>
      </c>
      <c r="X55" s="197">
        <v>4.9899999999999949</v>
      </c>
      <c r="Y55" s="197">
        <v>89.45</v>
      </c>
      <c r="Z55" s="197">
        <v>0.30300000000000438</v>
      </c>
      <c r="AA55" s="197">
        <v>77.032476666666696</v>
      </c>
      <c r="AB55" s="197">
        <v>-68.400000000000006</v>
      </c>
      <c r="AC55" s="197">
        <v>15.830993749999999</v>
      </c>
      <c r="AD55" s="197">
        <v>-47.304290000000009</v>
      </c>
    </row>
    <row r="56" spans="1:30" s="197" customFormat="1" x14ac:dyDescent="0.3">
      <c r="A56" s="197" t="s">
        <v>137</v>
      </c>
      <c r="B56" s="197">
        <v>7</v>
      </c>
      <c r="C56" s="197">
        <v>1</v>
      </c>
      <c r="D56" s="197">
        <v>7</v>
      </c>
      <c r="E56" s="197" t="s">
        <v>255</v>
      </c>
      <c r="F56" s="197">
        <v>0.90877873333333337</v>
      </c>
      <c r="G56" s="197">
        <v>-7.6125620689655173</v>
      </c>
      <c r="H56" s="197">
        <v>151.80000000000001</v>
      </c>
      <c r="I56" s="197">
        <v>80.400000000000006</v>
      </c>
      <c r="J56" s="197">
        <v>17.272727272727273</v>
      </c>
      <c r="K56" s="197">
        <v>128.98232942086909</v>
      </c>
      <c r="L56" s="197">
        <v>23</v>
      </c>
      <c r="M56" s="197">
        <v>109.54184595490497</v>
      </c>
      <c r="N56" s="197">
        <v>43.94059231918439</v>
      </c>
      <c r="O56" s="197">
        <v>36.64124030820566</v>
      </c>
      <c r="P56" s="197">
        <v>49.127320138498938</v>
      </c>
      <c r="Q56" s="197">
        <v>27.448944603548163</v>
      </c>
      <c r="R56" s="197">
        <v>1.0982E-2</v>
      </c>
      <c r="S56" s="103">
        <f t="shared" si="0"/>
        <v>10.982000000000001</v>
      </c>
      <c r="T56" s="197">
        <v>4.2999999999999972</v>
      </c>
      <c r="U56" s="197">
        <v>259.00943396226415</v>
      </c>
      <c r="V56" s="197">
        <v>0.6</v>
      </c>
      <c r="W56" s="197">
        <v>42.4</v>
      </c>
      <c r="X56" s="197">
        <v>4.4199999999999875</v>
      </c>
      <c r="Y56" s="197">
        <v>52.45</v>
      </c>
      <c r="Z56" s="197">
        <v>1.0000000000000001E-5</v>
      </c>
      <c r="AA56" s="197">
        <v>62.408443333333345</v>
      </c>
      <c r="AB56" s="197">
        <v>-71.400000000000006</v>
      </c>
      <c r="AC56" s="197">
        <v>3.30607083333333</v>
      </c>
      <c r="AD56" s="197">
        <v>-40.091956666666675</v>
      </c>
    </row>
    <row r="57" spans="1:30" s="197" customFormat="1" x14ac:dyDescent="0.3">
      <c r="A57" s="197" t="s">
        <v>139</v>
      </c>
      <c r="B57" s="197">
        <v>7</v>
      </c>
      <c r="C57" s="197">
        <v>1</v>
      </c>
      <c r="D57" s="197">
        <v>7</v>
      </c>
      <c r="E57" s="197" t="s">
        <v>255</v>
      </c>
      <c r="F57" s="197">
        <v>0.86647752631578956</v>
      </c>
      <c r="G57" s="197">
        <v>-5.8979157894736822</v>
      </c>
      <c r="H57" s="197">
        <v>203.2</v>
      </c>
      <c r="I57" s="197">
        <v>109.5</v>
      </c>
      <c r="J57" s="197">
        <v>15.454545454545455</v>
      </c>
      <c r="K57" s="197">
        <v>113.25028312570765</v>
      </c>
      <c r="L57" s="197">
        <v>23</v>
      </c>
      <c r="M57" s="197">
        <v>90.316010958869398</v>
      </c>
      <c r="N57" s="197">
        <v>43.99859204505443</v>
      </c>
      <c r="O57" s="197">
        <v>90.316010958869398</v>
      </c>
      <c r="P57" s="197">
        <v>47.735743118835835</v>
      </c>
      <c r="Q57" s="197">
        <v>24.719523281387051</v>
      </c>
      <c r="R57" s="197">
        <v>1.6459399999999999E-2</v>
      </c>
      <c r="S57" s="103">
        <f t="shared" si="0"/>
        <v>16.459399999999999</v>
      </c>
      <c r="T57" s="197">
        <v>1.0000000000000001E-5</v>
      </c>
      <c r="U57" s="197">
        <v>589.94265232974908</v>
      </c>
      <c r="V57" s="197">
        <v>0.755</v>
      </c>
      <c r="W57" s="197">
        <v>27.9</v>
      </c>
      <c r="X57" s="197">
        <v>4.3499999999999943</v>
      </c>
      <c r="Y57" s="197">
        <v>44.924999999999997</v>
      </c>
      <c r="Z57" s="197">
        <v>1.0000000000000001E-5</v>
      </c>
      <c r="AA57" s="197">
        <v>78.594010526315799</v>
      </c>
      <c r="AB57" s="197">
        <v>-66</v>
      </c>
      <c r="AC57" s="197">
        <v>1.0808302083333201</v>
      </c>
      <c r="AD57" s="197">
        <v>-50.129131578947373</v>
      </c>
    </row>
    <row r="58" spans="1:30" s="197" customFormat="1" x14ac:dyDescent="0.3">
      <c r="A58" s="197" t="s">
        <v>141</v>
      </c>
      <c r="B58" s="197">
        <v>7</v>
      </c>
      <c r="C58" s="197">
        <v>1</v>
      </c>
      <c r="D58" s="197">
        <v>6</v>
      </c>
      <c r="E58" s="197" t="s">
        <v>255</v>
      </c>
      <c r="F58" s="197">
        <v>1.2905323529411765</v>
      </c>
      <c r="G58" s="197">
        <v>-8.1367437499999991</v>
      </c>
      <c r="H58" s="197">
        <v>128</v>
      </c>
      <c r="I58" s="197">
        <v>62.9</v>
      </c>
      <c r="J58" s="197">
        <v>16.666666666666668</v>
      </c>
      <c r="K58" s="197">
        <v>82.257135806531338</v>
      </c>
      <c r="L58" s="197">
        <v>15</v>
      </c>
      <c r="M58" s="197">
        <v>115.60549829256625</v>
      </c>
      <c r="N58" s="197">
        <v>27.550486266082576</v>
      </c>
      <c r="O58" s="197">
        <v>35.47711048967404</v>
      </c>
      <c r="P58" s="197">
        <v>32.669932490609</v>
      </c>
      <c r="Q58" s="197">
        <v>30.540057087687131</v>
      </c>
      <c r="R58" s="197">
        <v>4.45466E-3</v>
      </c>
      <c r="S58" s="103">
        <f t="shared" si="0"/>
        <v>4.4546599999999996</v>
      </c>
      <c r="T58" s="197">
        <v>4.5</v>
      </c>
      <c r="U58" s="197">
        <v>50.392081447963797</v>
      </c>
      <c r="V58" s="197">
        <v>0.45700000000000002</v>
      </c>
      <c r="W58" s="197">
        <v>88.4</v>
      </c>
      <c r="X58" s="197">
        <v>2.2099999999999937</v>
      </c>
      <c r="Y58" s="197">
        <v>67.554765000000003</v>
      </c>
      <c r="Z58" s="197">
        <v>1.0000000000000001E-5</v>
      </c>
      <c r="AA58" s="197">
        <v>65.501500000000007</v>
      </c>
      <c r="AB58" s="197">
        <v>-64.7</v>
      </c>
      <c r="AC58" s="197">
        <v>3.98423888888889</v>
      </c>
      <c r="AD58" s="197">
        <v>-36.045081250000003</v>
      </c>
    </row>
    <row r="59" spans="1:30" s="197" customFormat="1" x14ac:dyDescent="0.3">
      <c r="A59" s="197" t="s">
        <v>143</v>
      </c>
      <c r="B59" s="197">
        <v>7</v>
      </c>
      <c r="C59" s="197">
        <v>1</v>
      </c>
      <c r="D59" s="197">
        <v>6</v>
      </c>
      <c r="E59" s="197" t="s">
        <v>255</v>
      </c>
      <c r="F59" s="197">
        <v>1.3524230769230767</v>
      </c>
      <c r="G59" s="197">
        <v>-5.3663846153846135</v>
      </c>
      <c r="H59" s="197">
        <v>125.7</v>
      </c>
      <c r="I59" s="197">
        <v>64.099999999999994</v>
      </c>
      <c r="J59" s="197">
        <v>20</v>
      </c>
      <c r="K59" s="197">
        <v>75.878291220881692</v>
      </c>
      <c r="L59" s="197">
        <v>14</v>
      </c>
      <c r="M59" s="197">
        <v>139.18950899836381</v>
      </c>
      <c r="N59" s="197">
        <v>26.542800265428035</v>
      </c>
      <c r="O59" s="197">
        <v>43.125599674093493</v>
      </c>
      <c r="P59" s="197">
        <v>29.905478380147557</v>
      </c>
      <c r="Q59" s="197">
        <v>32.299825908832346</v>
      </c>
      <c r="R59" s="197">
        <v>1.7141099999999999E-2</v>
      </c>
      <c r="S59" s="103">
        <f t="shared" si="0"/>
        <v>17.141099999999998</v>
      </c>
      <c r="T59" s="197">
        <v>6.8999999999999915</v>
      </c>
      <c r="U59" s="197">
        <v>245.92682926829264</v>
      </c>
      <c r="V59" s="197">
        <v>0.23</v>
      </c>
      <c r="W59" s="197">
        <v>69.7</v>
      </c>
      <c r="X59" s="197">
        <v>3.5300000000000011</v>
      </c>
      <c r="Y59" s="197">
        <v>99.305000000000007</v>
      </c>
      <c r="Z59" s="197">
        <v>1.4499999999999957</v>
      </c>
      <c r="AA59" s="197">
        <v>69.993230769230763</v>
      </c>
      <c r="AB59" s="197">
        <v>-67.3</v>
      </c>
      <c r="AC59" s="197">
        <v>5.8492020833333198</v>
      </c>
      <c r="AD59" s="197">
        <v>-44.757553846153847</v>
      </c>
    </row>
    <row r="60" spans="1:30" s="197" customFormat="1" x14ac:dyDescent="0.3">
      <c r="A60" s="197" t="s">
        <v>145</v>
      </c>
      <c r="B60" s="197">
        <v>7</v>
      </c>
      <c r="C60" s="197">
        <v>1</v>
      </c>
      <c r="D60" s="197">
        <v>6</v>
      </c>
      <c r="E60" s="197" t="s">
        <v>255</v>
      </c>
      <c r="F60" s="197">
        <v>1.1983709090909092</v>
      </c>
      <c r="G60" s="197">
        <v>-8.0510999999999981</v>
      </c>
      <c r="H60" s="197">
        <v>137.6</v>
      </c>
      <c r="I60" s="197">
        <v>73.900000000000006</v>
      </c>
      <c r="J60" s="197">
        <v>20</v>
      </c>
      <c r="K60" s="197">
        <v>32.124385621125008</v>
      </c>
      <c r="L60" s="197">
        <v>14</v>
      </c>
      <c r="M60" s="197">
        <v>119.56414833837194</v>
      </c>
      <c r="N60" s="197">
        <v>28.752156411730809</v>
      </c>
      <c r="O60" s="197">
        <v>41.235738266567438</v>
      </c>
      <c r="P60" s="197">
        <v>27.585002214886686</v>
      </c>
      <c r="Q60" s="197">
        <v>35.564879341529732</v>
      </c>
      <c r="R60" s="197">
        <v>1.47242E-2</v>
      </c>
      <c r="S60" s="103">
        <f t="shared" si="0"/>
        <v>14.7242</v>
      </c>
      <c r="T60" s="197">
        <v>1E-4</v>
      </c>
      <c r="U60" s="197">
        <v>418.65794711401759</v>
      </c>
      <c r="V60" s="197">
        <v>0.8</v>
      </c>
      <c r="W60" s="197">
        <v>35.17</v>
      </c>
      <c r="X60" s="197">
        <v>3.7109999999999914</v>
      </c>
      <c r="Y60" s="197">
        <v>77.069999999999993</v>
      </c>
      <c r="Z60" s="197">
        <v>0.96000000000000085</v>
      </c>
      <c r="AA60" s="197">
        <v>64.885918181818184</v>
      </c>
      <c r="AB60" s="197">
        <v>-64.5</v>
      </c>
      <c r="AC60" s="197">
        <v>2.98818125000001</v>
      </c>
      <c r="AD60" s="197">
        <v>-35.76104545454546</v>
      </c>
    </row>
    <row r="61" spans="1:30" s="197" customFormat="1" x14ac:dyDescent="0.3">
      <c r="A61" s="197" t="s">
        <v>148</v>
      </c>
      <c r="B61" s="197">
        <v>7</v>
      </c>
      <c r="C61" s="197">
        <v>1</v>
      </c>
      <c r="D61" s="197">
        <v>7</v>
      </c>
      <c r="E61" s="197" t="s">
        <v>255</v>
      </c>
      <c r="F61" s="197">
        <v>1.2082150000000003</v>
      </c>
      <c r="G61" s="197">
        <v>-6.5078562500000006</v>
      </c>
      <c r="H61" s="197">
        <v>112.9</v>
      </c>
      <c r="I61" s="197">
        <v>55.8</v>
      </c>
      <c r="J61" s="197">
        <v>30</v>
      </c>
      <c r="K61" s="197">
        <v>110.53387863380129</v>
      </c>
      <c r="L61" s="197">
        <v>24</v>
      </c>
      <c r="M61" s="197">
        <v>81.938922270940935</v>
      </c>
      <c r="N61" s="197">
        <v>45.741469215991287</v>
      </c>
      <c r="O61" s="197">
        <v>45.044878944354032</v>
      </c>
      <c r="P61" s="197">
        <v>49.333564854047602</v>
      </c>
      <c r="Q61" s="197">
        <v>43.275339056820101</v>
      </c>
      <c r="R61" s="197">
        <v>1.3509E-2</v>
      </c>
      <c r="S61" s="103">
        <f t="shared" si="0"/>
        <v>13.509</v>
      </c>
      <c r="T61" s="197">
        <v>1E-4</v>
      </c>
      <c r="U61" s="197">
        <v>200.72808320950966</v>
      </c>
      <c r="V61" s="197">
        <v>0.56000000000000005</v>
      </c>
      <c r="W61" s="197">
        <v>67.3</v>
      </c>
      <c r="X61" s="197">
        <v>3.1499999999999915</v>
      </c>
      <c r="Y61" s="197">
        <v>36.085000000000001</v>
      </c>
      <c r="Z61" s="197">
        <v>1E-4</v>
      </c>
      <c r="AA61" s="197">
        <v>55.046068749999996</v>
      </c>
      <c r="AB61" s="197">
        <v>-66.7</v>
      </c>
      <c r="AC61" s="197">
        <v>2.31512528735631</v>
      </c>
      <c r="AD61" s="197">
        <v>-23.14376875</v>
      </c>
    </row>
    <row r="62" spans="1:30" s="197" customFormat="1" x14ac:dyDescent="0.3">
      <c r="A62" s="197" t="s">
        <v>150</v>
      </c>
      <c r="B62" s="197">
        <v>7</v>
      </c>
      <c r="C62" s="197">
        <v>1</v>
      </c>
      <c r="D62" s="197">
        <v>7</v>
      </c>
      <c r="E62" s="197" t="s">
        <v>255</v>
      </c>
      <c r="F62" s="197">
        <v>0.86603200000000025</v>
      </c>
      <c r="G62" s="197">
        <v>-12.637494736842106</v>
      </c>
      <c r="H62" s="197">
        <v>178.8</v>
      </c>
      <c r="I62" s="197">
        <v>109.6</v>
      </c>
      <c r="J62" s="197">
        <v>33.333333333333336</v>
      </c>
      <c r="K62" s="197">
        <v>109.89010989010961</v>
      </c>
      <c r="L62" s="197">
        <v>27</v>
      </c>
      <c r="M62" s="197">
        <v>171.64504335908399</v>
      </c>
      <c r="N62" s="197">
        <v>53.561863952865352</v>
      </c>
      <c r="O62" s="197">
        <v>57.54746457037362</v>
      </c>
      <c r="P62" s="197">
        <v>56.726731010102235</v>
      </c>
      <c r="Q62" s="197">
        <v>53.270876933576353</v>
      </c>
      <c r="R62" s="197">
        <v>1.6214099999999999E-2</v>
      </c>
      <c r="S62" s="103">
        <f t="shared" si="0"/>
        <v>16.214099999999998</v>
      </c>
      <c r="T62" s="197">
        <v>3.2199999999999989</v>
      </c>
      <c r="U62" s="197">
        <v>302.50186567164172</v>
      </c>
      <c r="V62" s="197">
        <v>0.36</v>
      </c>
      <c r="W62" s="197">
        <v>53.6</v>
      </c>
      <c r="X62" s="197">
        <v>2.7800000000000011</v>
      </c>
      <c r="Y62" s="197">
        <v>189.375</v>
      </c>
      <c r="Z62" s="197">
        <v>0.76999999999999602</v>
      </c>
      <c r="AA62" s="197">
        <v>70.897163157894724</v>
      </c>
      <c r="AB62" s="197">
        <v>-66.8</v>
      </c>
      <c r="AC62" s="197">
        <v>2.7360597701149398</v>
      </c>
      <c r="AD62" s="197">
        <v>-39.441568421052629</v>
      </c>
    </row>
    <row r="63" spans="1:30" s="197" customFormat="1" x14ac:dyDescent="0.3">
      <c r="A63" s="197" t="s">
        <v>152</v>
      </c>
      <c r="B63" s="197">
        <v>7</v>
      </c>
      <c r="C63" s="197">
        <v>1</v>
      </c>
      <c r="D63" s="197">
        <v>7</v>
      </c>
      <c r="E63" s="197" t="s">
        <v>255</v>
      </c>
      <c r="F63" s="197">
        <v>0.94637957692307695</v>
      </c>
      <c r="G63" s="197">
        <v>-11.218730769230771</v>
      </c>
      <c r="H63" s="197">
        <v>201.5</v>
      </c>
      <c r="I63" s="197">
        <v>97.6</v>
      </c>
      <c r="J63" s="197">
        <v>22.5</v>
      </c>
      <c r="K63" s="197">
        <v>134.95276653171396</v>
      </c>
      <c r="L63" s="197">
        <v>27</v>
      </c>
      <c r="M63" s="197">
        <v>109.8188002046241</v>
      </c>
      <c r="N63" s="197">
        <v>52.246603970741937</v>
      </c>
      <c r="O63" s="197">
        <v>46.177753599286561</v>
      </c>
      <c r="P63" s="197">
        <v>56.716245405978661</v>
      </c>
      <c r="Q63" s="197">
        <v>36.666304560431975</v>
      </c>
      <c r="R63" s="197">
        <v>1.3807E-2</v>
      </c>
      <c r="S63" s="103">
        <f t="shared" si="0"/>
        <v>13.807</v>
      </c>
      <c r="T63" s="197">
        <v>4.4289999999999878</v>
      </c>
      <c r="U63" s="197">
        <v>202.7459618208517</v>
      </c>
      <c r="V63" s="197">
        <v>0.4</v>
      </c>
      <c r="W63" s="197">
        <v>68.099999999999994</v>
      </c>
      <c r="X63" s="197">
        <v>6.0899999999999963</v>
      </c>
      <c r="Y63" s="197">
        <v>52.98</v>
      </c>
      <c r="Z63" s="197">
        <v>0.1699999999999946</v>
      </c>
      <c r="AA63" s="197">
        <v>72.798507692307695</v>
      </c>
      <c r="AB63" s="197">
        <v>-63</v>
      </c>
      <c r="AC63" s="197">
        <v>2.59574827586209</v>
      </c>
      <c r="AD63" s="197">
        <v>-42.562630769230772</v>
      </c>
    </row>
    <row r="64" spans="1:30" s="197" customFormat="1" x14ac:dyDescent="0.3">
      <c r="A64" s="197" t="s">
        <v>154</v>
      </c>
      <c r="B64" s="197">
        <v>7</v>
      </c>
      <c r="C64" s="197">
        <v>1</v>
      </c>
      <c r="D64" s="197">
        <v>7</v>
      </c>
      <c r="E64" s="197" t="s">
        <v>255</v>
      </c>
      <c r="F64" s="197">
        <v>1.0822286363636364</v>
      </c>
      <c r="G64" s="197">
        <v>-10.889231818181818</v>
      </c>
      <c r="H64" s="197">
        <v>119.7</v>
      </c>
      <c r="I64" s="197">
        <v>80</v>
      </c>
      <c r="J64" s="197">
        <v>21.962518671750324</v>
      </c>
      <c r="K64" s="197">
        <v>109.15838882218097</v>
      </c>
      <c r="L64" s="197">
        <v>25</v>
      </c>
      <c r="M64" s="197">
        <v>84.78499547129455</v>
      </c>
      <c r="N64" s="197">
        <v>43.325679130020546</v>
      </c>
      <c r="O64" s="197">
        <v>48.658689497699207</v>
      </c>
      <c r="P64" s="197">
        <v>51.34622020879101</v>
      </c>
      <c r="Q64" s="197">
        <v>36.229529707218894</v>
      </c>
      <c r="R64" s="197">
        <v>1.05722E-2</v>
      </c>
      <c r="S64" s="103">
        <f t="shared" si="0"/>
        <v>10.5722</v>
      </c>
      <c r="T64" s="197">
        <v>3.8999999999999915</v>
      </c>
      <c r="U64" s="197">
        <v>298.64971751412429</v>
      </c>
      <c r="V64" s="197">
        <v>0.56000000000000005</v>
      </c>
      <c r="W64" s="197">
        <v>35.4</v>
      </c>
      <c r="X64" s="197">
        <v>4.6470000000000056</v>
      </c>
      <c r="Y64" s="197">
        <v>48.674999999999997</v>
      </c>
      <c r="Z64" s="197">
        <v>0.79000000000000625</v>
      </c>
      <c r="AA64" s="197">
        <v>58.427281818181811</v>
      </c>
      <c r="AB64" s="197">
        <v>-66</v>
      </c>
      <c r="AC64" s="197">
        <v>3.2973011494252802</v>
      </c>
      <c r="AD64" s="197">
        <v>-45.042724</v>
      </c>
    </row>
    <row r="65" spans="1:30" s="197" customFormat="1" ht="15" thickBot="1" x14ac:dyDescent="0.35">
      <c r="A65" s="197" t="s">
        <v>156</v>
      </c>
      <c r="B65" s="197">
        <v>7</v>
      </c>
      <c r="C65" s="197">
        <v>1</v>
      </c>
      <c r="D65" s="197">
        <v>7</v>
      </c>
      <c r="E65" s="197" t="s">
        <v>255</v>
      </c>
      <c r="F65" s="197">
        <v>0.9336488235294117</v>
      </c>
      <c r="G65" s="197">
        <v>-12.199847058823531</v>
      </c>
      <c r="H65" s="197">
        <v>163.1</v>
      </c>
      <c r="I65" s="197">
        <v>91</v>
      </c>
      <c r="J65" s="197">
        <v>19.110367652929341</v>
      </c>
      <c r="K65" s="197">
        <v>125.86532410320922</v>
      </c>
      <c r="L65" s="197">
        <v>20</v>
      </c>
      <c r="M65" s="197">
        <v>166.11920521259412</v>
      </c>
      <c r="N65" s="197">
        <v>39.38868756893033</v>
      </c>
      <c r="O65" s="197">
        <v>41.501790868835634</v>
      </c>
      <c r="P65" s="197">
        <v>42.92356302571725</v>
      </c>
      <c r="Q65" s="197">
        <v>41.630234860934529</v>
      </c>
      <c r="R65" s="197">
        <v>1.63032E-2</v>
      </c>
      <c r="S65" s="103">
        <f t="shared" si="0"/>
        <v>16.3032</v>
      </c>
      <c r="T65" s="197">
        <v>4.3000000000000114</v>
      </c>
      <c r="U65" s="197">
        <v>286.52372583479792</v>
      </c>
      <c r="V65" s="197">
        <v>0.36</v>
      </c>
      <c r="W65" s="197">
        <v>56.9</v>
      </c>
      <c r="X65" s="197">
        <v>4.0679999999999978</v>
      </c>
      <c r="Y65" s="197">
        <v>97.013069999999999</v>
      </c>
      <c r="Z65" s="197">
        <v>1.7259999999999991</v>
      </c>
      <c r="AA65" s="197">
        <v>71.888647058823523</v>
      </c>
      <c r="AB65" s="197">
        <v>-60</v>
      </c>
      <c r="AC65" s="197">
        <v>5.4019632183908</v>
      </c>
      <c r="AD65" s="197">
        <v>-34.251494117647049</v>
      </c>
    </row>
    <row r="66" spans="1:30" s="203" customFormat="1" ht="15" thickBot="1" x14ac:dyDescent="0.35">
      <c r="A66" s="202" t="s">
        <v>95</v>
      </c>
      <c r="B66" s="203">
        <v>7</v>
      </c>
      <c r="C66" s="203">
        <v>2</v>
      </c>
      <c r="D66" s="203">
        <v>7</v>
      </c>
      <c r="E66" s="203" t="s">
        <v>256</v>
      </c>
      <c r="F66" s="203">
        <v>0.72852476666666677</v>
      </c>
      <c r="G66" s="203">
        <v>-17.29837666666667</v>
      </c>
      <c r="H66" s="203">
        <v>221.8</v>
      </c>
      <c r="I66" s="203">
        <v>115.64</v>
      </c>
      <c r="J66" s="203">
        <v>27.5</v>
      </c>
      <c r="K66" s="203">
        <v>180.53800324968361</v>
      </c>
      <c r="L66" s="203">
        <v>39</v>
      </c>
      <c r="M66" s="203">
        <v>188.69350118010291</v>
      </c>
      <c r="N66" s="203">
        <v>73.69739848183319</v>
      </c>
      <c r="O66" s="203">
        <v>56.757161461970554</v>
      </c>
      <c r="P66" s="203">
        <v>80.778548212989222</v>
      </c>
      <c r="Q66" s="203">
        <v>44.550940601829687</v>
      </c>
      <c r="R66" s="203">
        <v>1.17E-2</v>
      </c>
      <c r="S66" s="200">
        <f t="shared" si="0"/>
        <v>11.700000000000001</v>
      </c>
      <c r="T66" s="203">
        <v>2.6600000000000108</v>
      </c>
      <c r="U66" s="203">
        <v>292.04368174726989</v>
      </c>
      <c r="V66" s="203">
        <v>0.54</v>
      </c>
      <c r="W66" s="203">
        <v>40.0625</v>
      </c>
      <c r="AA66" s="203">
        <v>77.099999999999994</v>
      </c>
      <c r="AB66" s="203">
        <v>-64</v>
      </c>
      <c r="AC66" s="203">
        <v>2.2888177083333301</v>
      </c>
      <c r="AD66" s="203">
        <v>-36.394756666666666</v>
      </c>
    </row>
    <row r="67" spans="1:30" s="197" customFormat="1" x14ac:dyDescent="0.3">
      <c r="A67" s="197" t="s">
        <v>97</v>
      </c>
      <c r="B67" s="197">
        <v>7</v>
      </c>
      <c r="C67" s="197">
        <v>2</v>
      </c>
      <c r="D67" s="197">
        <v>7</v>
      </c>
      <c r="E67" s="197" t="s">
        <v>256</v>
      </c>
      <c r="F67" s="197">
        <v>0.76785043333333336</v>
      </c>
      <c r="G67" s="197">
        <v>-13.92721666666667</v>
      </c>
      <c r="H67" s="197">
        <v>231.33</v>
      </c>
      <c r="I67" s="197">
        <v>107.7</v>
      </c>
      <c r="J67" s="197">
        <v>15.555555555555555</v>
      </c>
      <c r="K67" s="197">
        <v>183.2172957127153</v>
      </c>
      <c r="L67" s="197">
        <v>26</v>
      </c>
      <c r="M67" s="197">
        <v>114.59361751595532</v>
      </c>
      <c r="N67" s="197">
        <v>54.02485143165859</v>
      </c>
      <c r="O67" s="197">
        <v>33.007538558362164</v>
      </c>
      <c r="P67" s="197">
        <v>57.700861530634434</v>
      </c>
      <c r="Q67" s="197">
        <v>24.780131736410336</v>
      </c>
      <c r="R67" s="197">
        <v>1.18701E-2</v>
      </c>
      <c r="S67" s="103">
        <f t="shared" ref="S67:S130" si="1">R67*1000</f>
        <v>11.870099999999999</v>
      </c>
      <c r="T67" s="197">
        <v>3.0999999999999943</v>
      </c>
      <c r="U67" s="197">
        <v>239.49760403530894</v>
      </c>
      <c r="V67" s="197">
        <v>0.42</v>
      </c>
      <c r="W67" s="197">
        <v>49.5625</v>
      </c>
      <c r="AA67" s="197">
        <v>80.5</v>
      </c>
      <c r="AB67" s="197">
        <v>-65</v>
      </c>
      <c r="AC67" s="197">
        <v>3.3537552083333302</v>
      </c>
      <c r="AD67" s="197">
        <v>-39.009599999999999</v>
      </c>
    </row>
    <row r="68" spans="1:30" s="197" customFormat="1" x14ac:dyDescent="0.3">
      <c r="A68" s="197" t="s">
        <v>99</v>
      </c>
      <c r="B68" s="197">
        <v>7</v>
      </c>
      <c r="C68" s="197">
        <v>2</v>
      </c>
      <c r="D68" s="197">
        <v>7</v>
      </c>
      <c r="E68" s="197" t="s">
        <v>256</v>
      </c>
      <c r="F68" s="197">
        <v>0.86486243333333312</v>
      </c>
      <c r="G68" s="197">
        <v>-18.934626666666659</v>
      </c>
      <c r="H68" s="197">
        <v>180.7</v>
      </c>
      <c r="I68" s="197">
        <v>87.9</v>
      </c>
      <c r="J68" s="197">
        <v>15.65217391304348</v>
      </c>
      <c r="K68" s="197">
        <v>150.3759398496239</v>
      </c>
      <c r="L68" s="197">
        <v>25</v>
      </c>
      <c r="M68" s="197">
        <v>98.195388400995199</v>
      </c>
      <c r="N68" s="197">
        <v>53.89</v>
      </c>
      <c r="O68" s="197">
        <v>30.22682040081289</v>
      </c>
      <c r="P68" s="197">
        <v>57.853002438777942</v>
      </c>
      <c r="Q68" s="197">
        <v>25.401948851858794</v>
      </c>
      <c r="R68" s="197">
        <v>1.2354499999999999E-2</v>
      </c>
      <c r="S68" s="103">
        <f t="shared" si="1"/>
        <v>12.3545</v>
      </c>
      <c r="T68" s="197">
        <v>1.0000000000000001E-5</v>
      </c>
      <c r="U68" s="197">
        <v>234.20853080568719</v>
      </c>
      <c r="V68" s="197">
        <v>0.4</v>
      </c>
      <c r="W68" s="197">
        <v>52.75</v>
      </c>
      <c r="AA68" s="197">
        <v>72.5</v>
      </c>
      <c r="AB68" s="197">
        <v>-64.5</v>
      </c>
      <c r="AC68" s="197">
        <v>5.2181283950616999</v>
      </c>
      <c r="AD68" s="197">
        <v>-21.799723333333329</v>
      </c>
    </row>
    <row r="69" spans="1:30" s="197" customFormat="1" x14ac:dyDescent="0.3">
      <c r="A69" s="197" t="s">
        <v>101</v>
      </c>
      <c r="B69" s="197">
        <v>7</v>
      </c>
      <c r="C69" s="197">
        <v>2</v>
      </c>
      <c r="D69" s="197">
        <v>7</v>
      </c>
      <c r="E69" s="197" t="s">
        <v>256</v>
      </c>
      <c r="F69" s="197">
        <v>0.58078639534883736</v>
      </c>
      <c r="G69" s="197">
        <v>-18.061081395348829</v>
      </c>
      <c r="H69" s="197">
        <v>333.92</v>
      </c>
      <c r="I69" s="197">
        <v>163.19999999999999</v>
      </c>
      <c r="J69" s="197">
        <v>13.461538461538462</v>
      </c>
      <c r="K69" s="197">
        <v>175.43859649122751</v>
      </c>
      <c r="L69" s="197">
        <v>41</v>
      </c>
      <c r="M69" s="197">
        <v>60.243240097915617</v>
      </c>
      <c r="N69" s="197">
        <v>80.276149955848155</v>
      </c>
      <c r="O69" s="197">
        <v>25.503106126382363</v>
      </c>
      <c r="P69" s="197">
        <v>82.820069210880348</v>
      </c>
      <c r="Q69" s="197">
        <v>22.465448417811601</v>
      </c>
      <c r="R69" s="197">
        <v>1.28363E-2</v>
      </c>
      <c r="S69" s="103">
        <f t="shared" si="1"/>
        <v>12.8363</v>
      </c>
      <c r="T69" s="197">
        <v>2.5600000000000023</v>
      </c>
      <c r="U69" s="197">
        <v>593.07190297429975</v>
      </c>
      <c r="V69" s="197">
        <v>0.8</v>
      </c>
      <c r="W69" s="197">
        <v>21.643750000000001</v>
      </c>
      <c r="AA69" s="197">
        <v>80.2</v>
      </c>
      <c r="AB69" s="197">
        <v>-65</v>
      </c>
      <c r="AC69" s="197">
        <v>3.6588279569892399</v>
      </c>
      <c r="AD69" s="197">
        <v>-40.877586046511624</v>
      </c>
    </row>
    <row r="70" spans="1:30" s="197" customFormat="1" x14ac:dyDescent="0.3">
      <c r="A70" s="197" t="s">
        <v>104</v>
      </c>
      <c r="B70" s="197">
        <v>7</v>
      </c>
      <c r="C70" s="197">
        <v>2</v>
      </c>
      <c r="D70" s="197">
        <v>7</v>
      </c>
      <c r="E70" s="197" t="s">
        <v>256</v>
      </c>
      <c r="F70" s="197">
        <v>0.67242964102564085</v>
      </c>
      <c r="G70" s="197">
        <v>-14.020871794871789</v>
      </c>
      <c r="H70" s="197">
        <v>204.8</v>
      </c>
      <c r="I70" s="197">
        <v>105.6</v>
      </c>
      <c r="J70" s="197">
        <v>15.454545454545453</v>
      </c>
      <c r="K70" s="197">
        <v>185.56318426424161</v>
      </c>
      <c r="L70" s="197">
        <v>34</v>
      </c>
      <c r="M70" s="197">
        <v>136.07609055434267</v>
      </c>
      <c r="N70" s="197">
        <v>67.006164567140274</v>
      </c>
      <c r="O70" s="197">
        <v>33.521363215097374</v>
      </c>
      <c r="P70" s="197">
        <v>67.006164567140274</v>
      </c>
      <c r="Q70" s="197">
        <v>28.822095302577118</v>
      </c>
      <c r="R70" s="197">
        <v>1.1466499999999999E-2</v>
      </c>
      <c r="S70" s="103">
        <f t="shared" si="1"/>
        <v>11.4665</v>
      </c>
      <c r="T70" s="197">
        <v>1.0000000000000001E-5</v>
      </c>
      <c r="U70" s="197">
        <v>597.60260586319214</v>
      </c>
      <c r="V70" s="197">
        <v>1.3</v>
      </c>
      <c r="W70" s="197">
        <v>19.1875</v>
      </c>
      <c r="AA70" s="197">
        <v>65.400000000000006</v>
      </c>
      <c r="AB70" s="197">
        <v>-62</v>
      </c>
      <c r="AC70" s="197">
        <v>3.5253057471264477</v>
      </c>
      <c r="AD70" s="197">
        <v>-15.201274358974359</v>
      </c>
    </row>
    <row r="71" spans="1:30" s="197" customFormat="1" x14ac:dyDescent="0.3">
      <c r="A71" s="197" t="s">
        <v>108</v>
      </c>
      <c r="B71" s="197">
        <v>7</v>
      </c>
      <c r="C71" s="197">
        <v>2</v>
      </c>
      <c r="D71" s="197">
        <v>6</v>
      </c>
      <c r="E71" s="197" t="s">
        <v>256</v>
      </c>
      <c r="F71" s="197">
        <v>0.71984819999999994</v>
      </c>
      <c r="G71" s="197">
        <v>-8.6685266666666685</v>
      </c>
      <c r="H71" s="197">
        <v>170</v>
      </c>
      <c r="I71" s="197">
        <v>102.4</v>
      </c>
      <c r="J71" s="197">
        <v>15.600000000000062</v>
      </c>
      <c r="K71" s="197">
        <v>216.73168617251821</v>
      </c>
      <c r="L71" s="197">
        <v>46</v>
      </c>
      <c r="M71" s="197">
        <v>77.113743673654596</v>
      </c>
      <c r="N71" s="197">
        <v>97.751710654936829</v>
      </c>
      <c r="O71" s="197">
        <v>30.674949015894903</v>
      </c>
      <c r="P71" s="197">
        <v>93.552364752586897</v>
      </c>
      <c r="Q71" s="197">
        <v>26.489868525839825</v>
      </c>
      <c r="R71" s="197">
        <v>1.5702600000000001E-2</v>
      </c>
      <c r="S71" s="103">
        <f t="shared" si="1"/>
        <v>15.7026</v>
      </c>
      <c r="T71" s="197">
        <v>0.53000000000000114</v>
      </c>
      <c r="U71" s="197">
        <v>596.91518175338558</v>
      </c>
      <c r="V71" s="197">
        <v>1.1000000000000001</v>
      </c>
      <c r="W71" s="197">
        <v>26.306249999999999</v>
      </c>
      <c r="AA71" s="197">
        <v>66.900000000000006</v>
      </c>
      <c r="AB71" s="197">
        <v>-62</v>
      </c>
      <c r="AC71" s="197">
        <v>0.381470238095234</v>
      </c>
      <c r="AD71" s="197">
        <v>-27.40020333333333</v>
      </c>
    </row>
    <row r="72" spans="1:30" s="197" customFormat="1" x14ac:dyDescent="0.3">
      <c r="A72" s="197" t="s">
        <v>114</v>
      </c>
      <c r="B72" s="197">
        <v>7</v>
      </c>
      <c r="C72" s="197">
        <v>2</v>
      </c>
      <c r="D72" s="197">
        <v>7</v>
      </c>
      <c r="E72" s="197" t="s">
        <v>256</v>
      </c>
      <c r="F72" s="197">
        <v>0.95615986666666664</v>
      </c>
      <c r="G72" s="197">
        <v>-14.080819999999999</v>
      </c>
      <c r="H72" s="197">
        <v>137.5</v>
      </c>
      <c r="I72" s="197">
        <v>77.400000000000006</v>
      </c>
      <c r="J72" s="197">
        <v>19.047619047619047</v>
      </c>
      <c r="K72" s="197">
        <v>163.61256544502629</v>
      </c>
      <c r="L72" s="197">
        <v>35</v>
      </c>
      <c r="M72" s="197">
        <v>63.545220995432544</v>
      </c>
      <c r="N72" s="197">
        <v>65.997888067582139</v>
      </c>
      <c r="O72" s="197">
        <v>35.881975621343663</v>
      </c>
      <c r="P72" s="197">
        <v>71.917693251181731</v>
      </c>
      <c r="Q72" s="197">
        <v>31.62501734827423</v>
      </c>
      <c r="R72" s="197">
        <v>1.6097299999999998E-2</v>
      </c>
      <c r="S72" s="103">
        <f t="shared" si="1"/>
        <v>16.097299999999997</v>
      </c>
      <c r="T72" s="197">
        <v>3.269999999999996</v>
      </c>
      <c r="U72" s="197">
        <v>415.59294320137695</v>
      </c>
      <c r="V72" s="197">
        <v>0.4</v>
      </c>
      <c r="W72" s="197">
        <v>38.733333333333327</v>
      </c>
      <c r="AA72" s="197">
        <v>64.7</v>
      </c>
      <c r="AB72" s="197">
        <v>-60</v>
      </c>
      <c r="AC72" s="197">
        <v>2.9790964285714301</v>
      </c>
      <c r="AD72" s="197">
        <v>-23.12621333333334</v>
      </c>
    </row>
    <row r="73" spans="1:30" s="197" customFormat="1" x14ac:dyDescent="0.3">
      <c r="A73" s="197" t="s">
        <v>116</v>
      </c>
      <c r="B73" s="197">
        <v>7</v>
      </c>
      <c r="C73" s="197">
        <v>2</v>
      </c>
      <c r="D73" s="197">
        <v>7</v>
      </c>
      <c r="E73" s="197" t="s">
        <v>256</v>
      </c>
      <c r="F73" s="197">
        <v>1.2990516666666669</v>
      </c>
      <c r="G73" s="197">
        <v>-16.77653333333333</v>
      </c>
      <c r="H73" s="197">
        <v>102.3</v>
      </c>
      <c r="I73" s="197">
        <v>49.8</v>
      </c>
      <c r="J73" s="197">
        <v>15.714285714285714</v>
      </c>
      <c r="K73" s="197">
        <v>114.968958381237</v>
      </c>
      <c r="L73" s="197">
        <v>26</v>
      </c>
      <c r="M73" s="197">
        <v>71.061736718958855</v>
      </c>
      <c r="N73" s="197">
        <v>51.075131518463643</v>
      </c>
      <c r="O73" s="197">
        <v>27.880335760043426</v>
      </c>
      <c r="P73" s="197">
        <v>52.784731460426613</v>
      </c>
      <c r="Q73" s="197">
        <v>24.939096556705302</v>
      </c>
      <c r="R73" s="197">
        <v>2.0426300000000001E-2</v>
      </c>
      <c r="S73" s="103">
        <f t="shared" si="1"/>
        <v>20.426300000000001</v>
      </c>
      <c r="T73" s="197">
        <v>4.9899999999999807</v>
      </c>
      <c r="U73" s="197">
        <v>169.5597675705589</v>
      </c>
      <c r="V73" s="197">
        <v>0.2</v>
      </c>
      <c r="W73" s="197">
        <v>120.4666666666667</v>
      </c>
      <c r="AA73" s="197">
        <v>56.900000000000006</v>
      </c>
      <c r="AB73" s="197">
        <v>-67</v>
      </c>
      <c r="AC73" s="197">
        <v>7.2594833333333497</v>
      </c>
      <c r="AD73" s="197">
        <v>-14.419556666666665</v>
      </c>
    </row>
    <row r="74" spans="1:30" s="197" customFormat="1" x14ac:dyDescent="0.3">
      <c r="A74" s="197" t="s">
        <v>118</v>
      </c>
      <c r="B74" s="197">
        <v>7</v>
      </c>
      <c r="C74" s="197">
        <v>2</v>
      </c>
      <c r="D74" s="197">
        <v>7</v>
      </c>
      <c r="E74" s="197" t="s">
        <v>256</v>
      </c>
      <c r="F74" s="197">
        <v>1.0104812999999999</v>
      </c>
      <c r="G74" s="197">
        <v>-10.576370000000001</v>
      </c>
      <c r="H74" s="197">
        <v>182.3</v>
      </c>
      <c r="I74" s="197">
        <v>74.599999999999994</v>
      </c>
      <c r="J74" s="197">
        <v>25.714285714285715</v>
      </c>
      <c r="K74" s="197">
        <v>164.7717910693685</v>
      </c>
      <c r="L74" s="197">
        <v>27</v>
      </c>
      <c r="M74" s="197">
        <v>137.39369542876432</v>
      </c>
      <c r="N74" s="197">
        <v>47.621315300728547</v>
      </c>
      <c r="O74" s="197">
        <v>50.029453974476226</v>
      </c>
      <c r="P74" s="197">
        <v>55.92547027312304</v>
      </c>
      <c r="Q74" s="197">
        <v>43.411458259252882</v>
      </c>
      <c r="R74" s="197">
        <v>1.3561699999999999E-2</v>
      </c>
      <c r="S74" s="103">
        <f t="shared" si="1"/>
        <v>13.5617</v>
      </c>
      <c r="T74" s="197">
        <v>4.9339999999999975</v>
      </c>
      <c r="U74" s="197">
        <v>316.86214953271025</v>
      </c>
      <c r="V74" s="197">
        <v>0.35</v>
      </c>
      <c r="W74" s="197">
        <v>42.8</v>
      </c>
      <c r="AA74" s="197">
        <v>76.099999999999994</v>
      </c>
      <c r="AB74" s="197">
        <v>-62</v>
      </c>
      <c r="AC74" s="197">
        <v>4.6454533333333297</v>
      </c>
      <c r="AD74" s="197">
        <v>-42.39298666666668</v>
      </c>
    </row>
    <row r="75" spans="1:30" s="197" customFormat="1" x14ac:dyDescent="0.3">
      <c r="A75" s="197" t="s">
        <v>120</v>
      </c>
      <c r="B75" s="197">
        <v>7</v>
      </c>
      <c r="C75" s="197">
        <v>2</v>
      </c>
      <c r="D75" s="197">
        <v>6</v>
      </c>
      <c r="E75" s="197" t="s">
        <v>256</v>
      </c>
      <c r="F75" s="197">
        <v>1.1067776666666671</v>
      </c>
      <c r="G75" s="197">
        <v>-5.6448852272727272</v>
      </c>
      <c r="H75" s="197">
        <v>159.9</v>
      </c>
      <c r="I75" s="197">
        <v>81.099999999999994</v>
      </c>
      <c r="J75" s="197">
        <v>14.615384615384617</v>
      </c>
      <c r="K75" s="197">
        <v>114.2074006395614</v>
      </c>
      <c r="L75" s="197">
        <v>23</v>
      </c>
      <c r="M75" s="197">
        <v>82.23745434577809</v>
      </c>
      <c r="N75" s="197">
        <v>41.946308724832363</v>
      </c>
      <c r="O75" s="197">
        <v>30.681951089650415</v>
      </c>
      <c r="P75" s="197">
        <v>46.880569057845719</v>
      </c>
      <c r="Q75" s="197">
        <v>25.439276808248259</v>
      </c>
      <c r="R75" s="197">
        <v>1.7289599999999999E-2</v>
      </c>
      <c r="S75" s="103">
        <f t="shared" si="1"/>
        <v>17.2896</v>
      </c>
      <c r="T75" s="197">
        <v>9.4200000000000017</v>
      </c>
      <c r="U75" s="197">
        <v>212.57704918032783</v>
      </c>
      <c r="V75" s="197">
        <v>0.2</v>
      </c>
      <c r="W75" s="197">
        <v>81.333333333333343</v>
      </c>
      <c r="AA75" s="197">
        <v>81.5</v>
      </c>
      <c r="AB75" s="197">
        <v>-60</v>
      </c>
      <c r="AC75" s="197">
        <v>7.6622096774193302</v>
      </c>
      <c r="AD75" s="197">
        <v>-32.253006666666664</v>
      </c>
    </row>
    <row r="76" spans="1:30" s="197" customFormat="1" x14ac:dyDescent="0.3">
      <c r="A76" s="197" t="s">
        <v>122</v>
      </c>
      <c r="B76" s="197">
        <v>7</v>
      </c>
      <c r="C76" s="197">
        <v>2</v>
      </c>
      <c r="D76" s="197">
        <v>6</v>
      </c>
      <c r="E76" s="197" t="s">
        <v>256</v>
      </c>
      <c r="F76" s="197">
        <v>0.89301147999999986</v>
      </c>
      <c r="G76" s="197">
        <v>-3.147071232876713</v>
      </c>
      <c r="H76" s="197">
        <v>148.4</v>
      </c>
      <c r="I76" s="197">
        <v>73.3</v>
      </c>
      <c r="J76" s="197">
        <v>22</v>
      </c>
      <c r="K76" s="197">
        <v>98.54158454867958</v>
      </c>
      <c r="L76" s="197">
        <v>19</v>
      </c>
      <c r="M76" s="197">
        <v>67.214819689174846</v>
      </c>
      <c r="N76" s="197">
        <v>35.560613064969118</v>
      </c>
      <c r="O76" s="197">
        <v>40.711251975333091</v>
      </c>
      <c r="P76" s="197">
        <v>39.691355721737629</v>
      </c>
      <c r="Q76" s="197">
        <v>37.671143427174215</v>
      </c>
      <c r="R76" s="197">
        <v>7.0925600000000004E-3</v>
      </c>
      <c r="S76" s="103">
        <f t="shared" si="1"/>
        <v>7.0925600000000006</v>
      </c>
      <c r="T76" s="197">
        <v>1.4249999999999972</v>
      </c>
      <c r="U76" s="197">
        <v>340.98846153846154</v>
      </c>
      <c r="V76" s="197">
        <v>1.25</v>
      </c>
      <c r="W76" s="197">
        <v>20.8</v>
      </c>
      <c r="AA76" s="197">
        <v>69</v>
      </c>
      <c r="AB76" s="197">
        <v>-67</v>
      </c>
      <c r="AC76" s="197">
        <v>1.00084516129032</v>
      </c>
      <c r="AD76" s="197">
        <v>-40.038456000000004</v>
      </c>
    </row>
    <row r="77" spans="1:30" s="197" customFormat="1" x14ac:dyDescent="0.3">
      <c r="A77" s="197" t="s">
        <v>124</v>
      </c>
      <c r="B77" s="197">
        <v>7</v>
      </c>
      <c r="C77" s="197">
        <v>2</v>
      </c>
      <c r="E77" s="197" t="s">
        <v>256</v>
      </c>
      <c r="F77" s="197">
        <v>1.5</v>
      </c>
      <c r="G77" s="197">
        <v>-24.305566666666664</v>
      </c>
      <c r="H77" s="197">
        <v>173.6</v>
      </c>
      <c r="I77" s="197">
        <v>51.7</v>
      </c>
      <c r="J77" s="197">
        <v>36</v>
      </c>
      <c r="K77" s="197">
        <v>116.85</v>
      </c>
      <c r="L77" s="197">
        <v>20</v>
      </c>
      <c r="M77" s="197">
        <v>75.227112261535126</v>
      </c>
      <c r="N77" s="197">
        <v>41.088000000000001</v>
      </c>
      <c r="O77" s="197">
        <v>70.831387354964249</v>
      </c>
      <c r="P77" s="197">
        <v>41.17591389968139</v>
      </c>
      <c r="Q77" s="197">
        <v>66.623105304993118</v>
      </c>
      <c r="R77" s="197">
        <v>3.8369E-2</v>
      </c>
      <c r="S77" s="103">
        <f t="shared" si="1"/>
        <v>38.369</v>
      </c>
      <c r="T77" s="197">
        <v>1.7999999999999972</v>
      </c>
      <c r="U77" s="197">
        <v>201.94210526315791</v>
      </c>
      <c r="V77" s="197">
        <v>0.1</v>
      </c>
      <c r="W77" s="197">
        <v>190</v>
      </c>
      <c r="X77" s="197">
        <v>12.479999999999997</v>
      </c>
      <c r="Y77" s="197">
        <v>137</v>
      </c>
      <c r="Z77" s="197">
        <v>1.0000000000000001E-5</v>
      </c>
      <c r="AA77" s="197">
        <v>80.5</v>
      </c>
      <c r="AB77" s="197">
        <v>-67.5</v>
      </c>
      <c r="AC77" s="197">
        <v>6.8664541666666503</v>
      </c>
      <c r="AD77" s="197">
        <v>-50.130200000000002</v>
      </c>
    </row>
    <row r="78" spans="1:30" s="197" customFormat="1" x14ac:dyDescent="0.3">
      <c r="A78" s="197" t="s">
        <v>126</v>
      </c>
      <c r="B78" s="197">
        <v>7</v>
      </c>
      <c r="C78" s="197">
        <v>2</v>
      </c>
      <c r="D78" s="197">
        <v>7</v>
      </c>
      <c r="E78" s="197" t="s">
        <v>256</v>
      </c>
      <c r="F78" s="197">
        <v>0.90130440909090903</v>
      </c>
      <c r="G78" s="197">
        <v>-11.599450000000003</v>
      </c>
      <c r="H78" s="197">
        <v>184.3</v>
      </c>
      <c r="I78" s="197">
        <v>79.8</v>
      </c>
      <c r="J78" s="197">
        <v>22.222222222222225</v>
      </c>
      <c r="K78" s="197">
        <v>141.26289023873468</v>
      </c>
      <c r="L78" s="197">
        <v>23</v>
      </c>
      <c r="M78" s="197">
        <v>143.5779682518349</v>
      </c>
      <c r="N78" s="197">
        <v>52.350539210553933</v>
      </c>
      <c r="O78" s="197">
        <v>45.32681599830358</v>
      </c>
      <c r="P78" s="197">
        <v>48.678110694203731</v>
      </c>
      <c r="Q78" s="197">
        <v>39.339279575535457</v>
      </c>
      <c r="R78" s="197">
        <v>7.8779000000000002E-3</v>
      </c>
      <c r="S78" s="103">
        <f t="shared" si="1"/>
        <v>7.8779000000000003</v>
      </c>
      <c r="T78" s="197">
        <v>3.4699999999999989</v>
      </c>
      <c r="U78" s="197">
        <v>177.4301801801802</v>
      </c>
      <c r="V78" s="197">
        <v>0.83</v>
      </c>
      <c r="W78" s="197">
        <v>44.4</v>
      </c>
      <c r="X78" s="197">
        <v>3.3999999999999915</v>
      </c>
      <c r="Y78" s="197">
        <v>45.784999999999997</v>
      </c>
      <c r="Z78" s="197">
        <v>2.2899999999999991</v>
      </c>
      <c r="AA78" s="197">
        <v>73.400000000000006</v>
      </c>
      <c r="AB78" s="197">
        <v>-65</v>
      </c>
      <c r="AC78" s="197">
        <v>2.8876838709677402</v>
      </c>
      <c r="AD78" s="197">
        <v>-37.600436363636362</v>
      </c>
    </row>
    <row r="79" spans="1:30" s="197" customFormat="1" x14ac:dyDescent="0.3">
      <c r="A79" s="197" t="s">
        <v>128</v>
      </c>
      <c r="B79" s="197">
        <v>7</v>
      </c>
      <c r="C79" s="197">
        <v>2</v>
      </c>
      <c r="D79" s="197">
        <v>7</v>
      </c>
      <c r="E79" s="197" t="s">
        <v>256</v>
      </c>
      <c r="F79" s="197">
        <v>1.1050270000000002</v>
      </c>
      <c r="G79" s="197">
        <v>-12.4587915</v>
      </c>
      <c r="H79" s="197">
        <v>142.44</v>
      </c>
      <c r="I79" s="197">
        <v>72.28</v>
      </c>
      <c r="J79" s="197">
        <v>26.666666666666668</v>
      </c>
      <c r="K79" s="197">
        <v>109.22992900054614</v>
      </c>
      <c r="L79" s="197">
        <v>23</v>
      </c>
      <c r="M79" s="197">
        <v>133.67994067747441</v>
      </c>
      <c r="N79" s="197">
        <v>39.3391030684501</v>
      </c>
      <c r="O79" s="197">
        <v>53.641356440739443</v>
      </c>
      <c r="P79" s="197">
        <v>47.551293926584236</v>
      </c>
      <c r="Q79" s="197">
        <v>45.242874094748146</v>
      </c>
      <c r="R79" s="197">
        <v>1.46975E-2</v>
      </c>
      <c r="S79" s="103">
        <f t="shared" si="1"/>
        <v>14.6975</v>
      </c>
      <c r="T79" s="197">
        <v>1.2399999999999949</v>
      </c>
      <c r="U79" s="197">
        <v>460.7366771159875</v>
      </c>
      <c r="V79" s="197">
        <v>1.2</v>
      </c>
      <c r="W79" s="197">
        <v>31.9</v>
      </c>
      <c r="X79" s="197">
        <v>0.50999999999999801</v>
      </c>
      <c r="Y79" s="197">
        <v>16.649999999999999</v>
      </c>
      <c r="Z79" s="197">
        <v>2.4750000000000014</v>
      </c>
      <c r="AA79" s="197">
        <v>68.829340000000002</v>
      </c>
      <c r="AB79" s="197">
        <v>-68.900000000000006</v>
      </c>
      <c r="AC79" s="197">
        <v>0.32814516129031301</v>
      </c>
      <c r="AD79" s="197">
        <v>-37.600436363636362</v>
      </c>
    </row>
    <row r="80" spans="1:30" s="197" customFormat="1" x14ac:dyDescent="0.3">
      <c r="A80" s="197" t="s">
        <v>130</v>
      </c>
      <c r="B80" s="197">
        <v>7</v>
      </c>
      <c r="C80" s="197">
        <v>2</v>
      </c>
      <c r="D80" s="197">
        <v>6</v>
      </c>
      <c r="E80" s="197" t="s">
        <v>256</v>
      </c>
      <c r="F80" s="197">
        <v>0.846531148148148</v>
      </c>
      <c r="G80" s="197">
        <v>-13.262718518518518</v>
      </c>
      <c r="H80" s="197">
        <v>171.3</v>
      </c>
      <c r="I80" s="197">
        <v>89.4</v>
      </c>
      <c r="J80" s="197">
        <v>10</v>
      </c>
      <c r="K80" s="197">
        <v>143.51320321469538</v>
      </c>
      <c r="L80" s="197">
        <v>31</v>
      </c>
      <c r="M80" s="197">
        <v>50.179780371946407</v>
      </c>
      <c r="N80" s="197">
        <v>61.57256326580881</v>
      </c>
      <c r="O80" s="197">
        <v>20.818327162915494</v>
      </c>
      <c r="P80" s="197">
        <v>64.662820911261292</v>
      </c>
      <c r="Q80" s="197">
        <v>19.413446343700667</v>
      </c>
      <c r="R80" s="197">
        <v>1.37374E-2</v>
      </c>
      <c r="S80" s="103">
        <f t="shared" si="1"/>
        <v>13.737400000000001</v>
      </c>
      <c r="T80" s="197">
        <v>1.6300000000000097</v>
      </c>
      <c r="U80" s="197">
        <v>416.28484848484851</v>
      </c>
      <c r="V80" s="197">
        <v>0.46400000000000002</v>
      </c>
      <c r="W80" s="197">
        <v>33</v>
      </c>
      <c r="X80" s="197">
        <v>5.3400000000000034</v>
      </c>
      <c r="Y80" s="197">
        <v>67.23</v>
      </c>
      <c r="Z80" s="197">
        <v>0.84899999999999665</v>
      </c>
      <c r="AA80" s="197">
        <v>64.163762962962949</v>
      </c>
      <c r="AB80" s="197">
        <v>-62.8</v>
      </c>
      <c r="AC80" s="197">
        <v>1.96887526881721</v>
      </c>
      <c r="AD80" s="197">
        <v>-36.460596296296302</v>
      </c>
    </row>
    <row r="81" spans="1:30" s="197" customFormat="1" x14ac:dyDescent="0.3">
      <c r="A81" s="197" t="s">
        <v>132</v>
      </c>
      <c r="B81" s="197">
        <v>7</v>
      </c>
      <c r="C81" s="197">
        <v>2</v>
      </c>
      <c r="D81" s="197">
        <v>6</v>
      </c>
      <c r="E81" s="197" t="s">
        <v>256</v>
      </c>
      <c r="F81" s="197">
        <v>1.1858865517241381</v>
      </c>
      <c r="G81" s="197">
        <v>-6.0382689655172408</v>
      </c>
      <c r="H81" s="197">
        <v>150.4</v>
      </c>
      <c r="I81" s="197">
        <v>61.6</v>
      </c>
      <c r="J81" s="197">
        <v>22</v>
      </c>
      <c r="K81" s="197">
        <v>87.519691930684502</v>
      </c>
      <c r="L81" s="197">
        <v>17</v>
      </c>
      <c r="M81" s="197">
        <v>152.2585688050498</v>
      </c>
      <c r="N81" s="197">
        <v>31.213908917813743</v>
      </c>
      <c r="O81" s="197">
        <v>45.917628188302146</v>
      </c>
      <c r="P81" s="197">
        <v>35.312593030162773</v>
      </c>
      <c r="Q81" s="197">
        <v>38.423185378136623</v>
      </c>
      <c r="R81" s="197">
        <v>1.6027799999999998E-2</v>
      </c>
      <c r="S81" s="103">
        <f t="shared" si="1"/>
        <v>16.027799999999999</v>
      </c>
      <c r="T81" s="197">
        <v>1.6799999999999926</v>
      </c>
      <c r="U81" s="197">
        <v>361.80135440180584</v>
      </c>
      <c r="V81" s="197">
        <v>0.55000000000000004</v>
      </c>
      <c r="W81" s="197">
        <v>44.3</v>
      </c>
      <c r="X81" s="197">
        <v>1.1700000000000017</v>
      </c>
      <c r="Y81" s="197">
        <v>52.54</v>
      </c>
      <c r="Z81" s="197">
        <v>1.3299999999999983</v>
      </c>
      <c r="AA81" s="197">
        <v>66.244193103448282</v>
      </c>
      <c r="AB81" s="197">
        <v>-68.5</v>
      </c>
      <c r="AC81" s="197">
        <v>2.20404722222223</v>
      </c>
      <c r="AD81" s="197">
        <v>-35.880255172413797</v>
      </c>
    </row>
    <row r="82" spans="1:30" s="197" customFormat="1" x14ac:dyDescent="0.3">
      <c r="A82" s="197" t="s">
        <v>134</v>
      </c>
      <c r="B82" s="197">
        <v>7</v>
      </c>
      <c r="C82" s="197">
        <v>2</v>
      </c>
      <c r="D82" s="197">
        <v>6</v>
      </c>
      <c r="E82" s="197" t="s">
        <v>256</v>
      </c>
      <c r="F82" s="197">
        <v>0.91222379310344814</v>
      </c>
      <c r="G82" s="197">
        <v>-14.086500000000001</v>
      </c>
      <c r="H82" s="197">
        <v>211</v>
      </c>
      <c r="I82" s="197">
        <v>87.9</v>
      </c>
      <c r="J82" s="197">
        <v>20</v>
      </c>
      <c r="K82" s="197">
        <v>100.90817356205856</v>
      </c>
      <c r="L82" s="197">
        <v>21</v>
      </c>
      <c r="M82" s="197">
        <v>98.291111882695006</v>
      </c>
      <c r="N82" s="197">
        <v>40.746475429875453</v>
      </c>
      <c r="O82" s="197">
        <v>35.209879244806388</v>
      </c>
      <c r="P82" s="197">
        <v>42.106713529987445</v>
      </c>
      <c r="Q82" s="197">
        <v>32.656087778006849</v>
      </c>
      <c r="R82" s="197">
        <v>1.41853E-2</v>
      </c>
      <c r="S82" s="103">
        <f t="shared" si="1"/>
        <v>14.1853</v>
      </c>
      <c r="T82" s="197">
        <v>2</v>
      </c>
      <c r="U82" s="197">
        <v>257.91454545454548</v>
      </c>
      <c r="V82" s="197">
        <v>0.4</v>
      </c>
      <c r="W82" s="197">
        <v>55</v>
      </c>
      <c r="X82" s="197">
        <v>4.25</v>
      </c>
      <c r="Y82" s="197">
        <v>62.534999999999997</v>
      </c>
      <c r="Z82" s="197">
        <v>0.62599999999999767</v>
      </c>
      <c r="AA82" s="197">
        <v>73.446337931034492</v>
      </c>
      <c r="AB82" s="197">
        <v>-70.53</v>
      </c>
      <c r="AC82" s="197">
        <v>2.2313935483870999</v>
      </c>
      <c r="AD82" s="197">
        <v>-43.673806896551724</v>
      </c>
    </row>
    <row r="83" spans="1:30" s="197" customFormat="1" x14ac:dyDescent="0.3">
      <c r="A83" s="197" t="s">
        <v>136</v>
      </c>
      <c r="B83" s="197">
        <v>7</v>
      </c>
      <c r="C83" s="197">
        <v>2</v>
      </c>
      <c r="D83" s="197">
        <v>7</v>
      </c>
      <c r="E83" s="197" t="s">
        <v>256</v>
      </c>
      <c r="F83" s="197">
        <v>0.7313647692307691</v>
      </c>
      <c r="G83" s="197">
        <v>-18.95608846153846</v>
      </c>
      <c r="H83" s="197">
        <v>163.1</v>
      </c>
      <c r="I83" s="197">
        <v>102.3</v>
      </c>
      <c r="J83" s="197">
        <v>9.6666666666666679</v>
      </c>
      <c r="K83" s="197">
        <v>179.6622349982033</v>
      </c>
      <c r="L83" s="197">
        <v>45</v>
      </c>
      <c r="M83" s="197">
        <v>50.730857651674732</v>
      </c>
      <c r="N83" s="197">
        <v>80.860354168350767</v>
      </c>
      <c r="O83" s="197">
        <v>20.565838759174135</v>
      </c>
      <c r="P83" s="197">
        <v>93.249035243560101</v>
      </c>
      <c r="Q83" s="197">
        <v>17.064734906420021</v>
      </c>
      <c r="R83" s="197">
        <v>1.3153099999999999E-2</v>
      </c>
      <c r="S83" s="103">
        <f t="shared" si="1"/>
        <v>13.153099999999998</v>
      </c>
      <c r="T83" s="197">
        <v>3.9669999999999987</v>
      </c>
      <c r="U83" s="197">
        <v>448.91126279863477</v>
      </c>
      <c r="V83" s="197">
        <v>0.76</v>
      </c>
      <c r="W83" s="197">
        <v>29.3</v>
      </c>
      <c r="X83" s="197">
        <v>5.820999999999998</v>
      </c>
      <c r="Y83" s="197">
        <v>55</v>
      </c>
      <c r="Z83" s="197">
        <v>2.8800000000000026</v>
      </c>
      <c r="AA83" s="197">
        <v>62.619723076923066</v>
      </c>
      <c r="AB83" s="197">
        <v>-66.099999999999994</v>
      </c>
      <c r="AC83" s="197">
        <v>4.0033806451612799</v>
      </c>
      <c r="AD83" s="197">
        <v>-35.050623076923081</v>
      </c>
    </row>
    <row r="84" spans="1:30" s="197" customFormat="1" x14ac:dyDescent="0.3">
      <c r="A84" s="197" t="s">
        <v>138</v>
      </c>
      <c r="B84" s="197">
        <v>7</v>
      </c>
      <c r="C84" s="197">
        <v>2</v>
      </c>
      <c r="D84" s="197">
        <v>7</v>
      </c>
      <c r="E84" s="197" t="s">
        <v>256</v>
      </c>
      <c r="F84" s="197">
        <v>0.70781695000000011</v>
      </c>
      <c r="G84" s="197">
        <v>-17.611694999999997</v>
      </c>
      <c r="H84" s="197">
        <v>202.8</v>
      </c>
      <c r="I84" s="197">
        <v>116.7</v>
      </c>
      <c r="J84" s="197">
        <v>15</v>
      </c>
      <c r="K84" s="197">
        <v>146.77821811243174</v>
      </c>
      <c r="L84" s="197">
        <v>33</v>
      </c>
      <c r="M84" s="197">
        <v>67.635110006901414</v>
      </c>
      <c r="N84" s="197">
        <v>59.241706161137458</v>
      </c>
      <c r="O84" s="197">
        <v>23.691243514909221</v>
      </c>
      <c r="P84" s="197">
        <v>65.428318405240162</v>
      </c>
      <c r="Q84" s="197">
        <v>18.801289918898618</v>
      </c>
      <c r="R84" s="197">
        <v>1.4778700000000001E-2</v>
      </c>
      <c r="S84" s="103">
        <f t="shared" si="1"/>
        <v>14.778700000000001</v>
      </c>
      <c r="T84" s="197">
        <v>3.9599999999999937</v>
      </c>
      <c r="U84" s="197">
        <v>613.22406639004146</v>
      </c>
      <c r="V84" s="197">
        <v>0.75</v>
      </c>
      <c r="W84" s="197">
        <v>24.1</v>
      </c>
      <c r="X84" s="197">
        <v>4.8799999999999955</v>
      </c>
      <c r="Y84" s="197">
        <v>80.405000000000001</v>
      </c>
      <c r="Z84" s="197">
        <v>2.3170000000000002</v>
      </c>
      <c r="AA84" s="197">
        <v>70.703130000000002</v>
      </c>
      <c r="AB84" s="197">
        <v>-66.8</v>
      </c>
      <c r="AC84" s="197">
        <v>2.0345053763440801</v>
      </c>
      <c r="AD84" s="197">
        <v>-40.225225000000002</v>
      </c>
    </row>
    <row r="85" spans="1:30" s="197" customFormat="1" x14ac:dyDescent="0.3">
      <c r="A85" s="197" t="s">
        <v>140</v>
      </c>
      <c r="B85" s="197">
        <v>7</v>
      </c>
      <c r="C85" s="197">
        <v>2</v>
      </c>
      <c r="D85" s="197">
        <v>7</v>
      </c>
      <c r="E85" s="197" t="s">
        <v>256</v>
      </c>
      <c r="F85" s="197">
        <v>0.76865976923076929</v>
      </c>
      <c r="G85" s="197">
        <v>-12.634261538461541</v>
      </c>
      <c r="H85" s="197">
        <v>172.2</v>
      </c>
      <c r="I85" s="197">
        <v>100.7</v>
      </c>
      <c r="J85" s="197">
        <v>9</v>
      </c>
      <c r="K85" s="197">
        <v>179.9532121648366</v>
      </c>
      <c r="L85" s="197">
        <v>35</v>
      </c>
      <c r="M85" s="197">
        <v>55.735142364164311</v>
      </c>
      <c r="N85" s="197">
        <v>62.640942119769711</v>
      </c>
      <c r="O85" s="197">
        <v>19.140205596151642</v>
      </c>
      <c r="P85" s="197">
        <v>72.293411299425642</v>
      </c>
      <c r="Q85" s="197">
        <v>15.049868747388709</v>
      </c>
      <c r="R85" s="197">
        <v>9.0756499999999993E-3</v>
      </c>
      <c r="S85" s="103">
        <f t="shared" si="1"/>
        <v>9.0756499999999996</v>
      </c>
      <c r="T85" s="197">
        <v>3.2480000000000047</v>
      </c>
      <c r="U85" s="197">
        <v>336.13518518518515</v>
      </c>
      <c r="V85" s="197">
        <v>1.2</v>
      </c>
      <c r="W85" s="197">
        <v>27</v>
      </c>
      <c r="X85" s="197">
        <v>3.9499999999999886</v>
      </c>
      <c r="Y85" s="197">
        <v>52.922939999999997</v>
      </c>
      <c r="Z85" s="197">
        <v>0.7120000000000033</v>
      </c>
      <c r="AA85" s="197">
        <v>64.040000000000006</v>
      </c>
      <c r="AB85" s="197">
        <v>-66.7</v>
      </c>
      <c r="AC85" s="197">
        <v>1.3782129032257999</v>
      </c>
      <c r="AD85" s="197">
        <v>-28.71938461538462</v>
      </c>
    </row>
    <row r="86" spans="1:30" s="197" customFormat="1" x14ac:dyDescent="0.3">
      <c r="A86" s="197" t="s">
        <v>142</v>
      </c>
      <c r="B86" s="197">
        <v>7</v>
      </c>
      <c r="C86" s="197">
        <v>2</v>
      </c>
      <c r="D86" s="197">
        <v>7</v>
      </c>
      <c r="E86" s="197" t="s">
        <v>256</v>
      </c>
      <c r="F86" s="197">
        <v>0.62497059999999982</v>
      </c>
      <c r="G86" s="197">
        <v>-16.642243333333326</v>
      </c>
      <c r="H86" s="197">
        <v>230</v>
      </c>
      <c r="I86" s="197">
        <v>138.85</v>
      </c>
      <c r="J86" s="197">
        <v>16.81818181818182</v>
      </c>
      <c r="K86" s="197">
        <v>171.26220243192333</v>
      </c>
      <c r="L86" s="197">
        <v>41</v>
      </c>
      <c r="M86" s="197">
        <v>72.813287069925792</v>
      </c>
      <c r="N86" s="197">
        <v>74.766355140186917</v>
      </c>
      <c r="O86" s="197">
        <v>31.297069825088599</v>
      </c>
      <c r="P86" s="197">
        <v>82.505880236834841</v>
      </c>
      <c r="Q86" s="197">
        <v>27.098237610032491</v>
      </c>
      <c r="R86" s="197">
        <v>8.9782100000000004E-3</v>
      </c>
      <c r="S86" s="103">
        <f t="shared" si="1"/>
        <v>8.9782100000000007</v>
      </c>
      <c r="T86" s="197">
        <v>3.7800000000000011</v>
      </c>
      <c r="U86" s="197">
        <v>280.56906250000003</v>
      </c>
      <c r="V86" s="197">
        <v>1</v>
      </c>
      <c r="W86" s="197">
        <v>32</v>
      </c>
      <c r="X86" s="197">
        <v>4.1539999999999964</v>
      </c>
      <c r="Y86" s="197">
        <v>57.832054999999997</v>
      </c>
      <c r="Z86" s="197">
        <v>1.9399999999999977</v>
      </c>
      <c r="AA86" s="197">
        <v>73.073319999999981</v>
      </c>
      <c r="AB86" s="197">
        <v>-62</v>
      </c>
      <c r="AC86" s="197">
        <v>4.1346397849462502</v>
      </c>
      <c r="AD86" s="197">
        <v>-37.066653333333321</v>
      </c>
    </row>
    <row r="87" spans="1:30" s="197" customFormat="1" x14ac:dyDescent="0.3">
      <c r="A87" s="197" t="s">
        <v>144</v>
      </c>
      <c r="B87" s="197">
        <v>7</v>
      </c>
      <c r="C87" s="197">
        <v>2</v>
      </c>
      <c r="D87" s="197">
        <v>7</v>
      </c>
      <c r="E87" s="197" t="s">
        <v>256</v>
      </c>
      <c r="F87" s="197">
        <v>0.57466417241379308</v>
      </c>
      <c r="G87" s="197">
        <v>-19.090928571428574</v>
      </c>
      <c r="H87" s="197">
        <v>211.98</v>
      </c>
      <c r="I87" s="197">
        <v>125.05</v>
      </c>
      <c r="J87" s="197">
        <v>15</v>
      </c>
      <c r="K87" s="197">
        <v>174.42874585731715</v>
      </c>
      <c r="L87" s="197">
        <v>37</v>
      </c>
      <c r="M87" s="197">
        <v>72.195945144452693</v>
      </c>
      <c r="N87" s="197">
        <v>68.027210884353536</v>
      </c>
      <c r="O87" s="197">
        <v>29.435247020831131</v>
      </c>
      <c r="P87" s="197">
        <v>77.02566730350236</v>
      </c>
      <c r="Q87" s="197">
        <v>26.197686808003684</v>
      </c>
      <c r="R87" s="197">
        <v>1.1724699999999999E-2</v>
      </c>
      <c r="S87" s="103">
        <f t="shared" si="1"/>
        <v>11.724699999999999</v>
      </c>
      <c r="T87" s="197">
        <v>1.0000000000000001E-5</v>
      </c>
      <c r="U87" s="197">
        <v>468.988</v>
      </c>
      <c r="V87" s="197">
        <v>1.23</v>
      </c>
      <c r="W87" s="197">
        <v>25</v>
      </c>
      <c r="X87" s="197">
        <v>2.6820000000000022</v>
      </c>
      <c r="Y87" s="197">
        <v>48.101732499999997</v>
      </c>
      <c r="Z87" s="197">
        <v>0.74000000000000199</v>
      </c>
      <c r="AA87" s="197">
        <v>59.869175862068971</v>
      </c>
      <c r="AB87" s="197">
        <v>-67.599999999999994</v>
      </c>
      <c r="AC87" s="197">
        <v>0.72191935483871095</v>
      </c>
      <c r="AD87" s="197">
        <v>-26.748120689655167</v>
      </c>
    </row>
    <row r="88" spans="1:30" s="197" customFormat="1" x14ac:dyDescent="0.3">
      <c r="A88" s="197" t="s">
        <v>146</v>
      </c>
      <c r="B88" s="197">
        <v>7</v>
      </c>
      <c r="C88" s="197">
        <v>2</v>
      </c>
      <c r="D88" s="197">
        <v>7</v>
      </c>
      <c r="E88" s="197" t="s">
        <v>256</v>
      </c>
      <c r="F88" s="197">
        <v>0.74995249999999991</v>
      </c>
      <c r="G88" s="197">
        <v>-16.506030434782609</v>
      </c>
      <c r="H88" s="197">
        <v>213.02</v>
      </c>
      <c r="I88" s="197">
        <v>117.6</v>
      </c>
      <c r="J88" s="197">
        <v>7.7272727272727275</v>
      </c>
      <c r="K88" s="197">
        <v>139.23698134224475</v>
      </c>
      <c r="L88" s="197">
        <v>24</v>
      </c>
      <c r="M88" s="197">
        <v>58.350436087672911</v>
      </c>
      <c r="N88" s="197">
        <v>44.953922229714536</v>
      </c>
      <c r="O88" s="197">
        <v>16.113315160868567</v>
      </c>
      <c r="P88" s="197">
        <v>49.415556925242349</v>
      </c>
      <c r="Q88" s="197">
        <v>12.371105793786462</v>
      </c>
      <c r="R88" s="197">
        <v>8.3253300000000006E-3</v>
      </c>
      <c r="S88" s="103">
        <f t="shared" si="1"/>
        <v>8.325330000000001</v>
      </c>
      <c r="T88" s="197">
        <v>1.1499999999999915</v>
      </c>
      <c r="U88" s="197">
        <v>237.86657142857143</v>
      </c>
      <c r="V88" s="197">
        <v>0.96</v>
      </c>
      <c r="W88" s="197">
        <v>35</v>
      </c>
      <c r="X88" s="197">
        <v>5.509999999999998</v>
      </c>
      <c r="Y88" s="197">
        <v>67.772390000000001</v>
      </c>
      <c r="Z88" s="197">
        <v>1.5500000000000043</v>
      </c>
      <c r="AA88" s="197">
        <v>69.806420833333348</v>
      </c>
      <c r="AB88" s="197">
        <v>-69.8</v>
      </c>
      <c r="AC88" s="197">
        <v>0.78755053763440797</v>
      </c>
      <c r="AD88" s="197">
        <v>-28.192926086956515</v>
      </c>
    </row>
    <row r="89" spans="1:30" s="197" customFormat="1" x14ac:dyDescent="0.3">
      <c r="A89" s="197" t="s">
        <v>147</v>
      </c>
      <c r="B89" s="197">
        <v>7</v>
      </c>
      <c r="C89" s="197">
        <v>2</v>
      </c>
      <c r="D89" s="197">
        <v>7</v>
      </c>
      <c r="E89" s="197" t="s">
        <v>256</v>
      </c>
      <c r="F89" s="197">
        <v>0.92443805263157885</v>
      </c>
      <c r="G89" s="197">
        <v>-9.142431578947372</v>
      </c>
      <c r="H89" s="197">
        <v>144.30000000000001</v>
      </c>
      <c r="I89" s="197">
        <v>76.7</v>
      </c>
      <c r="J89" s="197">
        <v>9</v>
      </c>
      <c r="K89" s="197">
        <v>181.38944313440942</v>
      </c>
      <c r="L89" s="197">
        <v>35</v>
      </c>
      <c r="M89" s="197">
        <v>56.268428862500656</v>
      </c>
      <c r="N89" s="197">
        <v>61.293288384921645</v>
      </c>
      <c r="O89" s="197">
        <v>19.050051427851958</v>
      </c>
      <c r="P89" s="197">
        <v>72.895466206472776</v>
      </c>
      <c r="Q89" s="197">
        <v>15.074794975631205</v>
      </c>
      <c r="R89" s="197">
        <v>6.3354300000000004E-3</v>
      </c>
      <c r="S89" s="103">
        <f t="shared" si="1"/>
        <v>6.3354300000000006</v>
      </c>
      <c r="T89" s="197">
        <v>0.26999999999999602</v>
      </c>
      <c r="U89" s="197">
        <v>211.88729096989968</v>
      </c>
      <c r="V89" s="197">
        <v>0.56000000000000005</v>
      </c>
      <c r="W89" s="197">
        <v>29.9</v>
      </c>
      <c r="X89" s="197">
        <v>6.402000000000001</v>
      </c>
      <c r="Y89" s="197">
        <v>64.417180000000002</v>
      </c>
      <c r="Z89" s="197">
        <v>1E-3</v>
      </c>
      <c r="AA89" s="197">
        <v>59.384</v>
      </c>
      <c r="AB89" s="197">
        <v>-62</v>
      </c>
      <c r="AC89" s="197">
        <v>1.24695483870969</v>
      </c>
      <c r="AD89" s="197">
        <v>-36.421921052631589</v>
      </c>
    </row>
    <row r="90" spans="1:30" s="197" customFormat="1" x14ac:dyDescent="0.3">
      <c r="A90" s="197" t="s">
        <v>149</v>
      </c>
      <c r="B90" s="197">
        <v>7</v>
      </c>
      <c r="C90" s="197">
        <v>2</v>
      </c>
      <c r="D90" s="197">
        <v>7</v>
      </c>
      <c r="E90" s="197" t="s">
        <v>256</v>
      </c>
      <c r="F90" s="197">
        <v>0.68345956521739126</v>
      </c>
      <c r="G90" s="197">
        <v>-12.180482608695652</v>
      </c>
      <c r="H90" s="197">
        <v>192.6</v>
      </c>
      <c r="I90" s="197">
        <v>109.01</v>
      </c>
      <c r="J90" s="197">
        <v>12.272727272727272</v>
      </c>
      <c r="K90" s="197">
        <v>197.90223629527026</v>
      </c>
      <c r="L90" s="197">
        <v>40</v>
      </c>
      <c r="M90" s="197">
        <v>81.478522771509162</v>
      </c>
      <c r="N90" s="197">
        <v>74.682598954443691</v>
      </c>
      <c r="O90" s="197">
        <v>25.655119270524022</v>
      </c>
      <c r="P90" s="197">
        <v>82.969632894976627</v>
      </c>
      <c r="Q90" s="197">
        <v>20.16338496630495</v>
      </c>
      <c r="R90" s="197">
        <v>6.2374800000000001E-3</v>
      </c>
      <c r="S90" s="103">
        <f t="shared" si="1"/>
        <v>6.2374799999999997</v>
      </c>
      <c r="T90" s="197">
        <v>1.4500000000000028</v>
      </c>
      <c r="U90" s="197">
        <v>239.90307692307692</v>
      </c>
      <c r="V90" s="197">
        <v>1.35</v>
      </c>
      <c r="W90" s="197">
        <v>26</v>
      </c>
      <c r="X90" s="197">
        <v>3.5999999999999943</v>
      </c>
      <c r="Y90" s="197">
        <v>40.18</v>
      </c>
      <c r="Z90" s="197">
        <v>0.39999999999999858</v>
      </c>
      <c r="AA90" s="197">
        <v>62.038252173913051</v>
      </c>
      <c r="AB90" s="197">
        <v>-66.900000000000006</v>
      </c>
      <c r="AC90" s="197">
        <v>0.78755053763439298</v>
      </c>
      <c r="AD90" s="197">
        <v>-26.077943478260863</v>
      </c>
    </row>
    <row r="91" spans="1:30" s="197" customFormat="1" x14ac:dyDescent="0.3">
      <c r="A91" s="197" t="s">
        <v>151</v>
      </c>
      <c r="B91" s="197">
        <v>7</v>
      </c>
      <c r="C91" s="197">
        <v>2</v>
      </c>
      <c r="D91" s="197">
        <v>7</v>
      </c>
      <c r="E91" s="197" t="s">
        <v>256</v>
      </c>
      <c r="F91" s="197">
        <v>0.65189900000000001</v>
      </c>
      <c r="G91" s="197">
        <v>-12.240079999999999</v>
      </c>
      <c r="H91" s="197">
        <v>215.4</v>
      </c>
      <c r="I91" s="197">
        <v>128.5</v>
      </c>
      <c r="J91" s="197">
        <v>9.0625</v>
      </c>
      <c r="K91" s="197">
        <v>190.47619047619048</v>
      </c>
      <c r="L91" s="197">
        <v>41</v>
      </c>
      <c r="M91" s="197">
        <v>53.698150525263614</v>
      </c>
      <c r="N91" s="197">
        <v>72.098053352559461</v>
      </c>
      <c r="O91" s="197">
        <v>17.30683446919544</v>
      </c>
      <c r="P91" s="197">
        <v>84.764428086311355</v>
      </c>
      <c r="Q91" s="197">
        <v>16.243345578663767</v>
      </c>
      <c r="R91" s="197">
        <v>8.7574699999999998E-3</v>
      </c>
      <c r="S91" s="103">
        <f t="shared" si="1"/>
        <v>8.7574699999999996</v>
      </c>
      <c r="T91" s="197">
        <v>1.5999999999999943</v>
      </c>
      <c r="U91" s="197">
        <v>398.06681818181818</v>
      </c>
      <c r="V91" s="197">
        <v>2.2000000000000002</v>
      </c>
      <c r="W91" s="197">
        <v>22</v>
      </c>
      <c r="X91" s="197">
        <v>1.769999999999996</v>
      </c>
      <c r="Y91" s="197">
        <v>31.605562500000001</v>
      </c>
      <c r="Z91" s="197">
        <v>0.28999999999999915</v>
      </c>
      <c r="AA91" s="197">
        <v>60.722345833333321</v>
      </c>
      <c r="AB91" s="197">
        <v>-65</v>
      </c>
      <c r="AC91" s="197">
        <v>1.5750999999999999</v>
      </c>
    </row>
    <row r="92" spans="1:30" s="197" customFormat="1" x14ac:dyDescent="0.3">
      <c r="A92" s="197" t="s">
        <v>153</v>
      </c>
      <c r="B92" s="197">
        <v>7</v>
      </c>
      <c r="C92" s="197">
        <v>2</v>
      </c>
      <c r="D92" s="197">
        <v>7</v>
      </c>
      <c r="E92" s="197" t="s">
        <v>256</v>
      </c>
      <c r="F92" s="197">
        <v>0.66099196551724138</v>
      </c>
      <c r="G92" s="197">
        <v>-13.404593103448274</v>
      </c>
      <c r="H92" s="197">
        <v>207.8</v>
      </c>
      <c r="I92" s="197">
        <v>122.7</v>
      </c>
      <c r="J92" s="197">
        <v>11.875</v>
      </c>
      <c r="K92" s="197">
        <v>189.75332068311158</v>
      </c>
      <c r="L92" s="197">
        <v>42</v>
      </c>
      <c r="M92" s="197">
        <v>55.34476854072313</v>
      </c>
      <c r="N92" s="197">
        <v>74.305245950364267</v>
      </c>
      <c r="O92" s="197">
        <v>23.059143031994068</v>
      </c>
      <c r="P92" s="197">
        <v>87.167654575923464</v>
      </c>
      <c r="Q92" s="197">
        <v>18.979536031945678</v>
      </c>
      <c r="R92" s="197">
        <v>7.3898999999999996E-3</v>
      </c>
      <c r="S92" s="103">
        <f t="shared" si="1"/>
        <v>7.3898999999999999</v>
      </c>
      <c r="T92" s="197">
        <v>2.25</v>
      </c>
      <c r="U92" s="197">
        <v>207.58146067415728</v>
      </c>
      <c r="V92" s="197">
        <v>0.86</v>
      </c>
      <c r="W92" s="197">
        <v>35.6</v>
      </c>
      <c r="X92" s="197">
        <v>4.0310000000000059</v>
      </c>
      <c r="Y92" s="197">
        <v>41.884999999999998</v>
      </c>
      <c r="Z92" s="197">
        <v>1</v>
      </c>
      <c r="AA92" s="197">
        <v>68.224675862068949</v>
      </c>
      <c r="AB92" s="197">
        <v>-62.92</v>
      </c>
      <c r="AC92" s="197">
        <v>1.4438430107526801</v>
      </c>
      <c r="AD92" s="197">
        <v>-31.925596551724144</v>
      </c>
    </row>
    <row r="93" spans="1:30" s="197" customFormat="1" x14ac:dyDescent="0.3">
      <c r="A93" s="197" t="s">
        <v>155</v>
      </c>
      <c r="B93" s="197">
        <v>7</v>
      </c>
      <c r="C93" s="197">
        <v>2</v>
      </c>
      <c r="D93" s="197">
        <v>7</v>
      </c>
      <c r="E93" s="197" t="s">
        <v>256</v>
      </c>
      <c r="F93" s="197">
        <v>0.55044696551724137</v>
      </c>
      <c r="G93" s="197">
        <v>-22.618786551724131</v>
      </c>
      <c r="H93" s="197">
        <v>200.32</v>
      </c>
      <c r="I93" s="197">
        <v>115.51</v>
      </c>
      <c r="J93" s="197">
        <v>23.333333333333336</v>
      </c>
      <c r="K93" s="197">
        <v>158.12776723592631</v>
      </c>
      <c r="L93" s="197">
        <v>30</v>
      </c>
      <c r="M93" s="197">
        <v>118.69421706919501</v>
      </c>
      <c r="N93" s="197">
        <v>57.234432234432298</v>
      </c>
      <c r="O93" s="197">
        <v>46.017947666259253</v>
      </c>
      <c r="P93" s="197">
        <v>63.920945877186107</v>
      </c>
      <c r="Q93" s="197">
        <v>39.553724394040103</v>
      </c>
      <c r="R93" s="197">
        <v>9.7110700000000005E-3</v>
      </c>
      <c r="S93" s="103">
        <f t="shared" si="1"/>
        <v>9.7110700000000012</v>
      </c>
      <c r="T93" s="197">
        <v>1.5</v>
      </c>
      <c r="U93" s="197">
        <v>353.12981818181817</v>
      </c>
      <c r="V93" s="197">
        <v>1.32</v>
      </c>
      <c r="W93" s="197">
        <v>27.5</v>
      </c>
      <c r="X93" s="197">
        <v>1.7800000000000011</v>
      </c>
      <c r="Y93" s="197">
        <v>47.975000000000001</v>
      </c>
      <c r="Z93" s="197">
        <v>2.3200000000000003</v>
      </c>
      <c r="AA93" s="197">
        <v>52.824872413793102</v>
      </c>
      <c r="AB93" s="197">
        <v>-66.599999999999994</v>
      </c>
      <c r="AC93" s="197">
        <v>0.70425128205126997</v>
      </c>
    </row>
    <row r="94" spans="1:30" s="197" customFormat="1" x14ac:dyDescent="0.3">
      <c r="A94" s="197" t="s">
        <v>157</v>
      </c>
      <c r="B94" s="197">
        <v>7</v>
      </c>
      <c r="C94" s="197">
        <v>2</v>
      </c>
      <c r="D94" s="197">
        <v>7</v>
      </c>
      <c r="E94" s="197" t="s">
        <v>256</v>
      </c>
      <c r="F94" s="197">
        <v>0.6181389310344827</v>
      </c>
      <c r="G94" s="197">
        <v>-15.681831034482759</v>
      </c>
      <c r="H94" s="197">
        <v>246.29</v>
      </c>
      <c r="I94" s="197">
        <v>140.27000000000001</v>
      </c>
      <c r="J94" s="197">
        <v>9.0625</v>
      </c>
      <c r="K94" s="197">
        <v>181.68604651162821</v>
      </c>
      <c r="L94" s="197">
        <v>36</v>
      </c>
      <c r="M94" s="197">
        <v>52.341560185067607</v>
      </c>
      <c r="N94" s="197">
        <v>65.526505471463352</v>
      </c>
      <c r="O94" s="197">
        <v>18.395313687905411</v>
      </c>
      <c r="P94" s="197">
        <v>75.196980990571248</v>
      </c>
      <c r="Q94" s="197">
        <v>15.254162637434955</v>
      </c>
      <c r="R94" s="197">
        <v>1.24464E-2</v>
      </c>
      <c r="S94" s="103">
        <f t="shared" si="1"/>
        <v>12.446400000000001</v>
      </c>
      <c r="T94" s="197">
        <v>1.1499999999999915</v>
      </c>
      <c r="U94" s="197">
        <v>412.13245033112588</v>
      </c>
      <c r="V94" s="197">
        <v>0.86</v>
      </c>
      <c r="W94" s="197">
        <v>30.2</v>
      </c>
      <c r="X94" s="197">
        <v>5.8900000000000006</v>
      </c>
      <c r="Y94" s="197">
        <v>59.204999999999998</v>
      </c>
      <c r="Z94" s="197">
        <v>0.55999999999999517</v>
      </c>
      <c r="AA94" s="197">
        <v>72.694972413793096</v>
      </c>
      <c r="AB94" s="197">
        <v>-64.849999999999994</v>
      </c>
      <c r="AC94" s="197">
        <v>1.09550256410256</v>
      </c>
      <c r="AD94" s="197">
        <v>-36.890489655172424</v>
      </c>
    </row>
    <row r="95" spans="1:30" s="197" customFormat="1" x14ac:dyDescent="0.3">
      <c r="A95" s="197" t="s">
        <v>158</v>
      </c>
      <c r="B95" s="197">
        <v>7</v>
      </c>
      <c r="C95" s="197">
        <v>2</v>
      </c>
      <c r="D95" s="197">
        <v>7</v>
      </c>
      <c r="E95" s="197" t="s">
        <v>256</v>
      </c>
      <c r="F95" s="197">
        <v>0.61669329629629621</v>
      </c>
      <c r="G95" s="197">
        <v>-18.373840740740743</v>
      </c>
      <c r="H95" s="197">
        <v>244.75</v>
      </c>
      <c r="I95" s="197">
        <v>131.16</v>
      </c>
      <c r="J95" s="197">
        <v>8.75</v>
      </c>
      <c r="K95" s="197">
        <v>218.15008726003475</v>
      </c>
      <c r="L95" s="197">
        <v>46</v>
      </c>
      <c r="M95" s="197">
        <v>43.265862750178535</v>
      </c>
      <c r="N95" s="197">
        <v>85.859019489997905</v>
      </c>
      <c r="O95" s="197">
        <v>16.868665621909784</v>
      </c>
      <c r="P95" s="197">
        <v>92.679732741662932</v>
      </c>
      <c r="Q95" s="197">
        <v>15.2076983955331</v>
      </c>
      <c r="R95" s="197">
        <v>1.42121E-2</v>
      </c>
      <c r="S95" s="103">
        <f t="shared" si="1"/>
        <v>14.2121</v>
      </c>
      <c r="T95" s="197">
        <v>2.0900000000000034</v>
      </c>
      <c r="U95" s="197">
        <v>498.67017543859646</v>
      </c>
      <c r="V95" s="197">
        <v>0.78500000000000003</v>
      </c>
      <c r="W95" s="197">
        <v>28.5</v>
      </c>
      <c r="X95" s="197">
        <v>6.0100000000000051</v>
      </c>
      <c r="Y95" s="197">
        <v>49.905000000000001</v>
      </c>
      <c r="Z95" s="197">
        <v>0.55099999999999483</v>
      </c>
      <c r="AA95" s="197">
        <v>67.925333333333327</v>
      </c>
      <c r="AB95" s="197">
        <v>-63.2</v>
      </c>
      <c r="AC95" s="197">
        <v>2.36265161290323</v>
      </c>
      <c r="AD95" s="197">
        <v>-35.122344444444437</v>
      </c>
    </row>
    <row r="96" spans="1:30" s="189" customFormat="1" x14ac:dyDescent="0.3">
      <c r="A96" s="189" t="s">
        <v>172</v>
      </c>
      <c r="B96" s="189">
        <v>14</v>
      </c>
      <c r="C96" s="189">
        <v>1</v>
      </c>
      <c r="D96" s="189">
        <v>21</v>
      </c>
      <c r="E96" s="189" t="s">
        <v>257</v>
      </c>
      <c r="F96" s="189">
        <v>0.98917826666666664</v>
      </c>
      <c r="G96" s="189">
        <v>-14.803046666666669</v>
      </c>
      <c r="H96" s="189">
        <v>177.8</v>
      </c>
      <c r="I96" s="189">
        <v>85.4</v>
      </c>
      <c r="J96" s="189">
        <v>22.666666666666668</v>
      </c>
      <c r="K96" s="189">
        <v>157.15857300015716</v>
      </c>
      <c r="L96" s="189">
        <v>30</v>
      </c>
      <c r="M96" s="189">
        <v>173.42637616957967</v>
      </c>
      <c r="N96" s="189">
        <v>55.00550055005516</v>
      </c>
      <c r="O96" s="189">
        <v>53.681527214153107</v>
      </c>
      <c r="P96" s="189">
        <v>62.810414493462943</v>
      </c>
      <c r="Q96" s="189">
        <v>40.762119221407687</v>
      </c>
      <c r="R96" s="189">
        <v>1.55783E-2</v>
      </c>
      <c r="S96" s="103">
        <f t="shared" si="1"/>
        <v>15.5783</v>
      </c>
      <c r="T96" s="189">
        <v>31.799999999999997</v>
      </c>
      <c r="U96" s="189">
        <v>232.16542473919526</v>
      </c>
      <c r="V96" s="189">
        <v>0.2</v>
      </c>
      <c r="W96" s="189">
        <v>67.099999999999994</v>
      </c>
      <c r="X96" s="189">
        <v>2.7800000000000011</v>
      </c>
      <c r="Y96" s="189">
        <v>79.696700000000007</v>
      </c>
      <c r="Z96" s="189">
        <v>4.5900000000000034</v>
      </c>
      <c r="AA96" s="189">
        <v>71.89</v>
      </c>
      <c r="AB96" s="189">
        <v>-63</v>
      </c>
      <c r="AC96" s="189">
        <v>30.451948387096799</v>
      </c>
      <c r="AD96" s="189">
        <v>-33.414726666666667</v>
      </c>
    </row>
    <row r="97" spans="1:30" s="189" customFormat="1" x14ac:dyDescent="0.3">
      <c r="A97" s="189" t="s">
        <v>174</v>
      </c>
      <c r="B97" s="189">
        <v>14</v>
      </c>
      <c r="C97" s="189">
        <v>1</v>
      </c>
      <c r="D97" s="189">
        <v>18</v>
      </c>
      <c r="E97" s="189" t="s">
        <v>257</v>
      </c>
      <c r="F97" s="189">
        <v>0.66781932142857137</v>
      </c>
      <c r="G97" s="189">
        <v>-17.255503571428569</v>
      </c>
      <c r="H97" s="189">
        <v>219.3</v>
      </c>
      <c r="I97" s="189">
        <v>118.7</v>
      </c>
      <c r="J97" s="189">
        <v>11.304347826086957</v>
      </c>
      <c r="K97" s="189">
        <v>194.81784531463046</v>
      </c>
      <c r="L97" s="189">
        <v>34</v>
      </c>
      <c r="M97" s="189">
        <v>72.561429281308762</v>
      </c>
      <c r="N97" s="189">
        <v>63.698324734059447</v>
      </c>
      <c r="O97" s="189">
        <v>23.619283659812915</v>
      </c>
      <c r="P97" s="189">
        <v>85.704192484863356</v>
      </c>
      <c r="Q97" s="189">
        <v>22.355723585024315</v>
      </c>
      <c r="R97" s="189">
        <v>8.4251699999999992E-3</v>
      </c>
      <c r="S97" s="103">
        <f t="shared" si="1"/>
        <v>8.4251699999999996</v>
      </c>
      <c r="T97" s="189">
        <v>5</v>
      </c>
      <c r="U97" s="189">
        <v>386.47568807339445</v>
      </c>
      <c r="V97" s="189">
        <v>1.7</v>
      </c>
      <c r="W97" s="189">
        <v>21.8</v>
      </c>
      <c r="X97" s="189">
        <v>2.25</v>
      </c>
      <c r="Y97" s="189">
        <v>83.165000000000006</v>
      </c>
      <c r="Z97" s="189">
        <v>1.2299999999999969</v>
      </c>
      <c r="AA97" s="189">
        <v>66.839600000000004</v>
      </c>
      <c r="AB97" s="189">
        <v>-71.2</v>
      </c>
      <c r="AC97" s="189">
        <v>4.2658978494623501</v>
      </c>
      <c r="AD97" s="189">
        <v>-39.256496428571424</v>
      </c>
    </row>
    <row r="98" spans="1:30" s="189" customFormat="1" x14ac:dyDescent="0.3">
      <c r="A98" s="189" t="s">
        <v>176</v>
      </c>
      <c r="B98" s="189">
        <v>14</v>
      </c>
      <c r="C98" s="189">
        <v>1</v>
      </c>
      <c r="D98" s="189">
        <v>18</v>
      </c>
      <c r="E98" s="189" t="s">
        <v>257</v>
      </c>
      <c r="F98" s="189">
        <v>0.71107163157894737</v>
      </c>
      <c r="G98" s="189">
        <v>-16.627273684210529</v>
      </c>
      <c r="H98" s="189">
        <v>224.94</v>
      </c>
      <c r="I98" s="189">
        <v>134.63</v>
      </c>
      <c r="J98" s="189">
        <v>14.666666666666666</v>
      </c>
      <c r="K98" s="189">
        <v>181.35654697134626</v>
      </c>
      <c r="L98" s="189">
        <v>39</v>
      </c>
      <c r="M98" s="189">
        <v>74.256242082909296</v>
      </c>
      <c r="N98" s="189">
        <v>67.168189145621</v>
      </c>
      <c r="O98" s="189">
        <v>31.740093566191099</v>
      </c>
      <c r="P98" s="189">
        <v>82.766143111749784</v>
      </c>
      <c r="Q98" s="189">
        <v>25.396587737529625</v>
      </c>
      <c r="R98" s="189">
        <v>9.2708500000000006E-3</v>
      </c>
      <c r="S98" s="103">
        <f t="shared" si="1"/>
        <v>9.2708500000000011</v>
      </c>
      <c r="T98" s="189">
        <v>9.2999999999999972</v>
      </c>
      <c r="U98" s="189">
        <v>261.15070422535211</v>
      </c>
      <c r="V98" s="189">
        <v>0.65</v>
      </c>
      <c r="W98" s="189">
        <v>35.5</v>
      </c>
      <c r="X98" s="189">
        <v>1.2800000000000011</v>
      </c>
      <c r="Y98" s="189">
        <v>41.376421499999999</v>
      </c>
      <c r="Z98" s="189">
        <v>4.0799999999999983</v>
      </c>
      <c r="AA98" s="189">
        <v>78.002921052631578</v>
      </c>
      <c r="AB98" s="189">
        <v>-72</v>
      </c>
      <c r="AC98" s="189">
        <v>7.6129870967741899</v>
      </c>
      <c r="AD98" s="189">
        <v>-39.730673684210529</v>
      </c>
    </row>
    <row r="99" spans="1:30" s="189" customFormat="1" x14ac:dyDescent="0.3">
      <c r="A99" s="189" t="s">
        <v>178</v>
      </c>
      <c r="B99" s="189">
        <v>14</v>
      </c>
      <c r="C99" s="189">
        <v>1</v>
      </c>
      <c r="D99" s="189">
        <v>18</v>
      </c>
      <c r="E99" s="189" t="s">
        <v>257</v>
      </c>
      <c r="F99" s="189">
        <v>0.71281663157894759</v>
      </c>
      <c r="G99" s="189">
        <v>-13.905841111111112</v>
      </c>
      <c r="H99" s="189">
        <v>122.7</v>
      </c>
      <c r="I99" s="189">
        <v>92</v>
      </c>
      <c r="J99" s="189">
        <v>8.75</v>
      </c>
      <c r="K99" s="189">
        <v>225.07314877335216</v>
      </c>
      <c r="L99" s="189">
        <v>26</v>
      </c>
      <c r="M99" s="189">
        <v>100.096802850598</v>
      </c>
      <c r="N99" s="189">
        <v>44.273254526940299</v>
      </c>
      <c r="O99" s="189">
        <v>19.324603279461108</v>
      </c>
      <c r="P99" s="189">
        <v>67.47016243301421</v>
      </c>
      <c r="Q99" s="189">
        <v>11.613361178981398</v>
      </c>
      <c r="R99" s="189">
        <v>4.5520700000000001E-3</v>
      </c>
      <c r="S99" s="103">
        <f t="shared" si="1"/>
        <v>4.5520700000000005</v>
      </c>
      <c r="T99" s="189">
        <v>4.3900000000000006</v>
      </c>
      <c r="U99" s="189">
        <v>399.30438596491229</v>
      </c>
      <c r="V99" s="189">
        <v>3.67</v>
      </c>
      <c r="W99" s="189">
        <v>11.4</v>
      </c>
      <c r="X99" s="189">
        <v>2.2850000000000108</v>
      </c>
      <c r="Y99" s="189">
        <v>66</v>
      </c>
      <c r="Z99" s="189">
        <v>1.1299999999999955</v>
      </c>
      <c r="AA99" s="189">
        <v>58.67</v>
      </c>
      <c r="AB99" s="189">
        <v>-69.5</v>
      </c>
      <c r="AC99" s="189">
        <v>3.5439763440860301</v>
      </c>
      <c r="AD99" s="189">
        <v>-39.730673684210529</v>
      </c>
    </row>
    <row r="100" spans="1:30" s="189" customFormat="1" x14ac:dyDescent="0.3">
      <c r="A100" s="189" t="s">
        <v>180</v>
      </c>
      <c r="B100" s="189">
        <v>14</v>
      </c>
      <c r="C100" s="189">
        <v>1</v>
      </c>
      <c r="D100" s="189">
        <v>20</v>
      </c>
      <c r="E100" s="189" t="s">
        <v>257</v>
      </c>
      <c r="F100" s="189">
        <v>0.6947153181818182</v>
      </c>
      <c r="G100" s="189">
        <v>-22.030776190476185</v>
      </c>
      <c r="H100" s="189">
        <v>179.8</v>
      </c>
      <c r="I100" s="189">
        <v>104.4</v>
      </c>
      <c r="J100" s="189">
        <v>10</v>
      </c>
      <c r="K100" s="189">
        <v>168.54879487611683</v>
      </c>
      <c r="L100" s="189">
        <v>21</v>
      </c>
      <c r="M100" s="189">
        <v>97.699910443943608</v>
      </c>
      <c r="N100" s="189">
        <v>49.522111622839638</v>
      </c>
      <c r="O100" s="189">
        <v>25.977798957572428</v>
      </c>
      <c r="P100" s="189">
        <v>68.767484711743634</v>
      </c>
      <c r="Q100" s="189">
        <v>23.819089860472193</v>
      </c>
      <c r="R100" s="189">
        <v>1.11E-2</v>
      </c>
      <c r="S100" s="103">
        <f t="shared" si="1"/>
        <v>11.1</v>
      </c>
      <c r="T100" s="189">
        <v>25.5</v>
      </c>
      <c r="U100" s="189">
        <v>313.55932203389835</v>
      </c>
      <c r="V100" s="189">
        <v>0.8</v>
      </c>
      <c r="W100" s="189">
        <v>35.4</v>
      </c>
      <c r="X100" s="189">
        <v>3.5</v>
      </c>
      <c r="Y100" s="189">
        <v>75.837270000000004</v>
      </c>
      <c r="Z100" s="189">
        <v>3.279999999999994</v>
      </c>
      <c r="AA100" s="189">
        <v>57.988940909090907</v>
      </c>
      <c r="AB100" s="189">
        <v>-70.099999999999994</v>
      </c>
      <c r="AC100" s="189">
        <v>7.94113333333335</v>
      </c>
      <c r="AD100" s="189">
        <v>-26.286736363636354</v>
      </c>
    </row>
    <row r="101" spans="1:30" s="189" customFormat="1" x14ac:dyDescent="0.3">
      <c r="A101" s="189" t="s">
        <v>182</v>
      </c>
      <c r="B101" s="189">
        <v>14</v>
      </c>
      <c r="C101" s="189">
        <v>1</v>
      </c>
      <c r="D101" s="189">
        <v>20</v>
      </c>
      <c r="E101" s="189" t="s">
        <v>257</v>
      </c>
      <c r="F101" s="189">
        <v>1.1282678571428573</v>
      </c>
      <c r="G101" s="189">
        <v>-8.9764999999999997</v>
      </c>
      <c r="H101" s="189">
        <v>212.8</v>
      </c>
      <c r="I101" s="189">
        <v>71.8</v>
      </c>
      <c r="J101" s="189">
        <v>7.8260869565217401</v>
      </c>
      <c r="K101" s="189">
        <v>116.10356437942646</v>
      </c>
      <c r="L101" s="189">
        <v>14</v>
      </c>
      <c r="M101" s="189">
        <v>44.418976565806332</v>
      </c>
      <c r="N101" s="189">
        <v>28.636884306987433</v>
      </c>
      <c r="O101" s="189">
        <v>3.7813252151700283</v>
      </c>
      <c r="P101" s="189">
        <v>33.047183856419224</v>
      </c>
      <c r="Q101" s="189">
        <v>28.636884306987433</v>
      </c>
      <c r="R101" s="189">
        <v>1.6865700000000001E-2</v>
      </c>
      <c r="S101" s="103">
        <f t="shared" si="1"/>
        <v>16.8657</v>
      </c>
      <c r="T101" s="189">
        <v>4.1899999999999977</v>
      </c>
      <c r="U101" s="189">
        <v>187.60511679644048</v>
      </c>
      <c r="V101" s="189">
        <v>0.28000000000000003</v>
      </c>
      <c r="W101" s="189">
        <v>89.9</v>
      </c>
      <c r="X101" s="189">
        <v>4.039999999999992</v>
      </c>
      <c r="Y101" s="189">
        <v>136</v>
      </c>
      <c r="Z101" s="189">
        <v>5.7900000000000063</v>
      </c>
      <c r="AA101" s="189">
        <v>79.870599999999982</v>
      </c>
      <c r="AB101" s="189">
        <v>-72</v>
      </c>
      <c r="AC101" s="189">
        <v>1.11569784946235</v>
      </c>
      <c r="AD101" s="189">
        <v>-38.297533333333334</v>
      </c>
    </row>
    <row r="102" spans="1:30" s="189" customFormat="1" x14ac:dyDescent="0.3">
      <c r="A102" s="189" t="s">
        <v>184</v>
      </c>
      <c r="B102" s="189">
        <v>14</v>
      </c>
      <c r="C102" s="189">
        <v>1</v>
      </c>
      <c r="D102" s="189">
        <v>15</v>
      </c>
      <c r="E102" s="189" t="s">
        <v>257</v>
      </c>
      <c r="F102" s="189">
        <v>1.0393810000000001</v>
      </c>
      <c r="G102" s="189">
        <v>-13.729710526315793</v>
      </c>
      <c r="H102" s="189">
        <v>145.5</v>
      </c>
      <c r="I102" s="189">
        <v>79.5</v>
      </c>
      <c r="J102" s="189">
        <v>18.095238095238095</v>
      </c>
      <c r="K102" s="189">
        <v>148.21402104639068</v>
      </c>
      <c r="L102" s="189">
        <v>28</v>
      </c>
      <c r="M102" s="189">
        <v>53.75069593948394</v>
      </c>
      <c r="N102" s="189">
        <v>48.642864091837744</v>
      </c>
      <c r="O102" s="189">
        <v>31.064006681309554</v>
      </c>
      <c r="P102" s="189">
        <v>60.422099027245018</v>
      </c>
      <c r="Q102" s="189">
        <v>32.666471539607507</v>
      </c>
      <c r="R102" s="189">
        <v>8.6993499999999998E-3</v>
      </c>
      <c r="S102" s="103">
        <f t="shared" si="1"/>
        <v>8.699349999999999</v>
      </c>
      <c r="T102" s="189">
        <v>13.299999999999997</v>
      </c>
      <c r="U102" s="189">
        <v>204.2100938967136</v>
      </c>
      <c r="V102" s="189">
        <v>0.5</v>
      </c>
      <c r="W102" s="189">
        <v>42.6</v>
      </c>
      <c r="X102" s="189">
        <v>0.40999999999999659</v>
      </c>
      <c r="Y102" s="189">
        <v>22.17</v>
      </c>
      <c r="Z102" s="189">
        <v>4.1399999999999935</v>
      </c>
      <c r="AA102" s="189">
        <v>68.701170000000019</v>
      </c>
      <c r="AB102" s="189">
        <v>-65.599999999999994</v>
      </c>
      <c r="AC102" s="189">
        <v>12.403919354838701</v>
      </c>
      <c r="AD102" s="189">
        <v>-33.044429999999998</v>
      </c>
    </row>
    <row r="103" spans="1:30" s="189" customFormat="1" x14ac:dyDescent="0.3">
      <c r="A103" s="189" t="s">
        <v>186</v>
      </c>
      <c r="B103" s="189">
        <v>14</v>
      </c>
      <c r="C103" s="189">
        <v>1</v>
      </c>
      <c r="D103" s="189">
        <v>15</v>
      </c>
      <c r="E103" s="189" t="s">
        <v>257</v>
      </c>
      <c r="F103" s="189">
        <v>1.2564378571428569</v>
      </c>
      <c r="G103" s="189">
        <v>-22.352938461538461</v>
      </c>
      <c r="H103" s="189">
        <v>124</v>
      </c>
      <c r="I103" s="189">
        <v>51.8</v>
      </c>
      <c r="J103" s="189">
        <v>12.727272727272728</v>
      </c>
      <c r="K103" s="189">
        <v>67.953248165262266</v>
      </c>
      <c r="L103" s="189">
        <v>10</v>
      </c>
      <c r="M103" s="189">
        <v>114.7324597339405</v>
      </c>
      <c r="N103" s="189">
        <v>18.026137899954929</v>
      </c>
      <c r="O103" s="189">
        <v>31.538137121645335</v>
      </c>
      <c r="P103" s="189">
        <v>41.090648733156804</v>
      </c>
      <c r="Q103" s="189">
        <v>15.729934354594834</v>
      </c>
      <c r="R103" s="189">
        <v>1.8761900000000001E-2</v>
      </c>
      <c r="S103" s="103">
        <f t="shared" si="1"/>
        <v>18.761900000000001</v>
      </c>
      <c r="T103" s="189">
        <v>6.9799999999999898</v>
      </c>
      <c r="U103" s="189">
        <v>228.52496954933011</v>
      </c>
      <c r="V103" s="189">
        <v>0.25</v>
      </c>
      <c r="W103" s="189">
        <v>82.1</v>
      </c>
      <c r="X103" s="189">
        <v>4.0999999999999996</v>
      </c>
      <c r="Y103" s="189">
        <v>67.34</v>
      </c>
      <c r="Z103" s="189">
        <v>2.2799999999999998</v>
      </c>
      <c r="AA103" s="189">
        <v>67.458635618914869</v>
      </c>
      <c r="AB103" s="189">
        <v>-65.599999999999994</v>
      </c>
      <c r="AC103" s="189">
        <v>8.7483722222222404</v>
      </c>
      <c r="AD103" s="189">
        <v>-17.608650000000001</v>
      </c>
    </row>
    <row r="104" spans="1:30" s="189" customFormat="1" x14ac:dyDescent="0.3">
      <c r="A104" s="189" t="s">
        <v>188</v>
      </c>
      <c r="B104" s="189">
        <v>14</v>
      </c>
      <c r="C104" s="189">
        <v>1</v>
      </c>
      <c r="D104" s="189">
        <v>15</v>
      </c>
      <c r="E104" s="189" t="s">
        <v>257</v>
      </c>
      <c r="F104" s="189">
        <v>0.84036874999999978</v>
      </c>
      <c r="G104" s="189">
        <v>-16.530366666666666</v>
      </c>
      <c r="H104" s="189">
        <v>158.69999999999999</v>
      </c>
      <c r="I104" s="189">
        <v>86.3</v>
      </c>
      <c r="J104" s="189">
        <v>16.315789473684209</v>
      </c>
      <c r="K104" s="189">
        <v>178.31669044222525</v>
      </c>
      <c r="L104" s="189">
        <v>40</v>
      </c>
      <c r="M104" s="189">
        <v>33.74781204811444</v>
      </c>
      <c r="N104" s="189">
        <v>65.802461012041832</v>
      </c>
      <c r="O104" s="189">
        <v>29.512673443562189</v>
      </c>
      <c r="P104" s="189">
        <v>84.808515506909785</v>
      </c>
      <c r="Q104" s="189">
        <v>26.662981284405774</v>
      </c>
      <c r="R104" s="189">
        <v>8.0309500000000002E-3</v>
      </c>
      <c r="S104" s="103">
        <f t="shared" si="1"/>
        <v>8.0309500000000007</v>
      </c>
      <c r="U104" s="189">
        <v>207.51808785529715</v>
      </c>
      <c r="V104" s="189">
        <v>0.93</v>
      </c>
      <c r="W104" s="189">
        <v>38.700000000000003</v>
      </c>
      <c r="X104" s="189">
        <v>0.45000000000000284</v>
      </c>
      <c r="Y104" s="189">
        <v>136.99</v>
      </c>
      <c r="Z104" s="189">
        <v>5.1200000000000045</v>
      </c>
      <c r="AA104" s="189">
        <v>63.181566666666676</v>
      </c>
      <c r="AB104" s="189">
        <v>-65.599999999999994</v>
      </c>
      <c r="AD104" s="189">
        <v>-31.687408333333334</v>
      </c>
    </row>
    <row r="105" spans="1:30" s="189" customFormat="1" x14ac:dyDescent="0.3">
      <c r="A105" s="189" t="s">
        <v>190</v>
      </c>
      <c r="B105" s="189">
        <v>14</v>
      </c>
      <c r="C105" s="189">
        <v>1</v>
      </c>
      <c r="D105" s="189">
        <v>19</v>
      </c>
      <c r="E105" s="189" t="s">
        <v>257</v>
      </c>
      <c r="F105" s="189">
        <v>0.93849554166666682</v>
      </c>
      <c r="G105" s="189">
        <v>-12.613047826086957</v>
      </c>
      <c r="H105" s="189">
        <v>200.2</v>
      </c>
      <c r="I105" s="189">
        <v>85.3</v>
      </c>
      <c r="J105" s="189">
        <v>7.3684210526315788</v>
      </c>
      <c r="K105" s="189">
        <v>161.36840406648372</v>
      </c>
      <c r="L105" s="189">
        <v>32</v>
      </c>
      <c r="M105" s="189">
        <v>41.256923322245754</v>
      </c>
      <c r="N105" s="189">
        <v>60.67961165048537</v>
      </c>
      <c r="O105" s="189">
        <v>15.434358764965921</v>
      </c>
      <c r="P105" s="189">
        <v>65.832932957626667</v>
      </c>
      <c r="Q105" s="189">
        <v>14.0778857596006</v>
      </c>
      <c r="R105" s="189">
        <v>1.31678E-2</v>
      </c>
      <c r="S105" s="103">
        <f t="shared" si="1"/>
        <v>13.1678</v>
      </c>
      <c r="T105" s="189">
        <v>12.329999999999998</v>
      </c>
      <c r="U105" s="189">
        <v>455.63321799307965</v>
      </c>
      <c r="V105" s="189">
        <v>0.6</v>
      </c>
      <c r="W105" s="189">
        <v>28.9</v>
      </c>
      <c r="X105" s="189">
        <v>6.8299999999999983</v>
      </c>
      <c r="Y105" s="189">
        <v>112.5</v>
      </c>
      <c r="Z105" s="189">
        <v>1.3200000000000003</v>
      </c>
      <c r="AA105" s="189">
        <v>73.23965833333331</v>
      </c>
      <c r="AB105" s="189">
        <v>-68.5</v>
      </c>
      <c r="AC105" s="189">
        <v>13.5875880952381</v>
      </c>
      <c r="AD105" s="189">
        <v>-41.920975000000006</v>
      </c>
    </row>
    <row r="106" spans="1:30" s="189" customFormat="1" x14ac:dyDescent="0.3">
      <c r="A106" s="189" t="s">
        <v>192</v>
      </c>
      <c r="B106" s="189">
        <v>14</v>
      </c>
      <c r="C106" s="189">
        <v>1</v>
      </c>
      <c r="D106" s="189">
        <v>22</v>
      </c>
      <c r="E106" s="189" t="s">
        <v>257</v>
      </c>
      <c r="F106" s="189">
        <v>1.0599146153846153</v>
      </c>
      <c r="G106" s="189">
        <v>-10.46245</v>
      </c>
      <c r="H106" s="189">
        <v>113.2</v>
      </c>
      <c r="I106" s="189">
        <v>63.8</v>
      </c>
      <c r="J106" s="189">
        <v>23.448275862068964</v>
      </c>
      <c r="K106" s="189">
        <v>194.09937888198809</v>
      </c>
      <c r="L106" s="189">
        <v>40</v>
      </c>
      <c r="M106" s="189">
        <v>64.75791591750675</v>
      </c>
      <c r="N106" s="189">
        <v>73.653973631877449</v>
      </c>
      <c r="O106" s="189">
        <v>38.506228434081294</v>
      </c>
      <c r="P106" s="189">
        <v>83.684767490227898</v>
      </c>
      <c r="Q106" s="189">
        <v>40.484120277483143</v>
      </c>
      <c r="R106" s="189">
        <v>8.1545999999999997E-3</v>
      </c>
      <c r="S106" s="103">
        <f t="shared" si="1"/>
        <v>8.1546000000000003</v>
      </c>
      <c r="T106" s="189">
        <v>36.6</v>
      </c>
      <c r="U106" s="189">
        <v>163.09199999999998</v>
      </c>
      <c r="V106" s="189">
        <v>0.36699999999999999</v>
      </c>
      <c r="W106" s="189">
        <v>50</v>
      </c>
      <c r="AA106" s="189">
        <v>52.091169230769232</v>
      </c>
      <c r="AB106" s="189">
        <v>-65.099999999999994</v>
      </c>
      <c r="AD106" s="189">
        <v>-33.414726666666667</v>
      </c>
    </row>
    <row r="107" spans="1:30" s="189" customFormat="1" x14ac:dyDescent="0.3">
      <c r="A107" s="189" t="s">
        <v>194</v>
      </c>
      <c r="B107" s="189">
        <v>14</v>
      </c>
      <c r="C107" s="189">
        <v>1</v>
      </c>
      <c r="D107" s="189">
        <v>22</v>
      </c>
      <c r="E107" s="189" t="s">
        <v>257</v>
      </c>
      <c r="F107" s="189">
        <v>0.79607337499999986</v>
      </c>
      <c r="G107" s="189">
        <v>-17.252587500000001</v>
      </c>
      <c r="H107" s="189">
        <v>175.8</v>
      </c>
      <c r="I107" s="189">
        <v>103.8</v>
      </c>
      <c r="J107" s="189">
        <v>19.230769230769234</v>
      </c>
      <c r="K107" s="189">
        <v>169.57775139901588</v>
      </c>
      <c r="L107" s="189">
        <v>29</v>
      </c>
      <c r="M107" s="189">
        <v>46.84229605344288</v>
      </c>
      <c r="N107" s="189">
        <v>51.639555899819236</v>
      </c>
      <c r="O107" s="189">
        <v>19.134816788906637</v>
      </c>
      <c r="P107" s="189">
        <v>69.445215343780674</v>
      </c>
      <c r="Q107" s="189">
        <v>32.925254887191592</v>
      </c>
      <c r="R107" s="189">
        <v>9.2408300000000002E-3</v>
      </c>
      <c r="S107" s="103">
        <f t="shared" si="1"/>
        <v>9.2408300000000008</v>
      </c>
      <c r="T107" s="189">
        <v>36.6</v>
      </c>
      <c r="U107" s="189">
        <v>308.02766666666668</v>
      </c>
      <c r="V107" s="189">
        <v>0.48599999999999999</v>
      </c>
      <c r="W107" s="189">
        <v>30</v>
      </c>
      <c r="X107" s="189">
        <v>0.47999999999999687</v>
      </c>
      <c r="Y107" s="189">
        <v>138.5</v>
      </c>
      <c r="Z107" s="189">
        <v>6.3100000000000023</v>
      </c>
      <c r="AA107" s="189">
        <v>65.42968333333333</v>
      </c>
      <c r="AB107" s="189">
        <v>-62.6</v>
      </c>
      <c r="AC107" s="189">
        <v>11.698404761904801</v>
      </c>
      <c r="AD107" s="189">
        <v>-34.932462500000007</v>
      </c>
    </row>
    <row r="108" spans="1:30" s="189" customFormat="1" x14ac:dyDescent="0.3">
      <c r="A108" s="189" t="s">
        <v>196</v>
      </c>
      <c r="B108" s="189">
        <v>14</v>
      </c>
      <c r="C108" s="189">
        <v>1</v>
      </c>
      <c r="D108" s="189">
        <v>22</v>
      </c>
      <c r="E108" s="189" t="s">
        <v>257</v>
      </c>
      <c r="F108" s="189">
        <v>0.65295580000000009</v>
      </c>
      <c r="G108" s="189">
        <v>-15.360526666666669</v>
      </c>
      <c r="H108" s="189">
        <v>207.8</v>
      </c>
      <c r="I108" s="189">
        <v>133.30000000000001</v>
      </c>
      <c r="J108" s="189">
        <v>7.2727272727272725</v>
      </c>
      <c r="K108" s="189">
        <v>220.94564737074629</v>
      </c>
      <c r="L108" s="189">
        <v>30</v>
      </c>
      <c r="M108" s="189">
        <v>58.103042392154791</v>
      </c>
      <c r="N108" s="189">
        <v>53.092646668436316</v>
      </c>
      <c r="O108" s="189">
        <v>14.914113830434998</v>
      </c>
      <c r="P108" s="189">
        <v>67.891072296897164</v>
      </c>
      <c r="Q108" s="189">
        <v>9.1002969003493828</v>
      </c>
      <c r="R108" s="189">
        <v>6.7328800000000001E-3</v>
      </c>
      <c r="S108" s="103">
        <f t="shared" si="1"/>
        <v>6.7328799999999998</v>
      </c>
      <c r="T108" s="189">
        <v>17.03</v>
      </c>
      <c r="U108" s="189">
        <v>418.19130434782608</v>
      </c>
      <c r="V108" s="189">
        <v>2.6</v>
      </c>
      <c r="W108" s="189">
        <v>16.100000000000001</v>
      </c>
      <c r="X108" s="189">
        <v>1.3199999999999932</v>
      </c>
      <c r="Y108" s="189">
        <v>87.67</v>
      </c>
      <c r="Z108" s="189">
        <v>4.2899999999999991</v>
      </c>
      <c r="AA108" s="189">
        <v>65.661626666666663</v>
      </c>
      <c r="AB108" s="189">
        <v>-65</v>
      </c>
      <c r="AC108" s="189">
        <v>5.0862642857142903</v>
      </c>
      <c r="AD108" s="189">
        <v>-29.866540000000001</v>
      </c>
    </row>
    <row r="109" spans="1:30" s="189" customFormat="1" x14ac:dyDescent="0.3">
      <c r="A109" s="189" t="s">
        <v>198</v>
      </c>
      <c r="B109" s="189">
        <v>14</v>
      </c>
      <c r="C109" s="189">
        <v>1</v>
      </c>
      <c r="D109" s="189">
        <v>19</v>
      </c>
      <c r="E109" s="189" t="s">
        <v>257</v>
      </c>
      <c r="F109" s="189">
        <v>0.69293559999999998</v>
      </c>
      <c r="G109" s="189">
        <v>-15.886578571428572</v>
      </c>
      <c r="H109" s="189">
        <v>172.4</v>
      </c>
      <c r="I109" s="189">
        <v>106.4</v>
      </c>
      <c r="J109" s="189">
        <v>5.3571428571428568</v>
      </c>
      <c r="K109" s="189">
        <v>221.63120567375884</v>
      </c>
      <c r="L109" s="189">
        <v>18</v>
      </c>
      <c r="M109" s="189">
        <v>65.234549090644506</v>
      </c>
      <c r="N109" s="189">
        <v>31.226580064951285</v>
      </c>
      <c r="O109" s="189">
        <v>11.485346090192815</v>
      </c>
      <c r="P109" s="189">
        <v>48.660918775143905</v>
      </c>
      <c r="Q109" s="189">
        <v>8.7984425954317018</v>
      </c>
      <c r="R109" s="189">
        <v>1.5065200000000001E-2</v>
      </c>
      <c r="S109" s="103">
        <f t="shared" si="1"/>
        <v>15.065200000000001</v>
      </c>
      <c r="T109" s="189">
        <v>4.8799999999999955</v>
      </c>
      <c r="U109" s="189">
        <v>617.4262295081968</v>
      </c>
      <c r="V109" s="189">
        <v>4.16</v>
      </c>
      <c r="W109" s="189">
        <v>24.4</v>
      </c>
      <c r="X109" s="189">
        <v>3.519999999999996</v>
      </c>
      <c r="Y109" s="189">
        <v>54.99</v>
      </c>
      <c r="Z109" s="189">
        <v>2.3770000000000024</v>
      </c>
      <c r="AA109" s="189">
        <v>57.202146666666671</v>
      </c>
      <c r="AB109" s="189">
        <v>-67.8</v>
      </c>
      <c r="AC109" s="189">
        <v>4.1416714285714296</v>
      </c>
      <c r="AD109" s="189">
        <v>-17.158999999999999</v>
      </c>
    </row>
    <row r="110" spans="1:30" s="189" customFormat="1" x14ac:dyDescent="0.3">
      <c r="A110" s="189" t="s">
        <v>199</v>
      </c>
      <c r="B110" s="189">
        <v>14</v>
      </c>
      <c r="C110" s="189">
        <v>1</v>
      </c>
      <c r="D110" s="189">
        <v>19</v>
      </c>
      <c r="E110" s="189" t="s">
        <v>257</v>
      </c>
      <c r="F110" s="189">
        <v>0.54685449999999991</v>
      </c>
      <c r="G110" s="189">
        <v>-19.061284999999998</v>
      </c>
      <c r="H110" s="189">
        <v>244.17</v>
      </c>
      <c r="I110" s="189">
        <v>153</v>
      </c>
      <c r="J110" s="189">
        <v>12.5</v>
      </c>
      <c r="K110" s="189">
        <v>198.01980198019868</v>
      </c>
      <c r="L110" s="189">
        <v>24</v>
      </c>
      <c r="M110" s="189">
        <v>60.790166905412349</v>
      </c>
      <c r="N110" s="189">
        <v>49.830576041459082</v>
      </c>
      <c r="O110" s="189">
        <v>5.4006744538614546</v>
      </c>
      <c r="P110" s="189">
        <v>59.784394033000602</v>
      </c>
      <c r="Q110" s="189">
        <v>11.044982882772725</v>
      </c>
      <c r="R110" s="189">
        <v>9.68019E-3</v>
      </c>
      <c r="S110" s="103">
        <f t="shared" si="1"/>
        <v>9.6801899999999996</v>
      </c>
      <c r="T110" s="189">
        <v>7.4099999999999966</v>
      </c>
      <c r="U110" s="189">
        <v>534.81712707182317</v>
      </c>
      <c r="V110" s="189">
        <v>1.591</v>
      </c>
      <c r="W110" s="189">
        <v>18.100000000000001</v>
      </c>
      <c r="X110" s="189">
        <v>2.3899999999999864</v>
      </c>
      <c r="Y110" s="189">
        <v>41.83</v>
      </c>
      <c r="Z110" s="189">
        <v>6.2309999999999945</v>
      </c>
      <c r="AA110" s="189">
        <v>70.129384999999985</v>
      </c>
      <c r="AB110" s="189">
        <v>-63</v>
      </c>
      <c r="AC110" s="189">
        <v>6.4668202380952202</v>
      </c>
      <c r="AD110" s="189">
        <v>-30.2</v>
      </c>
    </row>
    <row r="111" spans="1:30" s="189" customFormat="1" x14ac:dyDescent="0.3">
      <c r="A111" s="189" t="s">
        <v>200</v>
      </c>
      <c r="B111" s="189">
        <v>14</v>
      </c>
      <c r="C111" s="189">
        <v>1</v>
      </c>
      <c r="D111" s="189">
        <v>19</v>
      </c>
      <c r="E111" s="189" t="s">
        <v>257</v>
      </c>
      <c r="F111" s="189">
        <v>0.69982861538461549</v>
      </c>
      <c r="G111" s="189">
        <v>-21.404576923076924</v>
      </c>
      <c r="H111" s="189">
        <v>210.7</v>
      </c>
      <c r="I111" s="189">
        <v>101.8</v>
      </c>
      <c r="J111" s="189">
        <v>11.818181818181818</v>
      </c>
      <c r="K111" s="189">
        <v>162.89297931259136</v>
      </c>
      <c r="L111" s="189">
        <v>30</v>
      </c>
      <c r="M111" s="189">
        <v>69.087318595865312</v>
      </c>
      <c r="N111" s="189">
        <v>61.425061425061102</v>
      </c>
      <c r="O111" s="189">
        <v>25.272117440565982</v>
      </c>
      <c r="P111" s="189">
        <v>63.609065101886863</v>
      </c>
      <c r="Q111" s="189">
        <v>24.198899379043194</v>
      </c>
      <c r="R111" s="189">
        <v>7.2293399999999999E-3</v>
      </c>
      <c r="S111" s="103">
        <f t="shared" si="1"/>
        <v>7.2293399999999997</v>
      </c>
      <c r="T111" s="189">
        <v>12.290000000000006</v>
      </c>
      <c r="U111" s="189">
        <v>240.97800000000001</v>
      </c>
      <c r="V111" s="189">
        <v>0.8</v>
      </c>
      <c r="W111" s="189">
        <v>30</v>
      </c>
      <c r="X111" s="189">
        <v>5.1800000000000068</v>
      </c>
      <c r="Y111" s="189">
        <v>67.22</v>
      </c>
      <c r="Z111" s="189">
        <v>3.8699999999999974</v>
      </c>
      <c r="AA111" s="189">
        <v>60.011646153846151</v>
      </c>
      <c r="AB111" s="189">
        <v>-66.040000000000006</v>
      </c>
      <c r="AC111" s="189">
        <v>11.2624404761905</v>
      </c>
      <c r="AD111" s="189">
        <v>-28.32</v>
      </c>
    </row>
    <row r="112" spans="1:30" s="189" customFormat="1" x14ac:dyDescent="0.3">
      <c r="A112" s="189" t="s">
        <v>201</v>
      </c>
      <c r="B112" s="189">
        <v>14</v>
      </c>
      <c r="C112" s="189">
        <v>1</v>
      </c>
      <c r="D112" s="189">
        <v>16</v>
      </c>
      <c r="E112" s="189" t="s">
        <v>257</v>
      </c>
      <c r="F112" s="189">
        <v>0.60072928000000003</v>
      </c>
      <c r="G112" s="189">
        <v>-12.248539999999998</v>
      </c>
      <c r="H112" s="189">
        <v>273</v>
      </c>
      <c r="I112" s="189">
        <v>153</v>
      </c>
      <c r="J112" s="189">
        <v>3.75</v>
      </c>
      <c r="K112" s="189">
        <v>226.75736961451264</v>
      </c>
      <c r="L112" s="189">
        <v>34</v>
      </c>
      <c r="M112" s="189">
        <v>32.511696903100834</v>
      </c>
      <c r="N112" s="189">
        <v>60.474117077890448</v>
      </c>
      <c r="O112" s="189">
        <v>8.6195003653692304</v>
      </c>
      <c r="P112" s="189">
        <v>73.63850951037962</v>
      </c>
      <c r="Q112" s="189">
        <v>6.3670629449809013</v>
      </c>
      <c r="R112" s="189">
        <v>7.89692E-3</v>
      </c>
      <c r="S112" s="103">
        <f t="shared" si="1"/>
        <v>7.8969199999999997</v>
      </c>
      <c r="T112" s="189">
        <v>2.6599999999999966</v>
      </c>
      <c r="U112" s="189">
        <v>295.76479400749065</v>
      </c>
      <c r="V112" s="189">
        <v>1.77</v>
      </c>
      <c r="W112" s="189">
        <v>26.7</v>
      </c>
      <c r="X112" s="189">
        <v>1.3830000000000098</v>
      </c>
      <c r="Y112" s="189">
        <v>100.36499999999999</v>
      </c>
      <c r="Z112" s="189">
        <v>2.529999999999994</v>
      </c>
      <c r="AA112" s="189">
        <v>81.923839999999998</v>
      </c>
      <c r="AB112" s="189">
        <v>-64.42</v>
      </c>
      <c r="AC112" s="189">
        <v>1.81652261904762</v>
      </c>
      <c r="AD112" s="189">
        <v>-34.79</v>
      </c>
    </row>
    <row r="113" spans="1:30" s="189" customFormat="1" x14ac:dyDescent="0.3">
      <c r="A113" s="189" t="s">
        <v>202</v>
      </c>
      <c r="B113" s="189">
        <v>14</v>
      </c>
      <c r="C113" s="189">
        <v>1</v>
      </c>
      <c r="D113" s="189">
        <v>16</v>
      </c>
      <c r="E113" s="189" t="s">
        <v>257</v>
      </c>
      <c r="F113" s="189">
        <v>0.52446637499999993</v>
      </c>
      <c r="G113" s="189">
        <v>-13.239343478260867</v>
      </c>
      <c r="H113" s="189">
        <v>295.64999999999998</v>
      </c>
      <c r="I113" s="189">
        <v>174.22</v>
      </c>
      <c r="J113" s="189">
        <v>4.6875</v>
      </c>
      <c r="K113" s="189">
        <v>250.87807325639622</v>
      </c>
      <c r="L113" s="189">
        <v>40</v>
      </c>
      <c r="M113" s="189">
        <v>34.166482233987402</v>
      </c>
      <c r="N113" s="189">
        <v>75.872534142639992</v>
      </c>
      <c r="O113" s="189">
        <v>10.264279335098612</v>
      </c>
      <c r="P113" s="189">
        <v>84.08601496617257</v>
      </c>
      <c r="Q113" s="189">
        <v>9.1578626760830257</v>
      </c>
      <c r="R113" s="189">
        <v>6.5080600000000004E-3</v>
      </c>
      <c r="S113" s="103">
        <f t="shared" si="1"/>
        <v>6.5080600000000004</v>
      </c>
      <c r="T113" s="189">
        <v>1.6599999999999966</v>
      </c>
      <c r="U113" s="189">
        <v>510.83673469387753</v>
      </c>
      <c r="V113" s="189">
        <v>2.1</v>
      </c>
      <c r="W113" s="189">
        <v>12.74</v>
      </c>
      <c r="X113" s="189">
        <v>2.4830000000000041</v>
      </c>
      <c r="Y113" s="189">
        <v>47.484999999999999</v>
      </c>
      <c r="Z113" s="189">
        <v>3.3500000000000014</v>
      </c>
      <c r="AA113" s="189">
        <v>82.308449999999993</v>
      </c>
      <c r="AB113" s="189">
        <v>-66</v>
      </c>
      <c r="AC113" s="189">
        <v>2.3251476190476099</v>
      </c>
      <c r="AD113" s="189">
        <v>-42.808516666666662</v>
      </c>
    </row>
    <row r="114" spans="1:30" s="198" customFormat="1" x14ac:dyDescent="0.3">
      <c r="A114" s="198" t="s">
        <v>161</v>
      </c>
      <c r="B114" s="198">
        <v>14</v>
      </c>
      <c r="C114" s="198">
        <v>2</v>
      </c>
      <c r="D114" s="198">
        <v>16</v>
      </c>
      <c r="E114" s="198" t="s">
        <v>258</v>
      </c>
      <c r="F114" s="198">
        <v>0.59651900000000002</v>
      </c>
      <c r="G114" s="198">
        <v>-17.511536363636363</v>
      </c>
      <c r="H114" s="198">
        <v>212.5</v>
      </c>
      <c r="I114" s="198">
        <v>130.19</v>
      </c>
      <c r="J114" s="198">
        <v>11.428571428571429</v>
      </c>
      <c r="K114" s="198">
        <v>253.61399949277305</v>
      </c>
      <c r="L114" s="198">
        <v>58</v>
      </c>
      <c r="M114" s="198">
        <v>53.214708958908489</v>
      </c>
      <c r="N114" s="198">
        <v>112.08249271463765</v>
      </c>
      <c r="O114" s="198">
        <v>23.687254628078581</v>
      </c>
      <c r="P114" s="198">
        <v>119.97815459475405</v>
      </c>
      <c r="Q114" s="198">
        <v>21.600150464215464</v>
      </c>
      <c r="R114" s="198">
        <v>8.9700000000000005E-3</v>
      </c>
      <c r="S114" s="103">
        <f t="shared" si="1"/>
        <v>8.9700000000000006</v>
      </c>
      <c r="T114" s="198">
        <v>6.2000000000000028</v>
      </c>
      <c r="U114" s="198">
        <v>338.4905660377359</v>
      </c>
      <c r="V114" s="198">
        <v>1.31</v>
      </c>
      <c r="W114" s="198">
        <v>26.5</v>
      </c>
      <c r="X114" s="198">
        <v>1.7199999999999989</v>
      </c>
      <c r="Y114" s="198">
        <v>76.481480000000005</v>
      </c>
      <c r="Z114" s="198">
        <v>2.9600000000000009</v>
      </c>
      <c r="AA114" s="198">
        <v>63.711990476190479</v>
      </c>
      <c r="AB114" s="198">
        <v>-67.03</v>
      </c>
      <c r="AC114" s="198">
        <v>5.3042452380952296</v>
      </c>
      <c r="AD114" s="198">
        <v>-32.842733333333335</v>
      </c>
    </row>
    <row r="115" spans="1:30" s="189" customFormat="1" x14ac:dyDescent="0.3">
      <c r="A115" s="189" t="s">
        <v>162</v>
      </c>
      <c r="B115" s="189">
        <v>14</v>
      </c>
      <c r="C115" s="189">
        <v>2</v>
      </c>
      <c r="D115" s="189">
        <v>16</v>
      </c>
      <c r="E115" s="189" t="s">
        <v>258</v>
      </c>
      <c r="F115" s="189">
        <v>0.43777560714285718</v>
      </c>
      <c r="G115" s="189">
        <v>-25.299067857142862</v>
      </c>
      <c r="H115" s="189">
        <v>284.10000000000002</v>
      </c>
      <c r="I115" s="189">
        <v>186.1</v>
      </c>
      <c r="J115" s="189">
        <v>11.111111111111111</v>
      </c>
      <c r="K115" s="189">
        <v>169.72165648336738</v>
      </c>
      <c r="L115" s="189">
        <v>24</v>
      </c>
      <c r="M115" s="189">
        <v>91.99585025232372</v>
      </c>
      <c r="N115" s="189">
        <v>49.385154822460308</v>
      </c>
      <c r="O115" s="189">
        <v>24.018593603208032</v>
      </c>
      <c r="P115" s="189">
        <v>51.909233718957637</v>
      </c>
      <c r="Q115" s="189">
        <v>21.055415018364858</v>
      </c>
      <c r="R115" s="189">
        <v>9.7796900000000006E-3</v>
      </c>
      <c r="S115" s="103">
        <f t="shared" si="1"/>
        <v>9.7796900000000004</v>
      </c>
      <c r="T115" s="189">
        <v>10.13000000000001</v>
      </c>
      <c r="U115" s="189">
        <v>380.53268482490279</v>
      </c>
      <c r="V115" s="189">
        <v>0.7</v>
      </c>
      <c r="W115" s="189">
        <v>25.7</v>
      </c>
      <c r="X115" s="189">
        <v>4.3499999999999943</v>
      </c>
      <c r="Y115" s="189">
        <v>56.937939999999998</v>
      </c>
      <c r="Z115" s="189">
        <v>3.3800000000000026</v>
      </c>
      <c r="AA115" s="189">
        <v>67.949571428571431</v>
      </c>
      <c r="AB115" s="189">
        <v>-65.39</v>
      </c>
      <c r="AC115" s="189">
        <v>9.1552726190476097</v>
      </c>
      <c r="AD115" s="189">
        <v>-35.380774999999993</v>
      </c>
    </row>
    <row r="116" spans="1:30" s="189" customFormat="1" x14ac:dyDescent="0.3">
      <c r="A116" s="189" t="s">
        <v>163</v>
      </c>
      <c r="B116" s="189">
        <v>14</v>
      </c>
      <c r="C116" s="189">
        <v>2</v>
      </c>
      <c r="D116" s="189">
        <v>17</v>
      </c>
      <c r="E116" s="189" t="s">
        <v>258</v>
      </c>
      <c r="F116" s="189">
        <v>0.57406783333333322</v>
      </c>
      <c r="G116" s="189">
        <v>-18.7988</v>
      </c>
      <c r="H116" s="189">
        <v>262.49</v>
      </c>
      <c r="I116" s="189">
        <v>138.6</v>
      </c>
      <c r="J116" s="189">
        <v>10</v>
      </c>
      <c r="K116" s="189">
        <v>251.88916876574314</v>
      </c>
      <c r="L116" s="189">
        <v>46</v>
      </c>
      <c r="M116" s="189">
        <v>93.058193208000603</v>
      </c>
      <c r="N116" s="189">
        <v>79.113924050633003</v>
      </c>
      <c r="O116" s="189">
        <v>21.100695570663628</v>
      </c>
      <c r="P116" s="189">
        <v>96.082524103320608</v>
      </c>
      <c r="Q116" s="189">
        <v>17.727638398602288</v>
      </c>
      <c r="R116" s="189">
        <v>5.5132999999999996E-3</v>
      </c>
      <c r="S116" s="103">
        <f t="shared" si="1"/>
        <v>5.5132999999999992</v>
      </c>
      <c r="T116" s="189">
        <v>5.5299999999999869</v>
      </c>
      <c r="U116" s="189">
        <v>334.13939393939393</v>
      </c>
      <c r="V116" s="189">
        <v>1.35</v>
      </c>
      <c r="W116" s="189">
        <v>16.5</v>
      </c>
      <c r="X116" s="189">
        <v>3.5899999999999892</v>
      </c>
      <c r="Y116" s="189">
        <v>43.382353000000002</v>
      </c>
      <c r="Z116" s="189">
        <v>2.1199999999999974</v>
      </c>
      <c r="AA116" s="189">
        <v>68.433972222222224</v>
      </c>
      <c r="AB116" s="189">
        <v>-67</v>
      </c>
      <c r="AC116" s="189">
        <v>4.5776369047618797</v>
      </c>
      <c r="AD116" s="189">
        <v>-37.506111111111117</v>
      </c>
    </row>
    <row r="117" spans="1:30" s="189" customFormat="1" x14ac:dyDescent="0.3">
      <c r="A117" s="189" t="s">
        <v>164</v>
      </c>
      <c r="B117" s="189">
        <v>14</v>
      </c>
      <c r="C117" s="189">
        <v>2</v>
      </c>
      <c r="D117" s="189">
        <v>17</v>
      </c>
      <c r="E117" s="189" t="s">
        <v>258</v>
      </c>
      <c r="F117" s="189">
        <v>0.44420399999999999</v>
      </c>
      <c r="G117" s="189">
        <v>-28.691608333333335</v>
      </c>
      <c r="H117" s="189">
        <v>274</v>
      </c>
      <c r="I117" s="189">
        <v>172</v>
      </c>
      <c r="J117" s="189">
        <v>7.0454545454545459</v>
      </c>
      <c r="K117" s="189">
        <v>229.46305644791167</v>
      </c>
      <c r="L117" s="189">
        <v>36</v>
      </c>
      <c r="M117" s="189">
        <v>43.005378060065702</v>
      </c>
      <c r="N117" s="189">
        <v>66.666666666666671</v>
      </c>
      <c r="O117" s="189">
        <v>10.470319648969241</v>
      </c>
      <c r="P117" s="189">
        <v>74.976529857201697</v>
      </c>
      <c r="Q117" s="189">
        <v>11.301313830657529</v>
      </c>
      <c r="R117" s="189">
        <v>8.2363499999999999E-3</v>
      </c>
      <c r="S117" s="103">
        <f t="shared" si="1"/>
        <v>8.2363499999999998</v>
      </c>
      <c r="T117" s="189">
        <v>2.4399999999999977</v>
      </c>
      <c r="U117" s="189">
        <v>410.79052369077306</v>
      </c>
      <c r="V117" s="189">
        <v>1.1000000000000001</v>
      </c>
      <c r="W117" s="189">
        <v>20.05</v>
      </c>
      <c r="X117" s="189">
        <v>3.4300000000000068</v>
      </c>
      <c r="Y117" s="189">
        <v>35.347043499999998</v>
      </c>
      <c r="Z117" s="189">
        <v>2.9399999999999977</v>
      </c>
      <c r="AA117" s="189">
        <v>58.466788000000008</v>
      </c>
      <c r="AB117" s="189">
        <v>-65.95</v>
      </c>
      <c r="AC117" s="189">
        <v>1.81652142857142</v>
      </c>
      <c r="AD117" s="189">
        <v>-24.240724</v>
      </c>
    </row>
    <row r="118" spans="1:30" s="189" customFormat="1" x14ac:dyDescent="0.3">
      <c r="A118" s="189" t="s">
        <v>166</v>
      </c>
      <c r="B118" s="189">
        <v>14</v>
      </c>
      <c r="C118" s="189">
        <v>2</v>
      </c>
      <c r="D118" s="189">
        <v>17</v>
      </c>
      <c r="E118" s="189" t="s">
        <v>258</v>
      </c>
      <c r="F118" s="189">
        <v>0.68177335714285714</v>
      </c>
      <c r="G118" s="189">
        <v>-16.775269230769233</v>
      </c>
      <c r="H118" s="189">
        <v>226.56</v>
      </c>
      <c r="I118" s="189">
        <v>123.29</v>
      </c>
      <c r="J118" s="189">
        <v>9.0909090909090899</v>
      </c>
      <c r="K118" s="189">
        <v>239.23444976076516</v>
      </c>
      <c r="L118" s="189">
        <v>45</v>
      </c>
      <c r="M118" s="189">
        <v>51.328463360674519</v>
      </c>
      <c r="N118" s="189">
        <v>81.947062197820372</v>
      </c>
      <c r="O118" s="189">
        <v>18.169736143577932</v>
      </c>
      <c r="P118" s="189">
        <v>90.770034366988256</v>
      </c>
      <c r="Q118" s="189">
        <v>16.696508715810143</v>
      </c>
      <c r="R118" s="189">
        <v>5.6049799999999999E-3</v>
      </c>
      <c r="S118" s="103">
        <f t="shared" si="1"/>
        <v>5.6049800000000003</v>
      </c>
      <c r="T118" s="189">
        <v>7.1000000000000085</v>
      </c>
      <c r="U118" s="189">
        <v>214.75019157088121</v>
      </c>
      <c r="V118" s="189">
        <v>0.9</v>
      </c>
      <c r="W118" s="189">
        <v>26.1</v>
      </c>
      <c r="X118" s="189">
        <v>4.7959999999999923</v>
      </c>
      <c r="Y118" s="189">
        <v>59.603614999999998</v>
      </c>
      <c r="Z118" s="189">
        <v>2.3400000000000034</v>
      </c>
      <c r="AA118" s="189">
        <v>67.073264285714274</v>
      </c>
      <c r="AB118" s="189">
        <v>-65.8</v>
      </c>
      <c r="AC118" s="189">
        <v>5.23158452380952</v>
      </c>
      <c r="AD118" s="189">
        <v>-35.317564285714283</v>
      </c>
    </row>
    <row r="119" spans="1:30" s="189" customFormat="1" x14ac:dyDescent="0.3">
      <c r="A119" s="189" t="s">
        <v>169</v>
      </c>
      <c r="B119" s="189">
        <v>14</v>
      </c>
      <c r="C119" s="189">
        <v>2</v>
      </c>
      <c r="D119" s="189">
        <v>19</v>
      </c>
      <c r="E119" s="189" t="s">
        <v>258</v>
      </c>
      <c r="F119" s="189">
        <v>0.43186160869565227</v>
      </c>
      <c r="G119" s="189">
        <v>-22.224743478260869</v>
      </c>
      <c r="H119" s="189">
        <v>334.1</v>
      </c>
      <c r="I119" s="189">
        <v>230.5</v>
      </c>
      <c r="J119" s="189">
        <v>11.25</v>
      </c>
      <c r="K119" s="189">
        <v>231.64234422052465</v>
      </c>
      <c r="L119" s="189">
        <v>59</v>
      </c>
      <c r="M119" s="189">
        <v>46.362468778572044</v>
      </c>
      <c r="N119" s="189">
        <v>109.03936321011827</v>
      </c>
      <c r="O119" s="189">
        <v>23.208798364452527</v>
      </c>
      <c r="P119" s="189">
        <v>121.4068249033804</v>
      </c>
      <c r="Q119" s="189">
        <v>20.665024458328702</v>
      </c>
      <c r="R119" s="189">
        <v>1.0199400000000001E-2</v>
      </c>
      <c r="S119" s="103">
        <f t="shared" si="1"/>
        <v>10.199400000000001</v>
      </c>
      <c r="T119" s="189">
        <v>10.900000000000006</v>
      </c>
      <c r="U119" s="189">
        <v>576.23728813559319</v>
      </c>
      <c r="V119" s="189">
        <v>0.77</v>
      </c>
      <c r="W119" s="189">
        <v>17.7</v>
      </c>
      <c r="X119" s="189">
        <v>5.5300000000000011</v>
      </c>
      <c r="Y119" s="189">
        <v>50.24</v>
      </c>
      <c r="Z119" s="189">
        <v>4.7510000000000048</v>
      </c>
      <c r="AA119" s="189">
        <v>80.813199999999995</v>
      </c>
      <c r="AB119" s="189">
        <v>-66.650000000000006</v>
      </c>
      <c r="AC119" s="189">
        <v>6.0308547619047603</v>
      </c>
      <c r="AD119" s="189">
        <v>-42.878530434782604</v>
      </c>
    </row>
    <row r="120" spans="1:30" s="189" customFormat="1" x14ac:dyDescent="0.3">
      <c r="A120" s="189" t="s">
        <v>171</v>
      </c>
      <c r="B120" s="189">
        <v>14</v>
      </c>
      <c r="C120" s="189">
        <v>2</v>
      </c>
      <c r="D120" s="189">
        <v>17</v>
      </c>
      <c r="E120" s="189" t="s">
        <v>258</v>
      </c>
      <c r="F120" s="189">
        <v>0.59243139130434763</v>
      </c>
      <c r="G120" s="189">
        <v>-15.402104347826089</v>
      </c>
      <c r="H120" s="189">
        <v>299.41000000000003</v>
      </c>
      <c r="I120" s="189">
        <v>164.6</v>
      </c>
      <c r="J120" s="189">
        <v>10</v>
      </c>
      <c r="K120" s="189">
        <v>227.94620469569179</v>
      </c>
      <c r="L120" s="189">
        <v>48</v>
      </c>
      <c r="M120" s="189">
        <v>55.737823576857991</v>
      </c>
      <c r="N120" s="189">
        <v>87.950747581354406</v>
      </c>
      <c r="O120" s="189">
        <v>21.413170029577945</v>
      </c>
      <c r="P120" s="189">
        <v>97.366213363995129</v>
      </c>
      <c r="Q120" s="189">
        <v>18.208945538663109</v>
      </c>
      <c r="R120" s="189">
        <v>8.0454299999999992E-3</v>
      </c>
      <c r="S120" s="103">
        <f t="shared" si="1"/>
        <v>8.0454299999999996</v>
      </c>
      <c r="T120" s="189">
        <v>9.9399999999999977</v>
      </c>
      <c r="U120" s="189">
        <v>338.04327731092434</v>
      </c>
      <c r="V120" s="189">
        <v>0.73</v>
      </c>
      <c r="W120" s="189">
        <v>23.8</v>
      </c>
      <c r="X120" s="189">
        <v>5.4200000000000017</v>
      </c>
      <c r="Y120" s="189">
        <v>76.037615000000002</v>
      </c>
      <c r="Z120" s="189">
        <v>3.269999999999996</v>
      </c>
      <c r="AA120" s="189">
        <v>83.244</v>
      </c>
      <c r="AB120" s="189">
        <v>-65.900000000000006</v>
      </c>
      <c r="AC120" s="189">
        <v>6.2488369047618999</v>
      </c>
      <c r="AD120" s="189">
        <v>-41.217300000000002</v>
      </c>
    </row>
    <row r="121" spans="1:30" s="189" customFormat="1" x14ac:dyDescent="0.3">
      <c r="A121" s="189" t="s">
        <v>173</v>
      </c>
      <c r="B121" s="189">
        <v>14</v>
      </c>
      <c r="C121" s="189">
        <v>2</v>
      </c>
      <c r="D121" s="189">
        <v>16</v>
      </c>
      <c r="E121" s="189" t="s">
        <v>258</v>
      </c>
      <c r="F121" s="189">
        <v>0.73856293103448289</v>
      </c>
      <c r="G121" s="189">
        <v>-25.794727586206893</v>
      </c>
      <c r="H121" s="189">
        <v>220.4</v>
      </c>
      <c r="I121" s="189">
        <v>106.4</v>
      </c>
      <c r="J121" s="189">
        <v>13.75</v>
      </c>
      <c r="K121" s="189">
        <v>196.07843137254923</v>
      </c>
      <c r="L121" s="189">
        <v>35</v>
      </c>
      <c r="M121" s="189">
        <v>121.67772435398462</v>
      </c>
      <c r="N121" s="189">
        <v>63.19115323854642</v>
      </c>
      <c r="O121" s="189">
        <v>30.373679581801799</v>
      </c>
      <c r="P121" s="189">
        <v>74.048684506656841</v>
      </c>
      <c r="Q121" s="189">
        <v>24.669348332408177</v>
      </c>
      <c r="R121" s="189">
        <v>6.2831099999999997E-3</v>
      </c>
      <c r="S121" s="103">
        <f t="shared" si="1"/>
        <v>6.2831099999999998</v>
      </c>
      <c r="T121" s="189">
        <v>6.2599999999999909</v>
      </c>
      <c r="U121" s="189">
        <v>187.5555223880597</v>
      </c>
      <c r="V121" s="189">
        <v>1.1499999999999999</v>
      </c>
      <c r="W121" s="189">
        <v>33.5</v>
      </c>
      <c r="X121" s="189">
        <v>1.7199999999999989</v>
      </c>
      <c r="Y121" s="189">
        <v>50.01</v>
      </c>
      <c r="Z121" s="189">
        <v>3.9420000000000002</v>
      </c>
      <c r="AA121" s="189">
        <v>66.199996551724098</v>
      </c>
      <c r="AB121" s="189">
        <v>-66.41</v>
      </c>
      <c r="AC121" s="189">
        <v>5.9581940476190596</v>
      </c>
      <c r="AD121" s="189">
        <v>-27.137489655172406</v>
      </c>
    </row>
    <row r="122" spans="1:30" s="189" customFormat="1" x14ac:dyDescent="0.3">
      <c r="A122" s="189" t="s">
        <v>175</v>
      </c>
      <c r="B122" s="189">
        <v>14</v>
      </c>
      <c r="C122" s="189">
        <v>2</v>
      </c>
      <c r="D122" s="189">
        <v>16</v>
      </c>
      <c r="E122" s="189" t="s">
        <v>258</v>
      </c>
      <c r="F122" s="189">
        <v>0.85713493333333324</v>
      </c>
      <c r="G122" s="189">
        <v>-17.887510344827586</v>
      </c>
      <c r="H122" s="189">
        <v>194.6</v>
      </c>
      <c r="I122" s="189">
        <v>93.4</v>
      </c>
      <c r="J122" s="189">
        <v>10.263157894736842</v>
      </c>
      <c r="K122" s="189">
        <v>171.90991920233861</v>
      </c>
      <c r="L122" s="189">
        <v>23</v>
      </c>
      <c r="M122" s="189">
        <v>135.44278908712351</v>
      </c>
      <c r="N122" s="189">
        <v>50.423557886244467</v>
      </c>
      <c r="O122" s="189">
        <v>29.549340170381178</v>
      </c>
      <c r="P122" s="189">
        <v>60.89460419231974</v>
      </c>
      <c r="Q122" s="189">
        <v>18.303816295001837</v>
      </c>
      <c r="R122" s="189">
        <v>4.8682300000000003E-3</v>
      </c>
      <c r="S122" s="103">
        <f t="shared" si="1"/>
        <v>4.8682300000000005</v>
      </c>
      <c r="T122" s="189">
        <v>6.2099999999999937</v>
      </c>
      <c r="U122" s="189">
        <v>224.34239631336408</v>
      </c>
      <c r="V122" s="189">
        <v>1.85</v>
      </c>
      <c r="W122" s="189">
        <v>21.7</v>
      </c>
      <c r="X122" s="189">
        <v>2.8400000000000034</v>
      </c>
      <c r="Y122" s="189">
        <v>60.221870000000003</v>
      </c>
      <c r="Z122" s="189">
        <v>4.4480000000000004</v>
      </c>
      <c r="AA122" s="189">
        <v>74.070233333333363</v>
      </c>
      <c r="AB122" s="189">
        <v>-71</v>
      </c>
      <c r="AC122" s="189">
        <v>6.7816857142857403</v>
      </c>
      <c r="AD122" s="189">
        <v>-33.020000000000003</v>
      </c>
    </row>
    <row r="123" spans="1:30" s="189" customFormat="1" x14ac:dyDescent="0.3">
      <c r="A123" s="189" t="s">
        <v>177</v>
      </c>
      <c r="B123" s="189">
        <v>14</v>
      </c>
      <c r="C123" s="189">
        <v>2</v>
      </c>
      <c r="D123" s="189">
        <v>16</v>
      </c>
      <c r="E123" s="189" t="s">
        <v>258</v>
      </c>
      <c r="F123" s="189">
        <v>0.75680099999999972</v>
      </c>
      <c r="G123" s="189">
        <v>-20.943196666666665</v>
      </c>
      <c r="H123" s="189">
        <v>210</v>
      </c>
      <c r="I123" s="189">
        <v>118.55</v>
      </c>
      <c r="J123" s="189">
        <v>6.4285714285714288</v>
      </c>
      <c r="K123" s="189">
        <v>168.77637130801736</v>
      </c>
      <c r="L123" s="189">
        <v>28</v>
      </c>
      <c r="M123" s="189">
        <v>48.172235084595528</v>
      </c>
      <c r="N123" s="189">
        <v>44.873233116446102</v>
      </c>
      <c r="O123" s="189">
        <v>14.927138911801457</v>
      </c>
      <c r="P123" s="189">
        <v>60.149269283997398</v>
      </c>
      <c r="Q123" s="189">
        <v>11.259133899013337</v>
      </c>
      <c r="R123" s="189">
        <v>4.57487E-3</v>
      </c>
      <c r="S123" s="103">
        <f t="shared" si="1"/>
        <v>4.5748699999999998</v>
      </c>
      <c r="T123" s="189">
        <v>4</v>
      </c>
      <c r="U123" s="189">
        <v>228.74350000000001</v>
      </c>
      <c r="V123" s="189">
        <v>1.3</v>
      </c>
      <c r="W123" s="189">
        <v>20</v>
      </c>
      <c r="X123" s="189">
        <v>2.8389999999999986</v>
      </c>
      <c r="Y123" s="189">
        <v>47.608454000000002</v>
      </c>
      <c r="Z123" s="189">
        <v>3.7100000000000009</v>
      </c>
      <c r="AA123" s="189">
        <v>74.328620000000015</v>
      </c>
      <c r="AB123" s="189">
        <v>-68</v>
      </c>
      <c r="AC123" s="189">
        <v>7.3629698412698197</v>
      </c>
      <c r="AD123" s="189">
        <v>-36.496976666666669</v>
      </c>
    </row>
    <row r="124" spans="1:30" s="189" customFormat="1" x14ac:dyDescent="0.3">
      <c r="A124" s="189" t="s">
        <v>179</v>
      </c>
      <c r="B124" s="189">
        <v>14</v>
      </c>
      <c r="C124" s="189">
        <v>2</v>
      </c>
      <c r="D124" s="189">
        <v>15</v>
      </c>
      <c r="E124" s="189" t="s">
        <v>258</v>
      </c>
      <c r="F124" s="189">
        <v>0.70381073333333333</v>
      </c>
      <c r="G124" s="189">
        <v>-11.985283333333333</v>
      </c>
      <c r="H124" s="189">
        <v>220.27</v>
      </c>
      <c r="I124" s="189">
        <v>132.97</v>
      </c>
      <c r="J124" s="189">
        <v>8.3333333333333339</v>
      </c>
      <c r="K124" s="189">
        <v>177.49378771742943</v>
      </c>
      <c r="L124" s="189">
        <v>34</v>
      </c>
      <c r="M124" s="189">
        <v>74.119227134199406</v>
      </c>
      <c r="N124" s="189">
        <v>64.226075786769229</v>
      </c>
      <c r="O124" s="189">
        <v>18.092506530282144</v>
      </c>
      <c r="P124" s="189">
        <v>71.517836829727472</v>
      </c>
      <c r="Q124" s="189">
        <v>14.338278770240885</v>
      </c>
      <c r="R124" s="189">
        <v>1.4364999999999999E-2</v>
      </c>
      <c r="S124" s="103">
        <f t="shared" si="1"/>
        <v>14.364999999999998</v>
      </c>
      <c r="T124" s="189">
        <v>6.1899999999999977</v>
      </c>
      <c r="U124" s="189">
        <v>389.29539295392954</v>
      </c>
      <c r="V124" s="189">
        <v>0.47599999999999998</v>
      </c>
      <c r="W124" s="189">
        <v>36.9</v>
      </c>
      <c r="X124" s="189">
        <v>2.480000000000004</v>
      </c>
      <c r="Y124" s="189">
        <v>75.368650000000002</v>
      </c>
      <c r="Z124" s="189">
        <v>4.1199999999999974</v>
      </c>
      <c r="AA124" s="189">
        <v>64.039961538461526</v>
      </c>
      <c r="AB124" s="189">
        <v>-65</v>
      </c>
      <c r="AC124" s="189">
        <v>4.4565349206349101</v>
      </c>
      <c r="AD124" s="189">
        <v>-28.71938461538462</v>
      </c>
    </row>
    <row r="125" spans="1:30" s="191" customFormat="1" x14ac:dyDescent="0.3">
      <c r="A125" s="190" t="s">
        <v>181</v>
      </c>
      <c r="B125" s="191">
        <v>14</v>
      </c>
      <c r="C125" s="191">
        <v>2</v>
      </c>
      <c r="D125" s="192">
        <v>14</v>
      </c>
      <c r="E125" s="193" t="s">
        <v>258</v>
      </c>
      <c r="F125" s="191">
        <v>0.61288623529411768</v>
      </c>
      <c r="G125" s="191">
        <v>-13.384623529411764</v>
      </c>
      <c r="H125" s="191">
        <v>243.04</v>
      </c>
      <c r="I125" s="191">
        <v>150.34</v>
      </c>
      <c r="J125" s="189">
        <v>10.625</v>
      </c>
      <c r="K125" s="191">
        <v>234.7417840375592</v>
      </c>
      <c r="L125" s="191">
        <v>41</v>
      </c>
      <c r="M125" s="189">
        <v>88.765733098641689</v>
      </c>
      <c r="N125" s="191">
        <v>74.872716382150372</v>
      </c>
      <c r="O125" s="189">
        <v>22.704190251672731</v>
      </c>
      <c r="P125" s="191">
        <v>86.547394114663916</v>
      </c>
      <c r="Q125" s="189">
        <v>17.78801906339773</v>
      </c>
      <c r="R125" s="194">
        <v>9.2205900000000007E-3</v>
      </c>
      <c r="S125" s="103">
        <f t="shared" si="1"/>
        <v>9.2205900000000014</v>
      </c>
      <c r="T125" s="191">
        <v>3</v>
      </c>
      <c r="U125" s="191">
        <v>397.43922413793103</v>
      </c>
      <c r="V125" s="193">
        <v>1.94</v>
      </c>
      <c r="W125" s="191">
        <v>23.2</v>
      </c>
      <c r="X125" s="191">
        <v>2.9200000000000017</v>
      </c>
      <c r="Y125" s="191">
        <v>54.15</v>
      </c>
      <c r="Z125" s="191">
        <v>2.0700000000000003</v>
      </c>
      <c r="AA125" s="191">
        <v>76.477047058823516</v>
      </c>
      <c r="AB125" s="191">
        <v>-66.599999999999994</v>
      </c>
      <c r="AC125" s="191">
        <v>2.2282666666666602</v>
      </c>
      <c r="AD125" s="191">
        <v>-38.024917647058814</v>
      </c>
    </row>
    <row r="126" spans="1:30" s="191" customFormat="1" x14ac:dyDescent="0.3">
      <c r="A126" s="190" t="s">
        <v>183</v>
      </c>
      <c r="B126" s="191">
        <v>14</v>
      </c>
      <c r="C126" s="191">
        <v>2</v>
      </c>
      <c r="D126" s="192">
        <v>14</v>
      </c>
      <c r="E126" s="193" t="s">
        <v>258</v>
      </c>
      <c r="F126" s="191">
        <v>0.71910734482758598</v>
      </c>
      <c r="G126" s="191">
        <v>-13.833927586206901</v>
      </c>
      <c r="H126" s="191">
        <v>208.05</v>
      </c>
      <c r="I126" s="191">
        <v>120.22</v>
      </c>
      <c r="J126" s="189">
        <v>9.375</v>
      </c>
      <c r="K126" s="191">
        <v>219.78021978021923</v>
      </c>
      <c r="L126" s="191">
        <v>37</v>
      </c>
      <c r="M126" s="189">
        <v>114.61022955817685</v>
      </c>
      <c r="N126" s="191">
        <v>65.312520410162477</v>
      </c>
      <c r="O126" s="189">
        <v>24.932693025657677</v>
      </c>
      <c r="P126" s="191">
        <v>81.784904598260766</v>
      </c>
      <c r="Q126" s="189">
        <v>17.337780246968066</v>
      </c>
      <c r="R126" s="191">
        <v>7.3106100000000004E-3</v>
      </c>
      <c r="S126" s="103">
        <f t="shared" si="1"/>
        <v>7.3106100000000005</v>
      </c>
      <c r="T126" s="191">
        <v>6.9200000000000017</v>
      </c>
      <c r="U126" s="191">
        <v>249.50887372013651</v>
      </c>
      <c r="V126" s="193">
        <v>1.04</v>
      </c>
      <c r="W126" s="191">
        <v>29.3</v>
      </c>
      <c r="X126" s="191">
        <v>3.4099999999999966</v>
      </c>
      <c r="Y126" s="191">
        <v>61.991349999999997</v>
      </c>
      <c r="Z126" s="191">
        <v>3.8900000000000006</v>
      </c>
      <c r="AA126" s="191">
        <v>76.285531034482744</v>
      </c>
      <c r="AB126" s="191">
        <v>-67.5</v>
      </c>
      <c r="AC126" s="191">
        <v>2.51891269841268</v>
      </c>
      <c r="AD126" s="191">
        <v>-38.294303448275869</v>
      </c>
    </row>
    <row r="127" spans="1:30" s="191" customFormat="1" x14ac:dyDescent="0.3">
      <c r="A127" s="190" t="s">
        <v>185</v>
      </c>
      <c r="B127" s="191">
        <v>14</v>
      </c>
      <c r="C127" s="191">
        <v>2</v>
      </c>
      <c r="D127" s="192">
        <v>14</v>
      </c>
      <c r="E127" s="193" t="s">
        <v>258</v>
      </c>
      <c r="F127" s="191">
        <v>0.61940659999999992</v>
      </c>
      <c r="G127" s="191">
        <v>-12.288423333333332</v>
      </c>
      <c r="H127" s="191">
        <v>265.45</v>
      </c>
      <c r="I127" s="191">
        <v>148.01</v>
      </c>
      <c r="J127" s="189">
        <v>13.125</v>
      </c>
      <c r="K127" s="191">
        <v>233.31777881474562</v>
      </c>
      <c r="L127" s="191">
        <v>42</v>
      </c>
      <c r="M127" s="189">
        <v>83.935041131660753</v>
      </c>
      <c r="N127" s="191">
        <v>76.405867970659685</v>
      </c>
      <c r="O127" s="189">
        <v>27.561002093793469</v>
      </c>
      <c r="P127" s="191">
        <v>88.236669808071653</v>
      </c>
      <c r="Q127" s="189">
        <v>24.806995013555493</v>
      </c>
      <c r="R127" s="191">
        <v>7.62073E-3</v>
      </c>
      <c r="S127" s="103">
        <f t="shared" si="1"/>
        <v>7.62073</v>
      </c>
      <c r="T127" s="191">
        <v>4.0499999999999972</v>
      </c>
      <c r="U127" s="191">
        <v>231.63313069908816</v>
      </c>
      <c r="V127" s="193">
        <v>1.1399999999999999</v>
      </c>
      <c r="W127" s="191">
        <v>32.9</v>
      </c>
      <c r="X127" s="191">
        <v>2.4000000000000057</v>
      </c>
      <c r="Y127" s="191">
        <v>64.694999999999993</v>
      </c>
      <c r="Z127" s="191">
        <v>0.68999999999999773</v>
      </c>
      <c r="AA127" s="191">
        <v>76.293943333333331</v>
      </c>
      <c r="AB127" s="191">
        <v>-63</v>
      </c>
      <c r="AC127" s="191">
        <v>2.7126730158729999</v>
      </c>
      <c r="AD127" s="191">
        <v>-33.540849999999999</v>
      </c>
    </row>
    <row r="128" spans="1:30" s="191" customFormat="1" x14ac:dyDescent="0.3">
      <c r="A128" s="193" t="s">
        <v>187</v>
      </c>
      <c r="B128" s="191">
        <v>14</v>
      </c>
      <c r="C128" s="191">
        <v>2</v>
      </c>
      <c r="D128" s="192">
        <v>14</v>
      </c>
      <c r="E128" s="193" t="s">
        <v>258</v>
      </c>
      <c r="F128" s="191">
        <v>0.70102951851851847</v>
      </c>
      <c r="G128" s="191">
        <v>-17.064981481481478</v>
      </c>
      <c r="H128" s="191">
        <v>204.66</v>
      </c>
      <c r="I128" s="191">
        <v>116.61</v>
      </c>
      <c r="J128" s="189">
        <v>21.833465110614103</v>
      </c>
      <c r="K128" s="191">
        <v>205.0440844781624</v>
      </c>
      <c r="L128" s="191">
        <v>35</v>
      </c>
      <c r="M128" s="189">
        <v>95.689680453839713</v>
      </c>
      <c r="N128" s="191">
        <v>48.030739673390855</v>
      </c>
      <c r="O128" s="189">
        <v>21.833465110614103</v>
      </c>
      <c r="P128" s="191">
        <v>64.426726782203147</v>
      </c>
      <c r="Q128" s="189">
        <v>21.833465110614103</v>
      </c>
      <c r="R128" s="191">
        <v>1.90361E-2</v>
      </c>
      <c r="S128" s="103">
        <f t="shared" si="1"/>
        <v>19.036100000000001</v>
      </c>
      <c r="T128" s="191">
        <v>4.2400000000000091</v>
      </c>
      <c r="U128" s="191">
        <v>820.52155172413802</v>
      </c>
      <c r="V128" s="193">
        <v>1.25</v>
      </c>
      <c r="W128" s="191">
        <v>23.2</v>
      </c>
      <c r="X128" s="191">
        <v>2.1760000000000019</v>
      </c>
      <c r="Y128" s="191">
        <v>67.809240000000003</v>
      </c>
      <c r="Z128" s="191">
        <v>3.0779999999999959</v>
      </c>
      <c r="AA128" s="191">
        <v>71.354614814814823</v>
      </c>
      <c r="AB128" s="191">
        <v>-60</v>
      </c>
      <c r="AC128" s="191">
        <v>4.0690095238095401</v>
      </c>
      <c r="AD128" s="191">
        <v>-25.792992592592597</v>
      </c>
    </row>
    <row r="129" spans="1:30" s="191" customFormat="1" x14ac:dyDescent="0.3">
      <c r="A129" s="193" t="s">
        <v>189</v>
      </c>
      <c r="B129" s="191">
        <v>14</v>
      </c>
      <c r="C129" s="191">
        <v>2</v>
      </c>
      <c r="D129" s="192">
        <v>18</v>
      </c>
      <c r="E129" s="193" t="s">
        <v>258</v>
      </c>
      <c r="F129" s="191">
        <v>0.50786206896551722</v>
      </c>
      <c r="G129" s="191">
        <v>-20.002686206896552</v>
      </c>
      <c r="H129" s="191">
        <v>350.8</v>
      </c>
      <c r="I129" s="191">
        <v>215.95</v>
      </c>
      <c r="J129" s="189">
        <v>8.75</v>
      </c>
      <c r="K129" s="191">
        <v>201.04543626859711</v>
      </c>
      <c r="L129" s="191">
        <v>39</v>
      </c>
      <c r="M129" s="189">
        <v>63.243518026361855</v>
      </c>
      <c r="N129" s="191">
        <v>70.126227208976204</v>
      </c>
      <c r="O129" s="189">
        <v>18.270800068516131</v>
      </c>
      <c r="P129" s="191">
        <v>82.724623049821005</v>
      </c>
      <c r="Q129" s="189">
        <v>15.626752226908312</v>
      </c>
      <c r="R129" s="191">
        <v>1.11501E-2</v>
      </c>
      <c r="S129" s="103">
        <f t="shared" si="1"/>
        <v>11.1501</v>
      </c>
      <c r="T129" s="191">
        <v>8.730000000000004</v>
      </c>
      <c r="U129" s="191">
        <v>414.50185873605949</v>
      </c>
      <c r="V129" s="193">
        <v>0.64800000000000002</v>
      </c>
      <c r="W129" s="191">
        <v>26.9</v>
      </c>
      <c r="X129" s="191">
        <v>5.9900000000000091</v>
      </c>
      <c r="Y129" s="191">
        <v>48.025455999999998</v>
      </c>
      <c r="Z129" s="191">
        <v>3.1700000000000017</v>
      </c>
      <c r="AA129" s="191">
        <v>87.86957241379308</v>
      </c>
      <c r="AB129" s="191">
        <v>-70</v>
      </c>
      <c r="AC129" s="191">
        <v>7.9442571428571398</v>
      </c>
      <c r="AD129" s="191">
        <v>-44.728248275862072</v>
      </c>
    </row>
    <row r="130" spans="1:30" s="191" customFormat="1" x14ac:dyDescent="0.3">
      <c r="A130" s="193" t="s">
        <v>191</v>
      </c>
      <c r="B130" s="191">
        <v>14</v>
      </c>
      <c r="C130" s="191">
        <v>2</v>
      </c>
      <c r="D130" s="192">
        <v>18</v>
      </c>
      <c r="E130" s="193" t="s">
        <v>258</v>
      </c>
      <c r="F130" s="191">
        <v>0.58646034482758624</v>
      </c>
      <c r="G130" s="191">
        <v>-14.991486206896552</v>
      </c>
      <c r="H130" s="191">
        <v>301.89</v>
      </c>
      <c r="I130" s="191">
        <v>170.11</v>
      </c>
      <c r="J130" s="191">
        <v>5</v>
      </c>
      <c r="K130" s="191">
        <v>221.97558268590478</v>
      </c>
      <c r="L130" s="191">
        <v>34</v>
      </c>
      <c r="M130" s="191">
        <v>41.603111594982295</v>
      </c>
      <c r="N130" s="191">
        <v>57.803468208092255</v>
      </c>
      <c r="O130" s="191">
        <v>10.850562490276165</v>
      </c>
      <c r="P130" s="191">
        <v>70.392269291537318</v>
      </c>
      <c r="Q130" s="191">
        <v>8.3444050551417259</v>
      </c>
      <c r="R130" s="191">
        <v>6.6858000000000004E-3</v>
      </c>
      <c r="S130" s="103">
        <f t="shared" si="1"/>
        <v>6.6858000000000004</v>
      </c>
      <c r="T130" s="191">
        <v>11.829999999999998</v>
      </c>
      <c r="U130" s="191">
        <v>182.67213114754097</v>
      </c>
      <c r="V130" s="193">
        <v>1</v>
      </c>
      <c r="W130" s="191">
        <v>36.6</v>
      </c>
      <c r="X130" s="191">
        <v>3.8739999999999952</v>
      </c>
      <c r="Y130" s="191">
        <v>53.791314999999997</v>
      </c>
      <c r="Z130" s="191">
        <v>2.4270000000000067</v>
      </c>
      <c r="AA130" s="191">
        <v>86.051151724137938</v>
      </c>
      <c r="AB130" s="191">
        <v>-69.75</v>
      </c>
      <c r="AC130" s="191">
        <v>9.7131215053763604</v>
      </c>
      <c r="AD130" s="191">
        <v>-44.486217241379315</v>
      </c>
    </row>
    <row r="131" spans="1:30" s="191" customFormat="1" x14ac:dyDescent="0.3">
      <c r="A131" s="193" t="s">
        <v>193</v>
      </c>
      <c r="B131" s="191">
        <v>14</v>
      </c>
      <c r="C131" s="191">
        <v>2</v>
      </c>
      <c r="D131" s="192">
        <v>15</v>
      </c>
      <c r="E131" s="193" t="s">
        <v>258</v>
      </c>
      <c r="F131" s="191">
        <v>0.58253524137931023</v>
      </c>
      <c r="G131" s="191">
        <v>-18.678875862068963</v>
      </c>
      <c r="H131" s="191">
        <v>250.82</v>
      </c>
      <c r="I131" s="191">
        <v>136.63999999999999</v>
      </c>
      <c r="J131" s="189">
        <v>10.142197794066998</v>
      </c>
      <c r="K131" s="191">
        <v>224.61814914645112</v>
      </c>
      <c r="L131" s="191">
        <v>23</v>
      </c>
      <c r="M131" s="189">
        <v>81.695029139990595</v>
      </c>
      <c r="N131" s="191">
        <v>44.931703810208312</v>
      </c>
      <c r="O131" s="189">
        <v>16.825601570810203</v>
      </c>
      <c r="P131" s="191">
        <v>58.880835586176794</v>
      </c>
      <c r="Q131" s="189">
        <v>10.142197794066998</v>
      </c>
      <c r="R131" s="191">
        <v>5.4415599999999998E-3</v>
      </c>
      <c r="S131" s="103">
        <f t="shared" ref="S131:S139" si="2">R131*1000</f>
        <v>5.44156</v>
      </c>
      <c r="T131" s="191">
        <v>3.9499999999999886</v>
      </c>
      <c r="U131" s="191">
        <v>272.07799999999997</v>
      </c>
      <c r="V131" s="193">
        <v>2.95</v>
      </c>
      <c r="W131" s="191">
        <v>20</v>
      </c>
      <c r="X131" s="191">
        <v>2.2099999999999937</v>
      </c>
      <c r="Y131" s="191">
        <v>70.033805000000001</v>
      </c>
      <c r="Z131" s="191">
        <v>3.009999999999998</v>
      </c>
      <c r="AA131" s="191">
        <v>73.793613793103461</v>
      </c>
      <c r="AB131" s="191">
        <v>-66.87</v>
      </c>
      <c r="AC131" s="191">
        <v>3.47834731182795</v>
      </c>
      <c r="AD131" s="191">
        <v>-31.205803448275862</v>
      </c>
    </row>
    <row r="132" spans="1:30" s="191" customFormat="1" x14ac:dyDescent="0.3">
      <c r="A132" s="193" t="s">
        <v>195</v>
      </c>
      <c r="B132" s="191">
        <v>14</v>
      </c>
      <c r="C132" s="191">
        <v>2</v>
      </c>
      <c r="D132" s="192">
        <v>15</v>
      </c>
      <c r="E132" s="193" t="s">
        <v>258</v>
      </c>
      <c r="F132" s="191">
        <v>0.58458258620689652</v>
      </c>
      <c r="G132" s="191">
        <v>-14.299072413793105</v>
      </c>
      <c r="H132" s="191">
        <v>274.32</v>
      </c>
      <c r="I132" s="191">
        <v>154.19</v>
      </c>
      <c r="J132" s="189">
        <v>7</v>
      </c>
      <c r="K132" s="191">
        <v>240.15369836695393</v>
      </c>
      <c r="L132" s="191">
        <v>42</v>
      </c>
      <c r="M132" s="189">
        <v>73.773814308722351</v>
      </c>
      <c r="N132" s="191">
        <v>70.906899241296415</v>
      </c>
      <c r="O132" s="189">
        <v>16.11946631891276</v>
      </c>
      <c r="P132" s="191">
        <v>87.386756664070688</v>
      </c>
      <c r="Q132" s="189">
        <v>13.31063071656888</v>
      </c>
      <c r="R132" s="191">
        <v>6.7315200000000004E-3</v>
      </c>
      <c r="S132" s="103">
        <f t="shared" si="2"/>
        <v>6.7315200000000006</v>
      </c>
      <c r="T132" s="191">
        <v>3.5300000000000011</v>
      </c>
      <c r="U132" s="191">
        <v>378.17528089887639</v>
      </c>
      <c r="V132" s="193">
        <v>1.9</v>
      </c>
      <c r="W132" s="191">
        <v>17.8</v>
      </c>
      <c r="X132" s="191">
        <v>2.960000000000008</v>
      </c>
      <c r="Y132" s="191">
        <v>39.393939500000002</v>
      </c>
      <c r="Z132" s="191">
        <v>3.7099999999999937</v>
      </c>
      <c r="AA132" s="191">
        <v>80.050765517241388</v>
      </c>
      <c r="AB132" s="191">
        <v>-65.09</v>
      </c>
      <c r="AC132" s="191">
        <v>3.3470903225806499</v>
      </c>
      <c r="AD132" s="191">
        <v>-38.001748275862063</v>
      </c>
    </row>
    <row r="133" spans="1:30" s="191" customFormat="1" x14ac:dyDescent="0.3">
      <c r="A133" s="193" t="s">
        <v>197</v>
      </c>
      <c r="B133" s="191">
        <v>14</v>
      </c>
      <c r="C133" s="191">
        <v>2</v>
      </c>
      <c r="D133" s="192">
        <v>15</v>
      </c>
      <c r="E133" s="193" t="s">
        <v>258</v>
      </c>
      <c r="F133" s="191">
        <v>0.7134968965517241</v>
      </c>
      <c r="G133" s="191">
        <v>-13.389855172413789</v>
      </c>
      <c r="H133" s="191">
        <v>185</v>
      </c>
      <c r="I133" s="191">
        <v>115</v>
      </c>
      <c r="J133" s="191">
        <v>14.545454545454545</v>
      </c>
      <c r="K133" s="191">
        <v>196.03999215840034</v>
      </c>
      <c r="L133" s="191">
        <v>38</v>
      </c>
      <c r="M133" s="191">
        <v>15.893766178984807</v>
      </c>
      <c r="N133" s="191">
        <v>64.345923685734761</v>
      </c>
      <c r="O133" s="191">
        <v>19.253620475296948</v>
      </c>
      <c r="P133" s="191">
        <v>81.360104296228357</v>
      </c>
      <c r="Q133" s="191">
        <v>25.476048288819086</v>
      </c>
      <c r="R133" s="191">
        <v>7.0010300000000001E-3</v>
      </c>
      <c r="S133" s="103">
        <f t="shared" si="2"/>
        <v>7.0010300000000001</v>
      </c>
      <c r="T133" s="191">
        <v>14.86999999999999</v>
      </c>
      <c r="U133" s="191">
        <v>156.62259507829975</v>
      </c>
      <c r="V133" s="193">
        <v>0.64</v>
      </c>
      <c r="W133" s="191">
        <v>44.7</v>
      </c>
      <c r="X133" s="191">
        <v>1.6799999999999926</v>
      </c>
      <c r="Y133" s="191">
        <v>154.73441</v>
      </c>
      <c r="Z133" s="191">
        <v>7.0399999999999991</v>
      </c>
      <c r="AA133" s="191">
        <v>70.8618275862069</v>
      </c>
      <c r="AB133" s="191">
        <v>-65</v>
      </c>
      <c r="AC133" s="191">
        <v>13.7821322580645</v>
      </c>
      <c r="AD133" s="191">
        <v>-34.792141379310344</v>
      </c>
    </row>
    <row r="134" spans="1:30" s="189" customFormat="1" x14ac:dyDescent="0.3">
      <c r="A134" s="193" t="s">
        <v>259</v>
      </c>
      <c r="B134" s="191">
        <v>14</v>
      </c>
      <c r="C134" s="191">
        <v>1</v>
      </c>
      <c r="D134" s="192">
        <v>15</v>
      </c>
      <c r="E134" s="195" t="s">
        <v>257</v>
      </c>
      <c r="F134" s="189">
        <v>0.63625236666666685</v>
      </c>
      <c r="G134" s="189">
        <v>-13.772900000000003</v>
      </c>
      <c r="H134" s="191">
        <v>270.48</v>
      </c>
      <c r="I134" s="191">
        <v>136.9</v>
      </c>
      <c r="J134" s="189">
        <v>9.2307692307692317</v>
      </c>
      <c r="K134" s="189">
        <v>205.12820512820514</v>
      </c>
      <c r="L134" s="189">
        <v>35</v>
      </c>
      <c r="M134" s="189">
        <v>72.4957623723095</v>
      </c>
      <c r="N134" s="189">
        <v>63.613231552163199</v>
      </c>
      <c r="O134" s="189">
        <v>21.135374522770867</v>
      </c>
      <c r="P134" s="189">
        <v>71.663255293104697</v>
      </c>
      <c r="Q134" s="189">
        <v>17.381992389587598</v>
      </c>
      <c r="R134" s="189">
        <v>7.1128600000000004E-3</v>
      </c>
      <c r="S134" s="103">
        <f t="shared" si="2"/>
        <v>7.1128600000000004</v>
      </c>
      <c r="T134" s="189">
        <f>83.36-78.37</f>
        <v>4.9899999999999949</v>
      </c>
      <c r="U134" s="189">
        <f t="shared" ref="U134:U139" si="3">(R134/W134)*1000000</f>
        <v>366.64226804123712</v>
      </c>
      <c r="V134" s="193">
        <v>1.5</v>
      </c>
      <c r="W134" s="189">
        <v>19.399999999999999</v>
      </c>
      <c r="X134" s="189">
        <v>3.8000000000000114</v>
      </c>
      <c r="Y134" s="189">
        <v>77.936335</v>
      </c>
      <c r="Z134" s="189">
        <v>1.7740000000000009</v>
      </c>
      <c r="AA134" s="189">
        <v>80.550126666666657</v>
      </c>
      <c r="AB134" s="191">
        <v>-66.2</v>
      </c>
      <c r="AC134" s="189">
        <v>4.2658967741935401</v>
      </c>
      <c r="AD134" s="189">
        <v>-43.041990000000006</v>
      </c>
    </row>
    <row r="135" spans="1:30" s="189" customFormat="1" x14ac:dyDescent="0.3">
      <c r="A135" s="193" t="s">
        <v>260</v>
      </c>
      <c r="B135" s="191">
        <v>14</v>
      </c>
      <c r="C135" s="191">
        <v>1</v>
      </c>
      <c r="D135" s="192">
        <v>15</v>
      </c>
      <c r="E135" s="195" t="s">
        <v>257</v>
      </c>
      <c r="F135" s="189">
        <v>0.63048936666666677</v>
      </c>
      <c r="G135" s="189">
        <v>-15.296675862068962</v>
      </c>
      <c r="H135" s="191">
        <v>254.55</v>
      </c>
      <c r="I135" s="191">
        <v>126.38</v>
      </c>
      <c r="J135" s="189">
        <v>16</v>
      </c>
      <c r="K135" s="189">
        <v>211.10407430863438</v>
      </c>
      <c r="L135" s="189">
        <v>42</v>
      </c>
      <c r="M135" s="189">
        <v>88.353171058861818</v>
      </c>
      <c r="N135" s="189">
        <v>78.67820613689986</v>
      </c>
      <c r="O135" s="189">
        <v>33.044561760836864</v>
      </c>
      <c r="P135" s="189">
        <v>86.156719878966626</v>
      </c>
      <c r="Q135" s="189">
        <v>28.704062551234948</v>
      </c>
      <c r="R135" s="189">
        <v>6.2213199999999998E-3</v>
      </c>
      <c r="S135" s="103">
        <f t="shared" si="2"/>
        <v>6.2213199999999995</v>
      </c>
      <c r="T135" s="189">
        <f>90.9-80.1</f>
        <v>10.800000000000011</v>
      </c>
      <c r="U135" s="189">
        <f t="shared" si="3"/>
        <v>280.23963963963962</v>
      </c>
      <c r="V135" s="193">
        <v>0.9</v>
      </c>
      <c r="W135" s="189">
        <v>22.2</v>
      </c>
      <c r="X135" s="189">
        <v>3.5</v>
      </c>
      <c r="Y135" s="189">
        <v>73.684209999999993</v>
      </c>
      <c r="Z135" s="189">
        <v>1.5700000000000003</v>
      </c>
      <c r="AA135" s="189">
        <v>75.402829999999994</v>
      </c>
      <c r="AB135" s="191">
        <v>-67.3</v>
      </c>
      <c r="AC135" s="189">
        <v>10.5663021505376</v>
      </c>
      <c r="AD135" s="189">
        <v>-39.689126666666674</v>
      </c>
    </row>
    <row r="136" spans="1:30" s="189" customFormat="1" x14ac:dyDescent="0.3">
      <c r="A136" s="193" t="s">
        <v>261</v>
      </c>
      <c r="B136" s="191">
        <v>14</v>
      </c>
      <c r="C136" s="191">
        <v>1</v>
      </c>
      <c r="D136" s="192">
        <v>15</v>
      </c>
      <c r="E136" s="195" t="s">
        <v>257</v>
      </c>
      <c r="F136" s="189">
        <v>0.51430034482758602</v>
      </c>
      <c r="G136" s="189">
        <v>-18.327989285714292</v>
      </c>
      <c r="H136" s="191">
        <v>270.10000000000002</v>
      </c>
      <c r="I136" s="191">
        <v>166.4</v>
      </c>
      <c r="J136" s="189">
        <v>10</v>
      </c>
      <c r="K136" s="189">
        <v>218.05494984736228</v>
      </c>
      <c r="L136" s="189">
        <v>34</v>
      </c>
      <c r="M136" s="189">
        <v>126.05842006473955</v>
      </c>
      <c r="N136" s="189">
        <v>59.105148058395947</v>
      </c>
      <c r="O136" s="189">
        <v>24.444382076662251</v>
      </c>
      <c r="P136" s="189">
        <v>72.017951249520365</v>
      </c>
      <c r="Q136" s="189">
        <v>15.610786515591517</v>
      </c>
      <c r="R136" s="189">
        <v>6.32323E-3</v>
      </c>
      <c r="S136" s="103">
        <f t="shared" si="2"/>
        <v>6.3232299999999997</v>
      </c>
      <c r="T136" s="189">
        <f>78.5-73.4</f>
        <v>5.0999999999999943</v>
      </c>
      <c r="U136" s="189">
        <f t="shared" si="3"/>
        <v>881.90097629009756</v>
      </c>
      <c r="V136" s="193">
        <v>2.5</v>
      </c>
      <c r="W136" s="189">
        <v>7.17</v>
      </c>
      <c r="X136" s="189">
        <v>2.1500000000000057</v>
      </c>
      <c r="Y136" s="189">
        <v>69.8</v>
      </c>
      <c r="Z136" s="189">
        <v>3.1799999999999997</v>
      </c>
      <c r="AA136" s="191">
        <v>73.793613793103461</v>
      </c>
      <c r="AB136" s="191">
        <v>-64.7</v>
      </c>
      <c r="AC136" s="189">
        <v>4.2658989247312</v>
      </c>
      <c r="AD136" s="189">
        <v>-39.190886206896558</v>
      </c>
    </row>
    <row r="137" spans="1:30" s="189" customFormat="1" x14ac:dyDescent="0.3">
      <c r="A137" s="193" t="s">
        <v>262</v>
      </c>
      <c r="B137" s="191">
        <v>14</v>
      </c>
      <c r="C137" s="191">
        <v>1</v>
      </c>
      <c r="D137" s="192">
        <v>15</v>
      </c>
      <c r="E137" s="195" t="s">
        <v>257</v>
      </c>
      <c r="F137" s="189">
        <v>0.64149563636363638</v>
      </c>
      <c r="G137" s="189">
        <v>-14.698354545454544</v>
      </c>
      <c r="H137" s="191">
        <v>235.9</v>
      </c>
      <c r="I137" s="191">
        <v>122.2</v>
      </c>
      <c r="J137" s="189">
        <v>11.666666666666668</v>
      </c>
      <c r="K137" s="189">
        <v>188.00526414739653</v>
      </c>
      <c r="L137" s="189">
        <v>38</v>
      </c>
      <c r="M137" s="189">
        <v>116.86089146887596</v>
      </c>
      <c r="N137" s="189">
        <v>73.072707343806769</v>
      </c>
      <c r="O137" s="189">
        <v>24.470005563062642</v>
      </c>
      <c r="P137" s="189">
        <v>77.723145340651584</v>
      </c>
      <c r="Q137" s="189">
        <v>18.797638446589826</v>
      </c>
      <c r="R137" s="189">
        <v>7.0988900000000001E-3</v>
      </c>
      <c r="S137" s="103">
        <f t="shared" si="2"/>
        <v>7.0988899999999999</v>
      </c>
      <c r="T137" s="189">
        <f>68.13-67.25</f>
        <v>0.87999999999999545</v>
      </c>
      <c r="U137" s="189">
        <f t="shared" si="3"/>
        <v>910.11410256410261</v>
      </c>
      <c r="V137" s="193">
        <v>2.2999999999999998</v>
      </c>
      <c r="W137" s="189">
        <v>7.8</v>
      </c>
      <c r="X137" s="189">
        <v>3.9599999999999937</v>
      </c>
      <c r="Y137" s="189">
        <v>53.553215000000002</v>
      </c>
      <c r="Z137" s="189">
        <v>0.8300000000000054</v>
      </c>
      <c r="AA137" s="189">
        <v>71.161445454545458</v>
      </c>
      <c r="AB137" s="191">
        <v>-67.8</v>
      </c>
      <c r="AC137" s="189">
        <v>1.3782129032258199</v>
      </c>
      <c r="AD137" s="189">
        <v>-44.527927272727268</v>
      </c>
    </row>
    <row r="138" spans="1:30" s="189" customFormat="1" x14ac:dyDescent="0.3">
      <c r="A138" s="193" t="s">
        <v>263</v>
      </c>
      <c r="B138" s="191">
        <v>14</v>
      </c>
      <c r="C138" s="191">
        <v>2</v>
      </c>
      <c r="D138" s="196">
        <v>19</v>
      </c>
      <c r="E138" s="193" t="s">
        <v>258</v>
      </c>
      <c r="F138" s="189">
        <v>0.37137740000000002</v>
      </c>
      <c r="G138" s="189">
        <v>-32.073999999999998</v>
      </c>
      <c r="H138" s="189">
        <v>291.7</v>
      </c>
      <c r="I138" s="189">
        <v>169</v>
      </c>
      <c r="J138" s="189">
        <v>14.285714285714285</v>
      </c>
      <c r="K138" s="189">
        <v>260.55237102657674</v>
      </c>
      <c r="L138" s="189">
        <v>45</v>
      </c>
      <c r="M138" s="189">
        <v>89.448189545604464</v>
      </c>
      <c r="N138" s="189">
        <v>85.215168299957298</v>
      </c>
      <c r="O138" s="189">
        <v>29.277619466032583</v>
      </c>
      <c r="P138" s="189">
        <v>91.727824756377785</v>
      </c>
      <c r="Q138" s="189">
        <v>24.570562801117209</v>
      </c>
      <c r="R138" s="189">
        <v>6.6563400000000002E-3</v>
      </c>
      <c r="S138" s="103">
        <f t="shared" si="2"/>
        <v>6.6563400000000001</v>
      </c>
      <c r="T138" s="189">
        <f>72.78-69.93</f>
        <v>2.8499999999999943</v>
      </c>
      <c r="U138" s="189">
        <f t="shared" si="3"/>
        <v>443.75600000000003</v>
      </c>
      <c r="V138" s="193">
        <v>2.96</v>
      </c>
      <c r="W138" s="189">
        <v>15</v>
      </c>
      <c r="X138" s="189">
        <f>67.105-64.86</f>
        <v>2.2450000000000045</v>
      </c>
      <c r="Y138" s="189">
        <f>110.48012/2</f>
        <v>55.24006</v>
      </c>
      <c r="Z138" s="189">
        <f>59.66-54.981</f>
        <v>4.6789999999999949</v>
      </c>
      <c r="AA138" s="189">
        <v>64.5</v>
      </c>
      <c r="AB138" s="191">
        <v>-63.6</v>
      </c>
      <c r="AC138" s="189">
        <v>2.4282806451612902</v>
      </c>
      <c r="AD138" s="189">
        <v>-25.668325000000003</v>
      </c>
    </row>
    <row r="139" spans="1:30" s="189" customFormat="1" x14ac:dyDescent="0.3">
      <c r="A139" s="193" t="s">
        <v>264</v>
      </c>
      <c r="B139" s="191">
        <v>14</v>
      </c>
      <c r="C139" s="191">
        <v>2</v>
      </c>
      <c r="D139" s="196">
        <v>19</v>
      </c>
      <c r="E139" s="193" t="s">
        <v>258</v>
      </c>
      <c r="F139" s="189">
        <v>0.50387156000000022</v>
      </c>
      <c r="G139" s="189">
        <v>-14.956071999999999</v>
      </c>
      <c r="H139" s="191">
        <v>290.3</v>
      </c>
      <c r="I139" s="191">
        <v>175.7</v>
      </c>
      <c r="J139" s="189">
        <v>7</v>
      </c>
      <c r="K139" s="189">
        <v>270.92928745597379</v>
      </c>
      <c r="L139" s="189">
        <v>30</v>
      </c>
      <c r="M139" s="189">
        <v>77.227058178163901</v>
      </c>
      <c r="N139" s="189">
        <v>53.847396478380524</v>
      </c>
      <c r="O139" s="189">
        <v>15.972121935168133</v>
      </c>
      <c r="P139" s="189">
        <v>67.75343497594578</v>
      </c>
      <c r="Q139" s="189">
        <v>12.833036571222468</v>
      </c>
      <c r="R139" s="189">
        <v>7.2851799999999996E-3</v>
      </c>
      <c r="S139" s="103">
        <f t="shared" si="2"/>
        <v>7.2851799999999995</v>
      </c>
      <c r="T139" s="189">
        <f>86.46-79.23</f>
        <v>7.2299999999999898</v>
      </c>
      <c r="U139" s="189">
        <f t="shared" si="3"/>
        <v>311.33247863247863</v>
      </c>
      <c r="V139" s="193">
        <v>1.2</v>
      </c>
      <c r="W139" s="189">
        <v>23.4</v>
      </c>
      <c r="X139" s="189">
        <v>3.2000000000000028</v>
      </c>
      <c r="Y139" s="189">
        <v>63.117220000000003</v>
      </c>
      <c r="Z139" s="189">
        <v>2.490000000000002</v>
      </c>
      <c r="AA139" s="189">
        <v>75.849603999999985</v>
      </c>
      <c r="AB139" s="191">
        <v>-64.599999999999994</v>
      </c>
      <c r="AC139" s="189">
        <v>6.4972913978494704</v>
      </c>
      <c r="AD139" s="189">
        <v>-40.344228000000008</v>
      </c>
    </row>
    <row r="140" spans="1:30" x14ac:dyDescent="0.3">
      <c r="A140" s="62"/>
      <c r="B140" s="53"/>
      <c r="C140" s="53"/>
      <c r="D140" s="61"/>
      <c r="E140" s="62"/>
      <c r="H140" s="34"/>
      <c r="I140" s="34"/>
      <c r="J140" s="34"/>
      <c r="V140" s="34"/>
      <c r="X140" s="34"/>
      <c r="Y140" s="103"/>
      <c r="Z140" s="103"/>
    </row>
    <row r="141" spans="1:30" x14ac:dyDescent="0.3">
      <c r="B141" s="34"/>
      <c r="D141" s="61"/>
      <c r="H141" s="34"/>
      <c r="I141" s="34"/>
      <c r="J141" s="34"/>
      <c r="V141" s="34"/>
      <c r="X141" s="34"/>
      <c r="Y141" s="103"/>
      <c r="Z141" s="103"/>
    </row>
    <row r="142" spans="1:30" x14ac:dyDescent="0.3">
      <c r="B142" s="34"/>
      <c r="H142" s="34"/>
      <c r="I142" s="34"/>
      <c r="J142" s="103"/>
      <c r="K142" s="103"/>
      <c r="L142" s="103"/>
      <c r="N142" s="103"/>
      <c r="O142" s="103"/>
      <c r="V142" s="103"/>
      <c r="W142" s="103"/>
      <c r="X142" s="34"/>
      <c r="Y142" s="103"/>
      <c r="Z142" s="103"/>
    </row>
    <row r="143" spans="1:30" x14ac:dyDescent="0.3">
      <c r="B143" s="34"/>
      <c r="I143" s="34"/>
      <c r="N143" s="103"/>
      <c r="O143" s="103"/>
      <c r="P143" s="103"/>
      <c r="V143" s="103"/>
      <c r="W143" s="103"/>
      <c r="X143" s="34"/>
      <c r="Y143" s="103"/>
      <c r="Z143" s="103"/>
    </row>
    <row r="144" spans="1:30" x14ac:dyDescent="0.3">
      <c r="B144" s="34"/>
      <c r="H144" s="34"/>
      <c r="V144" s="103"/>
      <c r="W144" s="103"/>
      <c r="X144" s="34"/>
      <c r="Y144" s="103"/>
      <c r="Z144" s="103"/>
    </row>
    <row r="145" spans="2:26" x14ac:dyDescent="0.3">
      <c r="B145" s="34"/>
      <c r="H145" s="34"/>
      <c r="I145" s="34"/>
      <c r="J145" s="103"/>
      <c r="V145" s="103"/>
      <c r="W145" s="103"/>
      <c r="X145" s="34"/>
      <c r="Y145" s="103"/>
      <c r="Z145" s="103"/>
    </row>
    <row r="146" spans="2:26" x14ac:dyDescent="0.3">
      <c r="B146" s="34"/>
      <c r="H146" s="34"/>
      <c r="I146" s="34"/>
      <c r="J146" s="103"/>
      <c r="K146" s="103"/>
      <c r="V146" s="103"/>
      <c r="W146" s="103"/>
      <c r="X146" s="34"/>
      <c r="Y146" s="103"/>
      <c r="Z146" s="103"/>
    </row>
    <row r="147" spans="2:26" x14ac:dyDescent="0.3">
      <c r="B147" s="34"/>
      <c r="H147" s="34"/>
      <c r="I147" s="34"/>
      <c r="J147" s="103"/>
      <c r="K147" s="103"/>
      <c r="V147" s="103"/>
      <c r="W147" s="103"/>
      <c r="X147" s="34"/>
      <c r="Y147" s="103"/>
      <c r="Z147" s="103"/>
    </row>
    <row r="148" spans="2:26" x14ac:dyDescent="0.3">
      <c r="B148" s="34"/>
      <c r="H148" s="34"/>
      <c r="I148" s="34"/>
      <c r="J148" s="103"/>
      <c r="V148" s="103"/>
      <c r="W148" s="103"/>
      <c r="X148" s="34"/>
      <c r="Y148" s="103"/>
      <c r="Z148" s="103"/>
    </row>
    <row r="149" spans="2:26" x14ac:dyDescent="0.3">
      <c r="B149" s="34"/>
      <c r="H149" s="34"/>
      <c r="I149" s="34"/>
      <c r="J149" s="103"/>
      <c r="V149" s="103"/>
      <c r="W149" s="103"/>
      <c r="X149" s="34"/>
      <c r="Y149" s="103"/>
      <c r="Z149" s="103"/>
    </row>
    <row r="150" spans="2:26" x14ac:dyDescent="0.3">
      <c r="B150" s="34"/>
      <c r="H150" s="34"/>
      <c r="I150" s="34"/>
      <c r="J150" s="34"/>
      <c r="K150" s="103"/>
      <c r="V150" s="103"/>
      <c r="W150" s="103"/>
      <c r="X150" s="34"/>
      <c r="Y150" s="103"/>
      <c r="Z150" s="103"/>
    </row>
    <row r="151" spans="2:26" x14ac:dyDescent="0.3">
      <c r="B151" s="34"/>
      <c r="D151" s="53"/>
      <c r="E151" s="53"/>
      <c r="H151" s="34"/>
      <c r="I151" s="34"/>
      <c r="K151" s="103"/>
      <c r="L151" s="103"/>
      <c r="V151" s="103"/>
      <c r="W151" s="103"/>
      <c r="X151" s="34"/>
      <c r="Y151" s="103"/>
      <c r="Z151" s="103"/>
    </row>
    <row r="152" spans="2:26" x14ac:dyDescent="0.3">
      <c r="B152" s="34"/>
      <c r="D152" s="53"/>
      <c r="E152" s="53"/>
      <c r="H152" s="34"/>
      <c r="I152" s="34"/>
      <c r="J152" s="34"/>
      <c r="V152" s="103"/>
      <c r="X152" s="34"/>
      <c r="Y152" s="103"/>
      <c r="Z152" s="103"/>
    </row>
    <row r="153" spans="2:26" x14ac:dyDescent="0.3">
      <c r="B153" s="34"/>
      <c r="H153" s="34"/>
      <c r="I153" s="34"/>
      <c r="V153" s="103"/>
      <c r="X153" s="34"/>
      <c r="Y153" s="103"/>
      <c r="Z153" s="103"/>
    </row>
    <row r="154" spans="2:26" x14ac:dyDescent="0.3">
      <c r="B154" s="34"/>
      <c r="H154" s="34"/>
      <c r="I154" s="34"/>
      <c r="J154" s="34"/>
      <c r="V154" s="103"/>
      <c r="X154" s="34"/>
      <c r="Y154" s="103"/>
      <c r="Z154" s="103"/>
    </row>
    <row r="155" spans="2:26" x14ac:dyDescent="0.3">
      <c r="B155" s="34"/>
      <c r="H155" s="34"/>
      <c r="I155" s="34"/>
      <c r="J155" s="34"/>
      <c r="W155" s="103"/>
      <c r="X155" s="34"/>
      <c r="Y155" s="103"/>
      <c r="Z155" s="103"/>
    </row>
    <row r="156" spans="2:26" x14ac:dyDescent="0.3">
      <c r="Y156" s="103"/>
      <c r="Z156" s="103"/>
    </row>
    <row r="157" spans="2:26" x14ac:dyDescent="0.3">
      <c r="Y157" s="103"/>
      <c r="Z157" s="103"/>
    </row>
    <row r="158" spans="2:26" x14ac:dyDescent="0.3">
      <c r="B158" s="34"/>
      <c r="H158" s="34"/>
      <c r="I158" s="34"/>
      <c r="J158" s="34"/>
      <c r="V158" s="34"/>
      <c r="X158" s="34"/>
      <c r="Y158" s="103"/>
      <c r="Z158" s="103"/>
    </row>
    <row r="159" spans="2:26" s="103" customFormat="1" x14ac:dyDescent="0.3"/>
    <row r="160" spans="2:26" x14ac:dyDescent="0.3">
      <c r="Y160" s="103"/>
      <c r="Z160" s="103"/>
    </row>
    <row r="161" spans="25:26" x14ac:dyDescent="0.3">
      <c r="Y161" s="103"/>
      <c r="Z161" s="103"/>
    </row>
    <row r="162" spans="25:26" x14ac:dyDescent="0.3">
      <c r="Y162" s="103"/>
      <c r="Z162" s="103"/>
    </row>
    <row r="163" spans="25:26" x14ac:dyDescent="0.3">
      <c r="Y163" s="103"/>
      <c r="Z163" s="10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"/>
  <sheetViews>
    <sheetView zoomScale="50" zoomScaleNormal="50" workbookViewId="0">
      <selection sqref="A1:D7"/>
    </sheetView>
  </sheetViews>
  <sheetFormatPr defaultRowHeight="14.4" x14ac:dyDescent="0.3"/>
  <sheetData>
    <row r="1" spans="1:13" x14ac:dyDescent="0.3">
      <c r="A1" t="s">
        <v>265</v>
      </c>
      <c r="B1" t="s">
        <v>266</v>
      </c>
      <c r="C1" s="103" t="s">
        <v>268</v>
      </c>
      <c r="D1" t="s">
        <v>267</v>
      </c>
      <c r="F1" t="s">
        <v>269</v>
      </c>
      <c r="G1" t="s">
        <v>270</v>
      </c>
      <c r="H1" t="s">
        <v>271</v>
      </c>
      <c r="J1" t="s">
        <v>265</v>
      </c>
      <c r="K1" t="s">
        <v>275</v>
      </c>
      <c r="L1" t="s">
        <v>276</v>
      </c>
      <c r="M1" t="s">
        <v>277</v>
      </c>
    </row>
    <row r="2" spans="1:13" x14ac:dyDescent="0.3">
      <c r="A2">
        <v>0</v>
      </c>
      <c r="B2">
        <v>0</v>
      </c>
      <c r="C2">
        <v>0</v>
      </c>
      <c r="D2">
        <v>0</v>
      </c>
      <c r="F2" t="s">
        <v>274</v>
      </c>
      <c r="G2" t="s">
        <v>272</v>
      </c>
      <c r="H2" t="s">
        <v>273</v>
      </c>
      <c r="J2">
        <v>-0.3</v>
      </c>
      <c r="K2">
        <v>-67.81</v>
      </c>
      <c r="L2">
        <v>-72.599999999999994</v>
      </c>
      <c r="M2">
        <v>-77.09</v>
      </c>
    </row>
    <row r="3" spans="1:13" x14ac:dyDescent="0.3">
      <c r="A3">
        <v>0.2</v>
      </c>
      <c r="B3">
        <f>72.43-70.99</f>
        <v>1.4400000000000119</v>
      </c>
      <c r="C3">
        <v>0</v>
      </c>
      <c r="D3">
        <f>87-84</f>
        <v>3</v>
      </c>
      <c r="J3">
        <v>-0.2</v>
      </c>
      <c r="K3">
        <v>-66.89</v>
      </c>
      <c r="L3">
        <v>-69.099999999999994</v>
      </c>
      <c r="M3">
        <v>-72.06</v>
      </c>
    </row>
    <row r="4" spans="1:13" x14ac:dyDescent="0.3">
      <c r="A4" s="103">
        <v>0.4</v>
      </c>
      <c r="B4">
        <f>77.78-74.21</f>
        <v>3.5700000000000074</v>
      </c>
      <c r="C4">
        <v>0</v>
      </c>
      <c r="D4">
        <f>100-95.5</f>
        <v>4.5</v>
      </c>
      <c r="J4">
        <v>-0.1</v>
      </c>
      <c r="K4">
        <v>-65.63</v>
      </c>
      <c r="L4">
        <v>-66.7</v>
      </c>
      <c r="M4">
        <v>-67.58</v>
      </c>
    </row>
    <row r="5" spans="1:13" x14ac:dyDescent="0.3">
      <c r="A5">
        <v>0.6</v>
      </c>
      <c r="B5">
        <f>82.45-76.46</f>
        <v>5.9900000000000091</v>
      </c>
      <c r="C5">
        <f>91.71-90.46</f>
        <v>1.25</v>
      </c>
      <c r="D5">
        <f>115.3-105.8</f>
        <v>9.5</v>
      </c>
      <c r="J5" s="103">
        <v>0</v>
      </c>
      <c r="K5">
        <v>-64.88</v>
      </c>
      <c r="L5">
        <v>-63.8</v>
      </c>
      <c r="M5">
        <v>-63</v>
      </c>
    </row>
    <row r="6" spans="1:13" x14ac:dyDescent="0.3">
      <c r="A6">
        <v>0.8</v>
      </c>
      <c r="B6">
        <f>86.6-78.19</f>
        <v>8.4099999999999966</v>
      </c>
      <c r="C6">
        <f>98.81-96.57</f>
        <v>2.2400000000000091</v>
      </c>
      <c r="D6">
        <f>115.1-102.5</f>
        <v>12.599999999999994</v>
      </c>
      <c r="J6" s="103">
        <v>0.1</v>
      </c>
      <c r="K6">
        <v>-63.7</v>
      </c>
      <c r="L6">
        <v>-61.4</v>
      </c>
      <c r="M6">
        <v>-58.47</v>
      </c>
    </row>
    <row r="7" spans="1:13" x14ac:dyDescent="0.3">
      <c r="A7">
        <v>1</v>
      </c>
      <c r="B7">
        <f>90.63802-80.2</f>
        <v>10.438019999999995</v>
      </c>
      <c r="C7">
        <f>106.78-103.42</f>
        <v>3.3599999999999994</v>
      </c>
      <c r="J7" s="103">
        <v>0.2</v>
      </c>
      <c r="K7">
        <v>-62.61</v>
      </c>
      <c r="L7">
        <v>-59</v>
      </c>
      <c r="M7">
        <v>-53.85</v>
      </c>
    </row>
    <row r="8" spans="1:13" x14ac:dyDescent="0.3">
      <c r="J8" s="103">
        <v>0.3</v>
      </c>
      <c r="K8">
        <v>-61.52</v>
      </c>
      <c r="L8">
        <v>-56.7</v>
      </c>
      <c r="M8">
        <v>-48.95</v>
      </c>
    </row>
    <row r="9" spans="1:13" x14ac:dyDescent="0.3">
      <c r="J9" s="103">
        <v>0.4</v>
      </c>
      <c r="K9">
        <v>-60.76</v>
      </c>
      <c r="L9">
        <v>-54.6</v>
      </c>
    </row>
    <row r="10" spans="1:13" x14ac:dyDescent="0.3">
      <c r="J10" s="103">
        <v>0.5</v>
      </c>
      <c r="K10">
        <v>-59.76</v>
      </c>
      <c r="L10">
        <v>-52.2</v>
      </c>
    </row>
    <row r="11" spans="1:13" x14ac:dyDescent="0.3">
      <c r="J11" s="103"/>
    </row>
    <row r="12" spans="1:13" x14ac:dyDescent="0.3">
      <c r="J12" s="103"/>
    </row>
    <row r="13" spans="1:13" x14ac:dyDescent="0.3">
      <c r="J13" s="103"/>
    </row>
    <row r="14" spans="1:13" x14ac:dyDescent="0.3">
      <c r="J14" s="103"/>
    </row>
    <row r="15" spans="1:13" x14ac:dyDescent="0.3">
      <c r="J15" s="10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" sqref="C1"/>
    </sheetView>
  </sheetViews>
  <sheetFormatPr defaultRowHeight="14.4" x14ac:dyDescent="0.3"/>
  <sheetData>
    <row r="1" spans="1:5" x14ac:dyDescent="0.3">
      <c r="A1" s="201" t="s">
        <v>265</v>
      </c>
      <c r="B1" t="s">
        <v>358</v>
      </c>
      <c r="C1" t="s">
        <v>360</v>
      </c>
      <c r="D1" s="201"/>
      <c r="E1" s="201"/>
    </row>
    <row r="2" spans="1:5" x14ac:dyDescent="0.3">
      <c r="A2" s="201">
        <v>0</v>
      </c>
      <c r="B2" s="201">
        <v>0</v>
      </c>
      <c r="C2" t="s">
        <v>359</v>
      </c>
    </row>
    <row r="3" spans="1:5" x14ac:dyDescent="0.3">
      <c r="A3" s="201">
        <v>0.2</v>
      </c>
      <c r="B3" s="201">
        <v>-3</v>
      </c>
      <c r="C3" s="201" t="s">
        <v>359</v>
      </c>
    </row>
    <row r="4" spans="1:5" x14ac:dyDescent="0.3">
      <c r="A4" s="201">
        <v>0.4</v>
      </c>
      <c r="B4" s="201">
        <v>-4.5</v>
      </c>
      <c r="C4" s="201" t="s">
        <v>359</v>
      </c>
    </row>
    <row r="5" spans="1:5" x14ac:dyDescent="0.3">
      <c r="A5" s="201">
        <v>0.6</v>
      </c>
      <c r="B5" s="201">
        <v>-9.5</v>
      </c>
      <c r="C5" s="201" t="s">
        <v>359</v>
      </c>
    </row>
    <row r="6" spans="1:5" x14ac:dyDescent="0.3">
      <c r="A6" s="201">
        <v>0.8</v>
      </c>
      <c r="B6" s="201">
        <v>-12.6</v>
      </c>
      <c r="C6" s="201" t="s">
        <v>359</v>
      </c>
    </row>
    <row r="7" spans="1:5" x14ac:dyDescent="0.3">
      <c r="A7" s="201">
        <v>0</v>
      </c>
      <c r="B7" s="201">
        <v>0</v>
      </c>
      <c r="C7" s="201" t="s">
        <v>217</v>
      </c>
      <c r="D7" s="201"/>
    </row>
    <row r="8" spans="1:5" x14ac:dyDescent="0.3">
      <c r="A8" s="201">
        <v>0.2</v>
      </c>
      <c r="B8" s="201">
        <v>0</v>
      </c>
      <c r="C8" s="201" t="s">
        <v>217</v>
      </c>
    </row>
    <row r="9" spans="1:5" x14ac:dyDescent="0.3">
      <c r="A9" s="201">
        <v>0.4</v>
      </c>
      <c r="B9" s="201">
        <v>0</v>
      </c>
      <c r="C9" s="201" t="s">
        <v>217</v>
      </c>
    </row>
    <row r="10" spans="1:5" x14ac:dyDescent="0.3">
      <c r="A10" s="201">
        <v>0.6</v>
      </c>
      <c r="B10" s="201">
        <v>-1.25</v>
      </c>
      <c r="C10" s="201" t="s">
        <v>217</v>
      </c>
    </row>
    <row r="11" spans="1:5" x14ac:dyDescent="0.3">
      <c r="A11" s="201">
        <v>0.8</v>
      </c>
      <c r="B11" s="201">
        <v>-2.2400000000000002</v>
      </c>
      <c r="C11" s="201" t="s">
        <v>217</v>
      </c>
    </row>
    <row r="12" spans="1:5" x14ac:dyDescent="0.3">
      <c r="A12" s="201">
        <v>0</v>
      </c>
      <c r="B12" s="201">
        <v>0</v>
      </c>
      <c r="C12" s="201" t="s">
        <v>357</v>
      </c>
    </row>
    <row r="13" spans="1:5" x14ac:dyDescent="0.3">
      <c r="A13" s="201">
        <v>0.2</v>
      </c>
      <c r="B13" s="201">
        <v>-1.44</v>
      </c>
      <c r="C13" s="201" t="s">
        <v>357</v>
      </c>
    </row>
    <row r="14" spans="1:5" x14ac:dyDescent="0.3">
      <c r="A14" s="201">
        <v>0.4</v>
      </c>
      <c r="B14" s="201">
        <v>-3.47</v>
      </c>
      <c r="C14" s="201" t="s">
        <v>357</v>
      </c>
    </row>
    <row r="15" spans="1:5" x14ac:dyDescent="0.3">
      <c r="A15" s="201">
        <v>0.6</v>
      </c>
      <c r="B15" s="201">
        <v>-5.99</v>
      </c>
      <c r="C15" s="201" t="s">
        <v>357</v>
      </c>
    </row>
    <row r="16" spans="1:5" x14ac:dyDescent="0.3">
      <c r="A16" s="201">
        <v>0.8</v>
      </c>
      <c r="B16" s="201">
        <v>-8.41</v>
      </c>
      <c r="C16" s="201" t="s">
        <v>357</v>
      </c>
    </row>
    <row r="19" spans="1:3" x14ac:dyDescent="0.3">
      <c r="A19" s="201"/>
      <c r="B19" s="201"/>
      <c r="C19" s="20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163"/>
  <sheetViews>
    <sheetView zoomScale="50" zoomScaleNormal="50" workbookViewId="0">
      <selection activeCell="I1" sqref="I1"/>
    </sheetView>
  </sheetViews>
  <sheetFormatPr defaultRowHeight="14.4" x14ac:dyDescent="0.3"/>
  <cols>
    <col min="1" max="1" width="22" style="201" customWidth="1"/>
    <col min="2" max="2" width="8.88671875" style="201"/>
    <col min="3" max="24" width="25.21875" style="201" customWidth="1"/>
    <col min="25" max="26" width="8.88671875" style="201"/>
    <col min="31" max="32" width="8.88671875" style="201"/>
    <col min="33" max="33" width="12.44140625" style="201" customWidth="1"/>
    <col min="34" max="16384" width="8.88671875" style="201"/>
  </cols>
  <sheetData>
    <row r="1" spans="1:30" ht="15" thickBot="1" x14ac:dyDescent="0.35">
      <c r="A1" s="2" t="s">
        <v>1</v>
      </c>
      <c r="B1" s="201" t="s">
        <v>234</v>
      </c>
      <c r="C1" s="2" t="s">
        <v>9</v>
      </c>
      <c r="D1" s="2" t="s">
        <v>2</v>
      </c>
      <c r="E1" s="2" t="s">
        <v>240</v>
      </c>
      <c r="F1" s="2" t="s">
        <v>72</v>
      </c>
      <c r="G1" s="2" t="s">
        <v>73</v>
      </c>
      <c r="H1" s="5" t="s">
        <v>84</v>
      </c>
      <c r="I1" s="5" t="s">
        <v>370</v>
      </c>
      <c r="J1" s="5" t="s">
        <v>24</v>
      </c>
      <c r="K1" s="2" t="s">
        <v>362</v>
      </c>
      <c r="L1" s="2" t="s">
        <v>363</v>
      </c>
      <c r="M1" s="2" t="s">
        <v>364</v>
      </c>
      <c r="N1" s="2" t="s">
        <v>365</v>
      </c>
      <c r="O1" s="3" t="s">
        <v>366</v>
      </c>
      <c r="P1" s="3" t="s">
        <v>361</v>
      </c>
      <c r="Q1" s="4" t="s">
        <v>248</v>
      </c>
      <c r="R1" s="2" t="s">
        <v>3</v>
      </c>
      <c r="S1" s="2" t="s">
        <v>249</v>
      </c>
      <c r="T1" s="5" t="s">
        <v>25</v>
      </c>
      <c r="U1" s="5" t="s">
        <v>367</v>
      </c>
      <c r="V1" s="5" t="s">
        <v>251</v>
      </c>
      <c r="W1" s="5" t="s">
        <v>21</v>
      </c>
      <c r="X1" s="5" t="s">
        <v>20</v>
      </c>
      <c r="Y1" s="5" t="s">
        <v>368</v>
      </c>
      <c r="Z1" s="5" t="s">
        <v>369</v>
      </c>
      <c r="AC1" s="201"/>
      <c r="AD1" s="201"/>
    </row>
    <row r="2" spans="1:30" x14ac:dyDescent="0.3">
      <c r="A2" s="201" t="s">
        <v>29</v>
      </c>
      <c r="B2" s="201">
        <v>3</v>
      </c>
      <c r="C2" s="201">
        <v>1</v>
      </c>
      <c r="D2" s="201">
        <v>3</v>
      </c>
      <c r="E2" s="201" t="s">
        <v>253</v>
      </c>
      <c r="F2" s="201">
        <v>1.6787210714285712</v>
      </c>
      <c r="G2" s="201">
        <v>-22.304966666666672</v>
      </c>
      <c r="H2" s="201">
        <v>96.9</v>
      </c>
      <c r="I2" s="201">
        <v>37.4</v>
      </c>
      <c r="J2" s="201">
        <v>25</v>
      </c>
      <c r="K2" s="201">
        <v>77.549437766576133</v>
      </c>
      <c r="L2" s="201">
        <v>16</v>
      </c>
      <c r="M2" s="201">
        <v>154.34216907199172</v>
      </c>
      <c r="N2" s="201">
        <v>35.172874679047467</v>
      </c>
      <c r="O2" s="201">
        <v>38.722649925064523</v>
      </c>
      <c r="P2" s="201">
        <v>1.8208100000000001E-2</v>
      </c>
      <c r="Q2" s="201">
        <v>151.65891062929668</v>
      </c>
      <c r="R2" s="201">
        <v>0.06</v>
      </c>
      <c r="S2" s="201">
        <v>99</v>
      </c>
      <c r="T2" s="201">
        <v>9.0900000000000034</v>
      </c>
      <c r="U2" s="201">
        <v>78.040000000000006</v>
      </c>
      <c r="V2" s="201">
        <v>1.0000000000000001E-5</v>
      </c>
      <c r="W2" s="201">
        <v>65.5</v>
      </c>
      <c r="X2" s="201">
        <v>-65.2</v>
      </c>
      <c r="Y2" s="201">
        <v>12.842814583333301</v>
      </c>
      <c r="Z2" s="201">
        <v>-47.730574999999995</v>
      </c>
      <c r="AC2" s="201"/>
      <c r="AD2" s="201"/>
    </row>
    <row r="3" spans="1:30" x14ac:dyDescent="0.3">
      <c r="A3" s="201" t="s">
        <v>32</v>
      </c>
      <c r="B3" s="201">
        <v>3</v>
      </c>
      <c r="C3" s="201">
        <v>1</v>
      </c>
      <c r="D3" s="201">
        <v>3</v>
      </c>
      <c r="E3" s="201" t="s">
        <v>253</v>
      </c>
      <c r="F3" s="201">
        <v>1.1895036666666665</v>
      </c>
      <c r="G3" s="201">
        <v>-7.1390068965517246</v>
      </c>
      <c r="H3" s="201">
        <v>205.7</v>
      </c>
      <c r="I3" s="201">
        <v>65.3</v>
      </c>
      <c r="J3" s="201">
        <v>18.399999999999999</v>
      </c>
      <c r="K3" s="201">
        <v>122.9105211406097</v>
      </c>
      <c r="L3" s="201">
        <v>29</v>
      </c>
      <c r="M3" s="201">
        <v>85.928817008238866</v>
      </c>
      <c r="N3" s="201">
        <v>52.90165582182717</v>
      </c>
      <c r="O3" s="201">
        <v>34.046266666252833</v>
      </c>
      <c r="P3" s="201">
        <v>1.53467E-2</v>
      </c>
      <c r="Q3" s="201">
        <v>237.19783616692425</v>
      </c>
      <c r="R3" s="201">
        <v>1.4</v>
      </c>
      <c r="S3" s="201">
        <v>64.7</v>
      </c>
      <c r="T3" s="201">
        <v>6.7099999999999937</v>
      </c>
      <c r="U3" s="201">
        <v>78.25</v>
      </c>
      <c r="V3" s="201">
        <v>1.0000000000000001E-5</v>
      </c>
      <c r="W3" s="201">
        <v>78.599999999999994</v>
      </c>
      <c r="X3" s="201">
        <v>-65</v>
      </c>
      <c r="Y3" s="201">
        <v>6.6266742857142802</v>
      </c>
      <c r="Z3" s="201">
        <v>-47.126259999999988</v>
      </c>
      <c r="AC3" s="201"/>
      <c r="AD3" s="201"/>
    </row>
    <row r="4" spans="1:30" x14ac:dyDescent="0.3">
      <c r="A4" s="201" t="s">
        <v>34</v>
      </c>
      <c r="B4" s="201">
        <v>3</v>
      </c>
      <c r="C4" s="201">
        <v>1</v>
      </c>
      <c r="D4" s="201">
        <v>3</v>
      </c>
      <c r="E4" s="201" t="s">
        <v>253</v>
      </c>
      <c r="F4" s="201">
        <v>0.98629673333333345</v>
      </c>
      <c r="G4" s="201">
        <v>-5.3563655172413771</v>
      </c>
      <c r="H4" s="201">
        <v>168.7</v>
      </c>
      <c r="I4" s="201">
        <v>72.599999999999994</v>
      </c>
      <c r="J4" s="201">
        <v>32.5</v>
      </c>
      <c r="K4" s="201">
        <v>138.66258572218629</v>
      </c>
      <c r="L4" s="201">
        <v>22</v>
      </c>
      <c r="M4" s="201">
        <v>217.66701727173663</v>
      </c>
      <c r="N4" s="201">
        <v>46.74207721791155</v>
      </c>
      <c r="O4" s="201">
        <v>32.5</v>
      </c>
      <c r="P4" s="201">
        <v>1.2986599999999999E-2</v>
      </c>
      <c r="Q4" s="201">
        <v>212.89508196721309</v>
      </c>
      <c r="R4" s="201">
        <v>0.36</v>
      </c>
      <c r="S4" s="201">
        <v>52.8</v>
      </c>
      <c r="T4" s="201">
        <v>4.0100000000000051</v>
      </c>
      <c r="U4" s="201">
        <v>46.524999999999999</v>
      </c>
      <c r="V4" s="201">
        <v>1.0000000000000001E-5</v>
      </c>
      <c r="W4" s="201">
        <v>71.759999999999991</v>
      </c>
      <c r="X4" s="201">
        <v>-65</v>
      </c>
      <c r="Y4" s="201">
        <v>7.1207679012345801</v>
      </c>
      <c r="Z4" s="201">
        <v>-42.754110000000004</v>
      </c>
      <c r="AC4" s="201"/>
      <c r="AD4" s="201"/>
    </row>
    <row r="5" spans="1:30" x14ac:dyDescent="0.3">
      <c r="A5" s="201" t="s">
        <v>36</v>
      </c>
      <c r="B5" s="201">
        <v>3</v>
      </c>
      <c r="C5" s="201">
        <v>1</v>
      </c>
      <c r="D5" s="201">
        <v>3</v>
      </c>
      <c r="E5" s="201" t="s">
        <v>253</v>
      </c>
      <c r="F5" s="201">
        <v>1.0856079166666668</v>
      </c>
      <c r="G5" s="201">
        <v>-7.0721347826086944</v>
      </c>
      <c r="H5" s="201">
        <v>119.4</v>
      </c>
      <c r="I5" s="201">
        <v>57.3</v>
      </c>
      <c r="J5" s="201">
        <v>36.666666666666671</v>
      </c>
      <c r="K5" s="201">
        <v>151.05740181268936</v>
      </c>
      <c r="L5" s="201">
        <v>25</v>
      </c>
      <c r="M5" s="201">
        <v>173.15067006208034</v>
      </c>
      <c r="N5" s="201">
        <v>51.064698973599626</v>
      </c>
      <c r="O5" s="201">
        <v>64.161035690089761</v>
      </c>
      <c r="P5" s="201">
        <v>1.36533E-2</v>
      </c>
      <c r="Q5" s="201">
        <v>292.36188436830838</v>
      </c>
      <c r="R5" s="201">
        <v>0.33</v>
      </c>
      <c r="S5" s="201">
        <v>46.699999999999996</v>
      </c>
      <c r="T5" s="201">
        <v>2.3900000000000006</v>
      </c>
      <c r="U5" s="201">
        <v>45.234999999999999</v>
      </c>
      <c r="V5" s="201">
        <v>2.4600000000000009</v>
      </c>
      <c r="W5" s="201">
        <v>60.7</v>
      </c>
      <c r="X5" s="201">
        <v>-60.9</v>
      </c>
      <c r="Y5" s="201">
        <v>1.9921194444444399</v>
      </c>
      <c r="Z5" s="201">
        <v>-31.941729166666661</v>
      </c>
      <c r="AC5" s="201"/>
      <c r="AD5" s="201"/>
    </row>
    <row r="6" spans="1:30" x14ac:dyDescent="0.3">
      <c r="A6" s="201" t="s">
        <v>38</v>
      </c>
      <c r="B6" s="201">
        <v>3</v>
      </c>
      <c r="C6" s="201">
        <v>1</v>
      </c>
      <c r="D6" s="201">
        <v>3</v>
      </c>
      <c r="E6" s="201" t="s">
        <v>253</v>
      </c>
      <c r="F6" s="201">
        <v>1.1950000000000001</v>
      </c>
      <c r="G6" s="201">
        <v>-7.8070000000000004</v>
      </c>
      <c r="H6" s="201">
        <v>114.8</v>
      </c>
      <c r="I6" s="201">
        <v>53.7</v>
      </c>
      <c r="J6" s="201">
        <v>32.5</v>
      </c>
      <c r="K6" s="201">
        <v>135.2447930754665</v>
      </c>
      <c r="L6" s="201">
        <v>26</v>
      </c>
      <c r="M6" s="201">
        <v>129.96244770699451</v>
      </c>
      <c r="N6" s="201">
        <v>37.94638696326507</v>
      </c>
      <c r="O6" s="201">
        <v>55.255815213056266</v>
      </c>
      <c r="P6" s="201">
        <v>1.6842599999999999E-2</v>
      </c>
      <c r="Q6" s="201">
        <v>206.91154791154801</v>
      </c>
      <c r="R6" s="201">
        <v>0.25</v>
      </c>
      <c r="S6" s="201">
        <v>81.400000000000006</v>
      </c>
      <c r="T6" s="201">
        <v>5.5500000000000043</v>
      </c>
      <c r="U6" s="201">
        <v>62.5</v>
      </c>
      <c r="V6" s="201">
        <v>0.32999999999999829</v>
      </c>
      <c r="W6" s="201">
        <v>62.23</v>
      </c>
      <c r="X6" s="201">
        <v>-58</v>
      </c>
      <c r="Y6" s="201">
        <v>17.293295061728401</v>
      </c>
      <c r="Z6" s="201">
        <v>-34.633795999999997</v>
      </c>
      <c r="AC6" s="201"/>
      <c r="AD6" s="201"/>
    </row>
    <row r="7" spans="1:30" x14ac:dyDescent="0.3">
      <c r="A7" s="201" t="s">
        <v>42</v>
      </c>
      <c r="B7" s="201">
        <v>3</v>
      </c>
      <c r="C7" s="201">
        <v>1</v>
      </c>
      <c r="D7" s="201">
        <v>2</v>
      </c>
      <c r="E7" s="201" t="s">
        <v>253</v>
      </c>
      <c r="F7" s="201">
        <v>1.1420199999999998</v>
      </c>
      <c r="G7" s="201">
        <v>-20.2611375</v>
      </c>
      <c r="H7" s="201">
        <v>193.9</v>
      </c>
      <c r="I7" s="201">
        <v>73.400000000000006</v>
      </c>
      <c r="J7" s="201">
        <v>36.000000000000007</v>
      </c>
      <c r="K7" s="201">
        <v>110</v>
      </c>
      <c r="L7" s="201">
        <v>29</v>
      </c>
      <c r="M7" s="201">
        <v>142.06416836010368</v>
      </c>
      <c r="N7" s="201">
        <v>54.710581026370441</v>
      </c>
      <c r="O7" s="201">
        <v>66.987742828600076</v>
      </c>
      <c r="P7" s="201">
        <v>2.4686300000000001E-2</v>
      </c>
      <c r="Q7" s="201">
        <v>202.34672131147542</v>
      </c>
      <c r="R7" s="201">
        <v>0.18</v>
      </c>
      <c r="S7" s="201">
        <v>122</v>
      </c>
      <c r="T7" s="201">
        <v>9.1700000000000017</v>
      </c>
      <c r="U7" s="201">
        <v>84.06</v>
      </c>
      <c r="V7" s="201">
        <v>0.29099999999999682</v>
      </c>
      <c r="W7" s="201">
        <v>80.8</v>
      </c>
      <c r="X7" s="201">
        <v>-63.9</v>
      </c>
      <c r="Y7" s="201">
        <v>11.114427160493801</v>
      </c>
      <c r="Z7" s="201">
        <v>-41.454808695652176</v>
      </c>
      <c r="AC7" s="201"/>
      <c r="AD7" s="201"/>
    </row>
    <row r="8" spans="1:30" x14ac:dyDescent="0.3">
      <c r="A8" s="201" t="s">
        <v>44</v>
      </c>
      <c r="B8" s="201">
        <v>3</v>
      </c>
      <c r="C8" s="201">
        <v>1</v>
      </c>
      <c r="D8" s="201">
        <v>2</v>
      </c>
      <c r="E8" s="201" t="s">
        <v>253</v>
      </c>
      <c r="F8" s="201">
        <v>1.0427513333333336</v>
      </c>
      <c r="G8" s="201">
        <v>-10.258113793103448</v>
      </c>
      <c r="H8" s="201">
        <v>192.2</v>
      </c>
      <c r="I8" s="201">
        <v>75.8</v>
      </c>
      <c r="J8" s="201">
        <v>40</v>
      </c>
      <c r="K8" s="201">
        <v>141.63</v>
      </c>
      <c r="L8" s="201">
        <v>26</v>
      </c>
      <c r="M8" s="201">
        <v>351.90253693574465</v>
      </c>
      <c r="N8" s="201">
        <v>49.925112331502817</v>
      </c>
      <c r="O8" s="201">
        <v>75.221594931397291</v>
      </c>
      <c r="P8" s="201">
        <v>1.1476800000000001E-2</v>
      </c>
      <c r="Q8" s="201">
        <v>183.62880000000001</v>
      </c>
      <c r="R8" s="201">
        <v>0.27</v>
      </c>
      <c r="S8" s="201">
        <v>62.5</v>
      </c>
      <c r="T8" s="201">
        <v>5.6000000000000014</v>
      </c>
      <c r="U8" s="201">
        <v>47.87</v>
      </c>
      <c r="V8" s="201">
        <v>1.6700000000000017</v>
      </c>
      <c r="W8" s="201">
        <v>77.400000000000006</v>
      </c>
      <c r="X8" s="201">
        <v>-64.3</v>
      </c>
      <c r="Y8" s="201">
        <v>5.0862635416666704</v>
      </c>
      <c r="Z8" s="201">
        <v>-41.671753333333328</v>
      </c>
      <c r="AC8" s="201"/>
      <c r="AD8" s="201"/>
    </row>
    <row r="9" spans="1:30" x14ac:dyDescent="0.3">
      <c r="A9" s="201" t="s">
        <v>46</v>
      </c>
      <c r="B9" s="201">
        <v>3</v>
      </c>
      <c r="C9" s="201">
        <v>1</v>
      </c>
      <c r="D9" s="201">
        <v>3</v>
      </c>
      <c r="E9" s="201" t="s">
        <v>253</v>
      </c>
      <c r="F9" s="201">
        <v>1.0872793333333333</v>
      </c>
      <c r="G9" s="201">
        <v>-11.768600000000003</v>
      </c>
      <c r="H9" s="201">
        <v>168.5</v>
      </c>
      <c r="I9" s="201">
        <v>75.400000000000006</v>
      </c>
      <c r="J9" s="201">
        <v>25.714285714285712</v>
      </c>
      <c r="K9" s="201">
        <v>126.1352169525732</v>
      </c>
      <c r="L9" s="201">
        <v>23</v>
      </c>
      <c r="M9" s="201">
        <v>64.520019543078703</v>
      </c>
      <c r="N9" s="201">
        <v>42.545949625595611</v>
      </c>
      <c r="O9" s="201">
        <v>43.669869986261133</v>
      </c>
      <c r="P9" s="201">
        <v>1.44984E-2</v>
      </c>
      <c r="Q9" s="201">
        <v>253.46853146853147</v>
      </c>
      <c r="R9" s="201">
        <v>0.35</v>
      </c>
      <c r="S9" s="201">
        <v>57.2</v>
      </c>
      <c r="T9" s="201">
        <v>5.2659999999999911</v>
      </c>
      <c r="U9" s="201">
        <v>102.5</v>
      </c>
      <c r="V9" s="201">
        <v>0.71000000000000085</v>
      </c>
      <c r="W9" s="201">
        <v>81.2</v>
      </c>
      <c r="X9" s="201">
        <v>-65</v>
      </c>
      <c r="Y9" s="201">
        <v>4.5776361111110999</v>
      </c>
      <c r="Z9" s="201">
        <v>-36.278273333333338</v>
      </c>
      <c r="AC9" s="201"/>
      <c r="AD9" s="201"/>
    </row>
    <row r="10" spans="1:30" x14ac:dyDescent="0.3">
      <c r="A10" s="201" t="s">
        <v>48</v>
      </c>
      <c r="B10" s="201">
        <v>3</v>
      </c>
      <c r="C10" s="201">
        <v>1</v>
      </c>
      <c r="D10" s="201">
        <v>3</v>
      </c>
      <c r="E10" s="201" t="s">
        <v>253</v>
      </c>
      <c r="F10" s="201">
        <v>1.0085</v>
      </c>
      <c r="G10" s="201">
        <v>13.964</v>
      </c>
      <c r="H10" s="201">
        <v>172.4</v>
      </c>
      <c r="I10" s="201">
        <v>81.2</v>
      </c>
      <c r="J10" s="201">
        <v>23.157894736842106</v>
      </c>
      <c r="K10" s="201">
        <v>120.90436464756397</v>
      </c>
      <c r="L10" s="201">
        <v>25</v>
      </c>
      <c r="M10" s="201">
        <v>65.088670630613294</v>
      </c>
      <c r="N10" s="201">
        <v>49.171460884102892</v>
      </c>
      <c r="O10" s="201">
        <v>52.41660982921735</v>
      </c>
      <c r="P10" s="201">
        <v>1.42325E-2</v>
      </c>
      <c r="Q10" s="201">
        <v>286.36799999999999</v>
      </c>
      <c r="R10" s="201">
        <v>0.48</v>
      </c>
      <c r="S10" s="201">
        <v>49.699999999999996</v>
      </c>
      <c r="T10" s="201">
        <v>5.3800000000000026</v>
      </c>
      <c r="U10" s="201">
        <v>78.185000000000002</v>
      </c>
      <c r="V10" s="201">
        <v>0.90999999999999659</v>
      </c>
      <c r="W10" s="201">
        <v>74.58</v>
      </c>
      <c r="X10" s="201">
        <v>-63.9</v>
      </c>
      <c r="Y10" s="201">
        <v>2.7020781249999999</v>
      </c>
      <c r="Z10" s="201">
        <v>-29.991653333333335</v>
      </c>
      <c r="AC10" s="201"/>
      <c r="AD10" s="201"/>
    </row>
    <row r="11" spans="1:30" x14ac:dyDescent="0.3">
      <c r="A11" s="201" t="s">
        <v>50</v>
      </c>
      <c r="B11" s="201">
        <v>3</v>
      </c>
      <c r="C11" s="201">
        <v>1</v>
      </c>
      <c r="D11" s="201">
        <v>3</v>
      </c>
      <c r="E11" s="201" t="s">
        <v>253</v>
      </c>
      <c r="F11" s="201">
        <v>1.4664000000000001</v>
      </c>
      <c r="G11" s="201">
        <v>-10.903752941176469</v>
      </c>
      <c r="H11" s="201">
        <v>135.6</v>
      </c>
      <c r="I11" s="201">
        <v>47.8</v>
      </c>
      <c r="J11" s="201">
        <v>73.333333333333343</v>
      </c>
      <c r="K11" s="201">
        <v>103.45541071798058</v>
      </c>
      <c r="L11" s="201">
        <v>20</v>
      </c>
      <c r="M11" s="201">
        <v>329.65412360409596</v>
      </c>
      <c r="N11" s="201">
        <v>35.273368606701915</v>
      </c>
      <c r="O11" s="201">
        <v>144.65740273586241</v>
      </c>
      <c r="P11" s="201">
        <v>2.8678700000000001E-2</v>
      </c>
      <c r="Q11" s="201">
        <v>151.65891062929668</v>
      </c>
      <c r="R11" s="201">
        <v>0.09</v>
      </c>
      <c r="S11" s="201">
        <v>189.1</v>
      </c>
      <c r="T11" s="201">
        <v>0.56000000000000227</v>
      </c>
      <c r="U11" s="201">
        <v>18.055</v>
      </c>
      <c r="V11" s="201">
        <v>1.6559999999999988</v>
      </c>
      <c r="W11" s="201">
        <v>77</v>
      </c>
      <c r="X11" s="201">
        <v>-65</v>
      </c>
      <c r="Y11" s="201">
        <v>14.1285086419753</v>
      </c>
      <c r="Z11" s="201">
        <v>-37.178731818181809</v>
      </c>
      <c r="AC11" s="201"/>
      <c r="AD11" s="201"/>
    </row>
    <row r="12" spans="1:30" x14ac:dyDescent="0.3">
      <c r="A12" s="201" t="s">
        <v>55</v>
      </c>
      <c r="B12" s="201">
        <v>3</v>
      </c>
      <c r="C12" s="201">
        <v>1</v>
      </c>
      <c r="D12" s="201">
        <v>3</v>
      </c>
      <c r="E12" s="201" t="s">
        <v>253</v>
      </c>
      <c r="F12" s="201">
        <v>1.0732326086956518</v>
      </c>
      <c r="G12" s="201">
        <v>-9.1303045454545479</v>
      </c>
      <c r="H12" s="201">
        <v>154.5</v>
      </c>
      <c r="I12" s="201">
        <v>69.3</v>
      </c>
      <c r="J12" s="201">
        <v>16.19047619047619</v>
      </c>
      <c r="K12" s="201">
        <v>104.3841336116912</v>
      </c>
      <c r="L12" s="201">
        <v>21</v>
      </c>
      <c r="M12" s="201">
        <v>86.190067931890027</v>
      </c>
      <c r="N12" s="201">
        <v>39.536630688332728</v>
      </c>
      <c r="O12" s="201">
        <v>24.539168222284086</v>
      </c>
      <c r="P12" s="201">
        <v>1.0788499999999999E-2</v>
      </c>
      <c r="Q12" s="201">
        <v>204.71537001897531</v>
      </c>
      <c r="R12" s="201">
        <v>0.55000000000000004</v>
      </c>
      <c r="S12" s="201">
        <v>52.7</v>
      </c>
      <c r="T12" s="201">
        <v>5.6000000000000014</v>
      </c>
      <c r="U12" s="201">
        <v>88.084999999999994</v>
      </c>
      <c r="V12" s="201">
        <v>1.0000000000000001E-5</v>
      </c>
      <c r="W12" s="201">
        <v>63.131582608695652</v>
      </c>
      <c r="X12" s="201">
        <v>-63.1</v>
      </c>
      <c r="Y12" s="201">
        <v>2.5431312500000001</v>
      </c>
      <c r="Z12" s="201">
        <v>-24.623704347826088</v>
      </c>
      <c r="AC12" s="201"/>
      <c r="AD12" s="201"/>
    </row>
    <row r="13" spans="1:30" x14ac:dyDescent="0.3">
      <c r="A13" s="201" t="s">
        <v>58</v>
      </c>
      <c r="B13" s="201">
        <v>3</v>
      </c>
      <c r="C13" s="201">
        <v>1</v>
      </c>
      <c r="D13" s="201">
        <v>3</v>
      </c>
      <c r="E13" s="201" t="s">
        <v>253</v>
      </c>
      <c r="F13" s="201">
        <v>1.0503516666666666</v>
      </c>
      <c r="G13" s="201">
        <v>-4.032524137931035</v>
      </c>
      <c r="H13" s="201">
        <v>163.5</v>
      </c>
      <c r="I13" s="201">
        <v>74.8</v>
      </c>
      <c r="J13" s="201">
        <v>18.75</v>
      </c>
      <c r="K13" s="201">
        <v>94.759783947692625</v>
      </c>
      <c r="L13" s="201">
        <v>21</v>
      </c>
      <c r="M13" s="201">
        <v>106.4965862578288</v>
      </c>
      <c r="N13" s="201">
        <v>41.464527097068526</v>
      </c>
      <c r="O13" s="201">
        <v>33.046600065584236</v>
      </c>
      <c r="P13" s="201">
        <v>9.2183600000000001E-3</v>
      </c>
      <c r="Q13" s="201">
        <v>223.20484261501213</v>
      </c>
      <c r="R13" s="201">
        <v>0.46</v>
      </c>
      <c r="S13" s="201">
        <v>41.3</v>
      </c>
      <c r="T13" s="201">
        <v>6.1800000000000068</v>
      </c>
      <c r="U13" s="201">
        <v>82.45</v>
      </c>
      <c r="V13" s="201">
        <v>1.0000000000000001E-5</v>
      </c>
      <c r="W13" s="201">
        <v>63.138836666666656</v>
      </c>
      <c r="X13" s="201">
        <v>-63.19</v>
      </c>
      <c r="Y13" s="201">
        <v>0.96371228070176296</v>
      </c>
      <c r="Z13" s="201">
        <v>-34.293623333333322</v>
      </c>
      <c r="AC13" s="201"/>
      <c r="AD13" s="201"/>
    </row>
    <row r="14" spans="1:30" x14ac:dyDescent="0.3">
      <c r="A14" s="201" t="s">
        <v>61</v>
      </c>
      <c r="B14" s="201">
        <v>3</v>
      </c>
      <c r="C14" s="201">
        <v>1</v>
      </c>
      <c r="D14" s="201">
        <v>3</v>
      </c>
      <c r="E14" s="201" t="s">
        <v>253</v>
      </c>
      <c r="F14" s="201">
        <v>0.95915493333333335</v>
      </c>
      <c r="G14" s="201">
        <v>-9.5256931034482779</v>
      </c>
      <c r="H14" s="201">
        <v>148.16</v>
      </c>
      <c r="I14" s="201">
        <v>78.959999999999994</v>
      </c>
      <c r="J14" s="201">
        <v>15</v>
      </c>
      <c r="K14" s="201">
        <v>131.09596224436262</v>
      </c>
      <c r="L14" s="201">
        <v>26</v>
      </c>
      <c r="M14" s="201">
        <v>128.63979023999968</v>
      </c>
      <c r="N14" s="201">
        <v>48.787627457676834</v>
      </c>
      <c r="O14" s="201">
        <v>28.918192264944416</v>
      </c>
      <c r="P14" s="201">
        <v>6.0709800000000001E-3</v>
      </c>
      <c r="Q14" s="201">
        <v>152.658910629297</v>
      </c>
      <c r="R14" s="201">
        <v>1.25</v>
      </c>
      <c r="S14" s="201">
        <v>23.9</v>
      </c>
      <c r="T14" s="201">
        <v>4.32</v>
      </c>
      <c r="U14" s="201">
        <v>57.7</v>
      </c>
      <c r="V14" s="201">
        <v>1.0000000000000001E-5</v>
      </c>
      <c r="W14" s="201">
        <v>59.560143333333357</v>
      </c>
      <c r="X14" s="201">
        <v>-68.900000000000006</v>
      </c>
      <c r="Y14" s="201">
        <v>0.50862708333333884</v>
      </c>
      <c r="Z14" s="201">
        <v>-16.963699999999999</v>
      </c>
      <c r="AC14" s="201"/>
      <c r="AD14" s="201"/>
    </row>
    <row r="15" spans="1:30" x14ac:dyDescent="0.3">
      <c r="A15" s="201" t="s">
        <v>64</v>
      </c>
      <c r="B15" s="201">
        <v>3</v>
      </c>
      <c r="C15" s="201">
        <v>1</v>
      </c>
      <c r="D15" s="201">
        <v>3</v>
      </c>
      <c r="E15" s="201" t="s">
        <v>253</v>
      </c>
      <c r="F15" s="201">
        <v>1.1003613333333333</v>
      </c>
      <c r="G15" s="201">
        <v>-9.2478724137931021</v>
      </c>
      <c r="H15" s="201">
        <v>149.30000000000001</v>
      </c>
      <c r="I15" s="201">
        <v>72.8</v>
      </c>
      <c r="J15" s="201">
        <v>16.923076923076923</v>
      </c>
      <c r="K15" s="201">
        <v>128.98232942086909</v>
      </c>
      <c r="L15" s="201">
        <v>26</v>
      </c>
      <c r="M15" s="201">
        <v>91.481160293845761</v>
      </c>
      <c r="N15" s="201">
        <v>47.709923664122051</v>
      </c>
      <c r="O15" s="201">
        <v>28.614095472321939</v>
      </c>
      <c r="P15" s="201">
        <v>1.6213399999999999E-2</v>
      </c>
      <c r="Q15" s="201">
        <v>229.6515580736544</v>
      </c>
      <c r="R15" s="201">
        <v>0.57999999999999996</v>
      </c>
      <c r="S15" s="201">
        <v>70.599999999999994</v>
      </c>
      <c r="T15" s="201">
        <v>4.9200000000000017</v>
      </c>
      <c r="U15" s="201">
        <v>55</v>
      </c>
      <c r="V15" s="201">
        <v>1.0000000000000001E-5</v>
      </c>
      <c r="W15" s="201">
        <v>63.806149999999995</v>
      </c>
      <c r="X15" s="201">
        <v>-66.5</v>
      </c>
      <c r="Y15" s="201">
        <v>2.6702885416666602</v>
      </c>
      <c r="Z15" s="201">
        <v>-19.964603333333333</v>
      </c>
      <c r="AC15" s="201"/>
      <c r="AD15" s="201"/>
    </row>
    <row r="16" spans="1:30" x14ac:dyDescent="0.3">
      <c r="A16" s="201" t="s">
        <v>67</v>
      </c>
      <c r="B16" s="201">
        <v>3</v>
      </c>
      <c r="C16" s="201">
        <v>1</v>
      </c>
      <c r="D16" s="201">
        <v>3</v>
      </c>
      <c r="E16" s="201" t="s">
        <v>253</v>
      </c>
      <c r="F16" s="201">
        <v>0.90819736666666651</v>
      </c>
      <c r="G16" s="201">
        <v>-9.6688068965517218</v>
      </c>
      <c r="H16" s="201">
        <v>165.2</v>
      </c>
      <c r="I16" s="201">
        <v>84</v>
      </c>
      <c r="J16" s="201">
        <v>16.363636363636363</v>
      </c>
      <c r="K16" s="201">
        <v>114.42956860052632</v>
      </c>
      <c r="L16" s="201">
        <v>25</v>
      </c>
      <c r="M16" s="201">
        <v>91.621163991744851</v>
      </c>
      <c r="N16" s="201">
        <v>47.705371624844979</v>
      </c>
      <c r="O16" s="201">
        <v>27.988092482965587</v>
      </c>
      <c r="P16" s="201">
        <v>1.43082E-2</v>
      </c>
      <c r="Q16" s="201">
        <v>444.07821229050279</v>
      </c>
      <c r="R16" s="201">
        <v>0.78</v>
      </c>
      <c r="S16" s="201">
        <v>32.22</v>
      </c>
      <c r="T16" s="201">
        <v>4.0600000000000023</v>
      </c>
      <c r="U16" s="201">
        <v>53.715000000000003</v>
      </c>
      <c r="V16" s="201">
        <v>1.0000000000000001E-5</v>
      </c>
      <c r="W16" s="201">
        <v>60.386150000000015</v>
      </c>
      <c r="X16" s="201">
        <v>-66.2</v>
      </c>
      <c r="Y16" s="201">
        <v>2.03450625000001</v>
      </c>
      <c r="Z16" s="201">
        <v>-34.230540000000005</v>
      </c>
      <c r="AC16" s="201"/>
      <c r="AD16" s="201"/>
    </row>
    <row r="17" spans="1:30" x14ac:dyDescent="0.3">
      <c r="A17" s="201" t="s">
        <v>71</v>
      </c>
      <c r="B17" s="201">
        <v>3</v>
      </c>
      <c r="C17" s="201">
        <v>1</v>
      </c>
      <c r="D17" s="201">
        <v>2</v>
      </c>
      <c r="E17" s="201" t="s">
        <v>253</v>
      </c>
      <c r="F17" s="201">
        <v>1.4320226666666671</v>
      </c>
      <c r="G17" s="201">
        <v>-8.5112551724137901</v>
      </c>
      <c r="H17" s="201">
        <v>126.8</v>
      </c>
      <c r="I17" s="201">
        <v>52.1</v>
      </c>
      <c r="J17" s="201">
        <v>44</v>
      </c>
      <c r="K17" s="201">
        <v>62.586055826761765</v>
      </c>
      <c r="L17" s="201">
        <v>15</v>
      </c>
      <c r="M17" s="201">
        <v>179.3050900469558</v>
      </c>
      <c r="N17" s="201">
        <v>27.057741219762956</v>
      </c>
      <c r="O17" s="201">
        <v>68.605380947016997</v>
      </c>
      <c r="P17" s="201">
        <v>3.0579800000000001E-2</v>
      </c>
      <c r="Q17" s="201">
        <v>188.76419753086421</v>
      </c>
      <c r="R17" s="201">
        <v>0.13</v>
      </c>
      <c r="S17" s="201">
        <v>162</v>
      </c>
      <c r="T17" s="201">
        <v>1.9399999999999977</v>
      </c>
      <c r="U17" s="201">
        <v>69.5</v>
      </c>
      <c r="V17" s="201">
        <v>1.0000000000000001E-5</v>
      </c>
      <c r="W17" s="201">
        <v>73.154700000000005</v>
      </c>
      <c r="X17" s="201">
        <v>-79</v>
      </c>
      <c r="Y17" s="201">
        <v>27.514260317460302</v>
      </c>
      <c r="Z17" s="201">
        <v>-52.331533333333333</v>
      </c>
      <c r="AC17" s="201"/>
      <c r="AD17" s="201"/>
    </row>
    <row r="18" spans="1:30" ht="15" thickBot="1" x14ac:dyDescent="0.35">
      <c r="A18" s="201" t="s">
        <v>74</v>
      </c>
      <c r="B18" s="201">
        <v>3</v>
      </c>
      <c r="C18" s="201">
        <v>1</v>
      </c>
      <c r="D18" s="201">
        <v>3</v>
      </c>
      <c r="E18" s="201" t="s">
        <v>253</v>
      </c>
      <c r="F18" s="201">
        <v>1.6449433333333336</v>
      </c>
      <c r="G18" s="201">
        <v>-7.7430448275861998</v>
      </c>
      <c r="H18" s="201">
        <v>94.8</v>
      </c>
      <c r="I18" s="201">
        <v>48.9</v>
      </c>
      <c r="J18" s="201">
        <v>25.714285714285715</v>
      </c>
      <c r="K18" s="201">
        <v>76.103500761034923</v>
      </c>
      <c r="L18" s="201">
        <v>17</v>
      </c>
      <c r="M18" s="201">
        <v>139.57473569397817</v>
      </c>
      <c r="N18" s="201">
        <v>30.861339999382754</v>
      </c>
      <c r="O18" s="201">
        <v>50.102981162931712</v>
      </c>
      <c r="P18" s="201">
        <v>2.3177E-2</v>
      </c>
      <c r="Q18" s="201">
        <v>175.58333333333334</v>
      </c>
      <c r="R18" s="201">
        <v>0.13</v>
      </c>
      <c r="S18" s="201">
        <v>132</v>
      </c>
      <c r="T18" s="201">
        <v>8.8500000000000085</v>
      </c>
      <c r="U18" s="201">
        <v>92.78</v>
      </c>
      <c r="V18" s="201">
        <v>0.74000000000000199</v>
      </c>
      <c r="W18" s="201">
        <v>64.003489999999999</v>
      </c>
      <c r="X18" s="201">
        <v>-60</v>
      </c>
      <c r="Y18" s="201">
        <v>11.6086470588235</v>
      </c>
      <c r="Z18" s="201">
        <v>-36.942546666666665</v>
      </c>
      <c r="AC18" s="201"/>
      <c r="AD18" s="201"/>
    </row>
    <row r="19" spans="1:30" s="200" customFormat="1" ht="15" thickBot="1" x14ac:dyDescent="0.35">
      <c r="A19" s="199" t="s">
        <v>30</v>
      </c>
      <c r="B19" s="200">
        <v>3</v>
      </c>
      <c r="C19" s="200">
        <v>2</v>
      </c>
      <c r="D19" s="200">
        <v>3</v>
      </c>
      <c r="E19" s="200" t="s">
        <v>254</v>
      </c>
      <c r="F19" s="200">
        <v>1.4358890909090911</v>
      </c>
      <c r="G19" s="200">
        <v>-7.8094600000000014</v>
      </c>
      <c r="H19" s="200">
        <v>93</v>
      </c>
      <c r="I19" s="200">
        <v>48.1</v>
      </c>
      <c r="J19" s="200">
        <v>34.285714285714285</v>
      </c>
      <c r="K19" s="200">
        <v>102.63779123473267</v>
      </c>
      <c r="L19" s="200">
        <v>25</v>
      </c>
      <c r="M19" s="200">
        <v>172.83982627878282</v>
      </c>
      <c r="N19" s="200">
        <v>45.777065690089444</v>
      </c>
      <c r="O19" s="200">
        <v>65.818856974088334</v>
      </c>
      <c r="P19" s="200">
        <v>1.7831300000000001E-2</v>
      </c>
      <c r="Q19" s="200">
        <v>209.78</v>
      </c>
      <c r="R19" s="200">
        <v>0.15</v>
      </c>
      <c r="S19" s="200">
        <v>85</v>
      </c>
      <c r="T19" s="200">
        <v>4.8500000000000085</v>
      </c>
      <c r="U19" s="200">
        <v>64.245000000000005</v>
      </c>
      <c r="V19" s="200">
        <v>1.0000000000000001E-5</v>
      </c>
      <c r="W19" s="200">
        <v>53.383559090909102</v>
      </c>
      <c r="X19" s="200">
        <v>-66.3</v>
      </c>
      <c r="Z19" s="200">
        <v>-33.13098636363636</v>
      </c>
    </row>
    <row r="20" spans="1:30" x14ac:dyDescent="0.3">
      <c r="A20" s="201" t="s">
        <v>33</v>
      </c>
      <c r="B20" s="201">
        <v>3</v>
      </c>
      <c r="C20" s="201">
        <v>2</v>
      </c>
      <c r="D20" s="201">
        <v>3</v>
      </c>
      <c r="E20" s="201" t="s">
        <v>254</v>
      </c>
      <c r="F20" s="201">
        <v>1.0472443333333332</v>
      </c>
      <c r="G20" s="201">
        <v>-6.9874517241379301</v>
      </c>
      <c r="H20" s="201">
        <v>143.30000000000001</v>
      </c>
      <c r="I20" s="201">
        <v>74.5</v>
      </c>
      <c r="J20" s="201">
        <v>15.454545454545455</v>
      </c>
      <c r="K20" s="201">
        <v>112.04481792717073</v>
      </c>
      <c r="L20" s="201">
        <v>24</v>
      </c>
      <c r="M20" s="201">
        <v>92.214796550053876</v>
      </c>
      <c r="N20" s="201">
        <v>44.939780693870311</v>
      </c>
      <c r="O20" s="201">
        <v>25.765695733953411</v>
      </c>
      <c r="P20" s="201">
        <v>1.03569E-2</v>
      </c>
      <c r="Q20" s="201">
        <v>217.58193277310923</v>
      </c>
      <c r="R20" s="201">
        <v>0.43</v>
      </c>
      <c r="S20" s="201">
        <v>47.6</v>
      </c>
      <c r="T20" s="201">
        <v>4.8900000000000006</v>
      </c>
      <c r="U20" s="201">
        <v>54.36</v>
      </c>
      <c r="V20" s="201">
        <v>1.0000000000000001E-5</v>
      </c>
      <c r="W20" s="201">
        <v>64.790856666666656</v>
      </c>
      <c r="X20" s="201">
        <v>-66.099999999999994</v>
      </c>
      <c r="Y20" s="201">
        <v>0.98217471264367096</v>
      </c>
      <c r="Z20" s="201">
        <v>-42.195643330000003</v>
      </c>
      <c r="AC20" s="201"/>
      <c r="AD20" s="201"/>
    </row>
    <row r="21" spans="1:30" x14ac:dyDescent="0.3">
      <c r="A21" s="201" t="s">
        <v>35</v>
      </c>
      <c r="B21" s="201">
        <v>3</v>
      </c>
      <c r="C21" s="201">
        <v>2</v>
      </c>
      <c r="D21" s="201">
        <v>3</v>
      </c>
      <c r="E21" s="201" t="s">
        <v>254</v>
      </c>
      <c r="F21" s="201">
        <v>1.2507579999999996</v>
      </c>
      <c r="G21" s="201">
        <v>-3.1778999999999984</v>
      </c>
      <c r="H21" s="201">
        <v>98.6</v>
      </c>
      <c r="I21" s="201">
        <v>55</v>
      </c>
      <c r="J21" s="201">
        <v>28.333333333333332</v>
      </c>
      <c r="K21" s="201">
        <v>110.90163025396478</v>
      </c>
      <c r="L21" s="201">
        <v>21</v>
      </c>
      <c r="M21" s="201">
        <v>166.57421218663774</v>
      </c>
      <c r="N21" s="201">
        <v>41.701417848206809</v>
      </c>
      <c r="O21" s="201">
        <v>62.816280028495441</v>
      </c>
      <c r="P21" s="201">
        <v>6.1029400000000003E-3</v>
      </c>
      <c r="Q21" s="201">
        <v>117.81737451737452</v>
      </c>
      <c r="R21" s="201">
        <v>0.9</v>
      </c>
      <c r="S21" s="201">
        <v>51.8</v>
      </c>
      <c r="T21" s="201">
        <v>2.0889999999999986</v>
      </c>
      <c r="U21" s="201">
        <v>62.637365000000003</v>
      </c>
      <c r="V21" s="201">
        <v>1.0000000000000001E-5</v>
      </c>
      <c r="W21" s="201">
        <v>50.626626666666667</v>
      </c>
      <c r="X21" s="201">
        <v>-72</v>
      </c>
      <c r="Z21" s="201">
        <v>-21.903483333333334</v>
      </c>
      <c r="AC21" s="201"/>
      <c r="AD21" s="201"/>
    </row>
    <row r="22" spans="1:30" x14ac:dyDescent="0.3">
      <c r="A22" s="201" t="s">
        <v>37</v>
      </c>
      <c r="B22" s="201">
        <v>3</v>
      </c>
      <c r="C22" s="201">
        <v>2</v>
      </c>
      <c r="D22" s="201">
        <v>3</v>
      </c>
      <c r="E22" s="201" t="s">
        <v>254</v>
      </c>
      <c r="F22" s="201">
        <v>1.1589092000000001</v>
      </c>
      <c r="G22" s="201">
        <v>-11.591570833333334</v>
      </c>
      <c r="H22" s="201">
        <v>175.8</v>
      </c>
      <c r="I22" s="201">
        <v>75.5</v>
      </c>
      <c r="J22" s="201">
        <v>13.029851672562543</v>
      </c>
      <c r="K22" s="201">
        <v>110.21712774165096</v>
      </c>
      <c r="L22" s="201">
        <v>23</v>
      </c>
      <c r="M22" s="201">
        <v>190.79118268664479</v>
      </c>
      <c r="N22" s="201">
        <v>44.089766765133731</v>
      </c>
      <c r="O22" s="201">
        <v>47.413919200919246</v>
      </c>
      <c r="P22" s="201">
        <v>2.5238300000000002E-2</v>
      </c>
      <c r="Q22" s="201">
        <v>156.85705407085146</v>
      </c>
      <c r="R22" s="201">
        <v>0.12</v>
      </c>
      <c r="S22" s="201">
        <v>160.9</v>
      </c>
      <c r="T22" s="201">
        <v>9.9399999999999977</v>
      </c>
      <c r="U22" s="201">
        <v>113</v>
      </c>
      <c r="V22" s="201">
        <v>1.0000000000000001E-5</v>
      </c>
      <c r="W22" s="201">
        <v>76.433104</v>
      </c>
      <c r="X22" s="201">
        <v>-68</v>
      </c>
      <c r="Y22" s="201">
        <v>27.4658208333334</v>
      </c>
      <c r="Z22" s="201">
        <v>-50.200203999999992</v>
      </c>
      <c r="AC22" s="201"/>
      <c r="AD22" s="201"/>
    </row>
    <row r="23" spans="1:30" x14ac:dyDescent="0.3">
      <c r="A23" s="201" t="s">
        <v>39</v>
      </c>
      <c r="B23" s="201">
        <v>3</v>
      </c>
      <c r="C23" s="201">
        <v>2</v>
      </c>
      <c r="D23" s="201">
        <v>3</v>
      </c>
      <c r="E23" s="201" t="s">
        <v>254</v>
      </c>
      <c r="F23" s="201">
        <v>0.78696290000000013</v>
      </c>
      <c r="G23" s="201">
        <v>-16.174316666666673</v>
      </c>
      <c r="H23" s="201">
        <v>147.19999999999999</v>
      </c>
      <c r="I23" s="201">
        <v>91.8</v>
      </c>
      <c r="J23" s="201">
        <v>36.666666666666664</v>
      </c>
      <c r="K23" s="201">
        <v>42.74417610600554</v>
      </c>
      <c r="L23" s="201">
        <v>16</v>
      </c>
      <c r="M23" s="201">
        <v>91.551124469211729</v>
      </c>
      <c r="N23" s="201">
        <v>32.621105855488473</v>
      </c>
      <c r="O23" s="201">
        <v>67.844474162050943</v>
      </c>
      <c r="P23" s="201">
        <v>2.2071400000000001E-2</v>
      </c>
      <c r="Q23" s="201">
        <v>246.33258928571433</v>
      </c>
      <c r="R23" s="201">
        <v>0.2</v>
      </c>
      <c r="S23" s="201">
        <v>89.6</v>
      </c>
      <c r="T23" s="201">
        <v>6.5300000000000011</v>
      </c>
      <c r="U23" s="201">
        <v>76.02</v>
      </c>
      <c r="V23" s="201">
        <v>0.78600000000000136</v>
      </c>
      <c r="W23" s="201">
        <v>58.83789666666668</v>
      </c>
      <c r="X23" s="201">
        <v>-73</v>
      </c>
      <c r="Y23" s="201">
        <v>20.490373809523799</v>
      </c>
      <c r="Z23" s="201">
        <v>-48.687733333333327</v>
      </c>
      <c r="AC23" s="201"/>
      <c r="AD23" s="201"/>
    </row>
    <row r="24" spans="1:30" x14ac:dyDescent="0.3">
      <c r="A24" s="201" t="s">
        <v>41</v>
      </c>
      <c r="B24" s="201">
        <v>3</v>
      </c>
      <c r="C24" s="201">
        <v>2</v>
      </c>
      <c r="D24" s="201">
        <v>2</v>
      </c>
      <c r="E24" s="201" t="s">
        <v>254</v>
      </c>
      <c r="F24" s="201">
        <v>1.4000260000000002</v>
      </c>
      <c r="G24" s="201">
        <v>-12.82754583333333</v>
      </c>
      <c r="H24" s="201">
        <v>81.099999999999994</v>
      </c>
      <c r="I24" s="201">
        <v>48.4</v>
      </c>
      <c r="J24" s="201">
        <v>31.111111111111111</v>
      </c>
      <c r="K24" s="201">
        <v>78.204426370532531</v>
      </c>
      <c r="L24" s="201">
        <v>18</v>
      </c>
      <c r="M24" s="201">
        <v>146.45045631070948</v>
      </c>
      <c r="N24" s="201">
        <v>35.737259666928779</v>
      </c>
      <c r="O24" s="201">
        <v>48.983887883387276</v>
      </c>
      <c r="P24" s="201">
        <v>1.7332699999999999E-2</v>
      </c>
      <c r="Q24" s="201">
        <v>147.13667232597621</v>
      </c>
      <c r="R24" s="201">
        <v>0.22500000000000001</v>
      </c>
      <c r="S24" s="201">
        <v>117.8</v>
      </c>
      <c r="T24" s="201">
        <v>4.1670000000000016</v>
      </c>
      <c r="U24" s="201">
        <v>78.669484999999995</v>
      </c>
      <c r="V24" s="201">
        <v>1.0000000000000001E-5</v>
      </c>
      <c r="W24" s="201">
        <v>47.026376000000006</v>
      </c>
      <c r="X24" s="201">
        <v>-60</v>
      </c>
      <c r="Y24" s="201">
        <v>10.744731249999999</v>
      </c>
      <c r="Z24" s="201">
        <v>-19.418948000000004</v>
      </c>
      <c r="AC24" s="201"/>
      <c r="AD24" s="201"/>
    </row>
    <row r="25" spans="1:30" x14ac:dyDescent="0.3">
      <c r="A25" s="201" t="s">
        <v>43</v>
      </c>
      <c r="B25" s="201">
        <v>3</v>
      </c>
      <c r="C25" s="201">
        <v>2</v>
      </c>
      <c r="D25" s="201">
        <v>2</v>
      </c>
      <c r="E25" s="201" t="s">
        <v>254</v>
      </c>
      <c r="F25" s="201">
        <v>1.3265130000000001</v>
      </c>
      <c r="G25" s="201">
        <v>-5.9461157894736854</v>
      </c>
      <c r="H25" s="201">
        <v>128.1</v>
      </c>
      <c r="I25" s="201">
        <v>57.6</v>
      </c>
      <c r="J25" s="201">
        <v>40</v>
      </c>
      <c r="K25" s="201">
        <v>90.637179370978075</v>
      </c>
      <c r="L25" s="201">
        <v>17</v>
      </c>
      <c r="M25" s="201">
        <v>254.44496906677338</v>
      </c>
      <c r="N25" s="201">
        <v>31.769228325444001</v>
      </c>
      <c r="O25" s="201">
        <v>63.842235168499698</v>
      </c>
      <c r="P25" s="201">
        <v>1.4704200000000001E-2</v>
      </c>
      <c r="Q25" s="201">
        <v>189.24324324324326</v>
      </c>
      <c r="R25" s="201">
        <v>0.193</v>
      </c>
      <c r="S25" s="201">
        <v>77.7</v>
      </c>
      <c r="T25" s="201">
        <v>3.8799999999999955</v>
      </c>
      <c r="U25" s="201">
        <v>75.190010000000001</v>
      </c>
      <c r="V25" s="201">
        <v>0.42999999999999972</v>
      </c>
      <c r="W25" s="201">
        <v>64.730820000000008</v>
      </c>
      <c r="X25" s="201">
        <v>-64.599999999999994</v>
      </c>
      <c r="Y25" s="201">
        <v>2.9919196078431436</v>
      </c>
      <c r="Z25" s="201">
        <v>-39.520254999999999</v>
      </c>
      <c r="AC25" s="201"/>
      <c r="AD25" s="201"/>
    </row>
    <row r="26" spans="1:30" x14ac:dyDescent="0.3">
      <c r="A26" s="201" t="s">
        <v>45</v>
      </c>
      <c r="B26" s="201">
        <v>3</v>
      </c>
      <c r="C26" s="201">
        <v>2</v>
      </c>
      <c r="D26" s="201">
        <v>3</v>
      </c>
      <c r="E26" s="201" t="s">
        <v>254</v>
      </c>
      <c r="F26" s="201">
        <v>1.4607985185185184</v>
      </c>
      <c r="G26" s="201">
        <v>-8.9745423076923068</v>
      </c>
      <c r="H26" s="201">
        <v>89.2</v>
      </c>
      <c r="I26" s="201">
        <v>48</v>
      </c>
      <c r="J26" s="201">
        <v>32</v>
      </c>
      <c r="K26" s="201">
        <v>67.226890756302524</v>
      </c>
      <c r="L26" s="201">
        <v>13</v>
      </c>
      <c r="M26" s="201">
        <v>227.72860958831171</v>
      </c>
      <c r="N26" s="201">
        <v>29.792939073439648</v>
      </c>
      <c r="O26" s="201">
        <v>68.043744534315891</v>
      </c>
      <c r="P26" s="201">
        <v>1.64937E-2</v>
      </c>
      <c r="Q26" s="201">
        <v>241.84310850439883</v>
      </c>
      <c r="R26" s="201">
        <v>0.37</v>
      </c>
      <c r="S26" s="201">
        <v>68.2</v>
      </c>
      <c r="T26" s="201">
        <v>3.2499999999999929</v>
      </c>
      <c r="U26" s="201">
        <v>82.601534999999998</v>
      </c>
      <c r="V26" s="201">
        <v>1.5</v>
      </c>
      <c r="W26" s="201">
        <v>53.335685185185184</v>
      </c>
      <c r="X26" s="201">
        <v>-65</v>
      </c>
      <c r="Y26" s="201">
        <v>6.8028760416666598</v>
      </c>
      <c r="Z26" s="201">
        <v>-26.247370370370366</v>
      </c>
      <c r="AC26" s="201"/>
      <c r="AD26" s="201"/>
    </row>
    <row r="27" spans="1:30" x14ac:dyDescent="0.3">
      <c r="A27" s="201" t="s">
        <v>47</v>
      </c>
      <c r="B27" s="201">
        <v>3</v>
      </c>
      <c r="C27" s="201">
        <v>2</v>
      </c>
      <c r="D27" s="201">
        <v>2</v>
      </c>
      <c r="E27" s="201" t="s">
        <v>254</v>
      </c>
      <c r="F27" s="201">
        <v>0.80528522222222232</v>
      </c>
      <c r="G27" s="201">
        <v>-16.350655555555552</v>
      </c>
      <c r="H27" s="201">
        <v>242.83</v>
      </c>
      <c r="I27" s="201">
        <v>108.28</v>
      </c>
      <c r="J27" s="201">
        <v>20.512820512820515</v>
      </c>
      <c r="K27" s="201">
        <v>117.564072419469</v>
      </c>
      <c r="L27" s="201">
        <v>27</v>
      </c>
      <c r="M27" s="201">
        <v>80.207995611616411</v>
      </c>
      <c r="N27" s="201">
        <v>51.816156277527391</v>
      </c>
      <c r="O27" s="201">
        <v>32.050578331655522</v>
      </c>
      <c r="P27" s="201">
        <v>9.3377300000000007E-3</v>
      </c>
      <c r="Q27" s="201">
        <v>133.39614285714288</v>
      </c>
      <c r="R27" s="201">
        <v>0.35</v>
      </c>
      <c r="S27" s="201">
        <v>70</v>
      </c>
      <c r="T27" s="201">
        <v>7.2740000000000009</v>
      </c>
      <c r="U27" s="201">
        <v>65.582104999999999</v>
      </c>
      <c r="V27" s="201">
        <v>0.27499999999999858</v>
      </c>
      <c r="W27" s="201">
        <v>75.873488888888886</v>
      </c>
      <c r="X27" s="201">
        <v>-64.87</v>
      </c>
      <c r="Y27" s="201">
        <v>9.2188520833333296</v>
      </c>
      <c r="Z27" s="201">
        <v>-41.64631111111111</v>
      </c>
      <c r="AC27" s="201"/>
      <c r="AD27" s="201"/>
    </row>
    <row r="28" spans="1:30" x14ac:dyDescent="0.3">
      <c r="A28" s="201" t="s">
        <v>49</v>
      </c>
      <c r="B28" s="201">
        <v>3</v>
      </c>
      <c r="C28" s="201">
        <v>2</v>
      </c>
      <c r="D28" s="201">
        <v>2</v>
      </c>
      <c r="E28" s="201" t="s">
        <v>254</v>
      </c>
      <c r="F28" s="201">
        <v>0.91917976470588258</v>
      </c>
      <c r="G28" s="201">
        <v>-12.113676470588233</v>
      </c>
      <c r="H28" s="201">
        <v>158.69999999999999</v>
      </c>
      <c r="I28" s="201">
        <v>90</v>
      </c>
      <c r="J28" s="201">
        <v>32</v>
      </c>
      <c r="K28" s="201">
        <v>132.27513227513222</v>
      </c>
      <c r="L28" s="201">
        <v>31</v>
      </c>
      <c r="M28" s="201">
        <v>146.60873092477297</v>
      </c>
      <c r="N28" s="201">
        <v>54.996425232359918</v>
      </c>
      <c r="O28" s="201">
        <v>52.289326759343112</v>
      </c>
      <c r="P28" s="201">
        <v>1.29012E-2</v>
      </c>
      <c r="Q28" s="201">
        <v>224.75958188153311</v>
      </c>
      <c r="R28" s="201">
        <v>0.67</v>
      </c>
      <c r="S28" s="201">
        <v>57.4</v>
      </c>
      <c r="T28" s="201">
        <v>5.0900000000000034</v>
      </c>
      <c r="U28" s="201">
        <v>66.226915000000005</v>
      </c>
      <c r="V28" s="201">
        <v>1.0000000000000001E-5</v>
      </c>
      <c r="W28" s="201">
        <v>65.368652941176492</v>
      </c>
      <c r="X28" s="201">
        <v>-68.2</v>
      </c>
      <c r="Y28" s="201">
        <v>2.73386666666668</v>
      </c>
      <c r="Z28" s="201">
        <v>-37.306841176470591</v>
      </c>
      <c r="AC28" s="201"/>
      <c r="AD28" s="201"/>
    </row>
    <row r="29" spans="1:30" x14ac:dyDescent="0.3">
      <c r="A29" s="201" t="s">
        <v>52</v>
      </c>
      <c r="B29" s="201">
        <v>3</v>
      </c>
      <c r="C29" s="201">
        <v>2</v>
      </c>
      <c r="D29" s="201">
        <v>2</v>
      </c>
      <c r="E29" s="201" t="s">
        <v>254</v>
      </c>
      <c r="F29" s="201">
        <v>0.7873917241379309</v>
      </c>
      <c r="G29" s="201">
        <v>-15.096734482758624</v>
      </c>
      <c r="H29" s="201">
        <v>244.67</v>
      </c>
      <c r="I29" s="201">
        <v>114.75</v>
      </c>
      <c r="J29" s="201">
        <v>50</v>
      </c>
      <c r="K29" s="201">
        <v>139.0047261606897</v>
      </c>
      <c r="L29" s="201">
        <v>33</v>
      </c>
      <c r="M29" s="201">
        <v>85.430664010955908</v>
      </c>
      <c r="N29" s="201">
        <v>63.271116735210576</v>
      </c>
      <c r="O29" s="201">
        <v>77.319395547671533</v>
      </c>
      <c r="P29" s="201">
        <v>1.1332E-2</v>
      </c>
      <c r="Q29" s="201">
        <v>226.64000000000001</v>
      </c>
      <c r="R29" s="201">
        <v>0.49</v>
      </c>
      <c r="S29" s="201">
        <v>50</v>
      </c>
      <c r="T29" s="201">
        <v>6.7019999999999982</v>
      </c>
      <c r="U29" s="201">
        <v>56.111409999999999</v>
      </c>
      <c r="V29" s="201">
        <v>1.0000000000000001E-5</v>
      </c>
      <c r="W29" s="201">
        <v>73.839920689655173</v>
      </c>
      <c r="X29" s="201">
        <v>-64.599999999999994</v>
      </c>
      <c r="Y29" s="201">
        <v>4.9591062499999898</v>
      </c>
      <c r="Z29" s="201">
        <v>-40.733603448275865</v>
      </c>
      <c r="AC29" s="201"/>
      <c r="AD29" s="201"/>
    </row>
    <row r="30" spans="1:30" x14ac:dyDescent="0.3">
      <c r="A30" s="201" t="s">
        <v>54</v>
      </c>
      <c r="B30" s="201">
        <v>3</v>
      </c>
      <c r="C30" s="201">
        <v>2</v>
      </c>
      <c r="D30" s="201">
        <v>2</v>
      </c>
      <c r="E30" s="201" t="s">
        <v>254</v>
      </c>
      <c r="F30" s="201">
        <v>0.96135249999999994</v>
      </c>
      <c r="G30" s="201">
        <v>-10.653427272727273</v>
      </c>
      <c r="H30" s="201">
        <v>139.80000000000001</v>
      </c>
      <c r="I30" s="201">
        <v>85.1</v>
      </c>
      <c r="J30" s="201">
        <v>20</v>
      </c>
      <c r="K30" s="201">
        <v>108.18998160770319</v>
      </c>
      <c r="L30" s="201">
        <v>28</v>
      </c>
      <c r="M30" s="201">
        <v>86.086095413210728</v>
      </c>
      <c r="N30" s="201">
        <v>50.942435048395325</v>
      </c>
      <c r="O30" s="201">
        <v>33.919961181954775</v>
      </c>
      <c r="P30" s="201">
        <v>1.6192600000000001E-2</v>
      </c>
      <c r="Q30" s="201">
        <v>289.15357142857147</v>
      </c>
      <c r="R30" s="201">
        <v>0.37</v>
      </c>
      <c r="S30" s="201">
        <v>56</v>
      </c>
      <c r="T30" s="201">
        <v>4.0869999999999891</v>
      </c>
      <c r="U30" s="201">
        <v>73.680000000000007</v>
      </c>
      <c r="V30" s="201">
        <v>1.0000000000000001E-5</v>
      </c>
      <c r="W30" s="201">
        <v>55.225727272727269</v>
      </c>
      <c r="X30" s="201">
        <v>-66.7</v>
      </c>
      <c r="Y30" s="201">
        <v>3.1153364583333398</v>
      </c>
      <c r="Z30" s="201">
        <v>-32.276499999999999</v>
      </c>
      <c r="AC30" s="201"/>
      <c r="AD30" s="201"/>
    </row>
    <row r="31" spans="1:30" x14ac:dyDescent="0.3">
      <c r="A31" s="201" t="s">
        <v>57</v>
      </c>
      <c r="B31" s="201">
        <v>3</v>
      </c>
      <c r="C31" s="201">
        <v>2</v>
      </c>
      <c r="D31" s="201">
        <v>3</v>
      </c>
      <c r="E31" s="201" t="s">
        <v>254</v>
      </c>
      <c r="F31" s="201">
        <v>0.97377523333333349</v>
      </c>
      <c r="G31" s="201">
        <v>-9.1808929580032093</v>
      </c>
      <c r="H31" s="201">
        <v>130.5</v>
      </c>
      <c r="I31" s="201">
        <v>79.7</v>
      </c>
      <c r="J31" s="201">
        <v>20</v>
      </c>
      <c r="K31" s="201">
        <v>119.58861516383648</v>
      </c>
      <c r="L31" s="201">
        <v>28</v>
      </c>
      <c r="M31" s="201">
        <v>113.77190648768541</v>
      </c>
      <c r="N31" s="201">
        <v>51.538421893521566</v>
      </c>
      <c r="O31" s="201">
        <v>36.632997111516389</v>
      </c>
      <c r="P31" s="201">
        <v>1.30648E-2</v>
      </c>
      <c r="Q31" s="201">
        <v>287.13846153846151</v>
      </c>
      <c r="R31" s="201">
        <v>0.45</v>
      </c>
      <c r="S31" s="201">
        <v>45.5</v>
      </c>
      <c r="T31" s="201">
        <v>5.0999999999999943</v>
      </c>
      <c r="U31" s="201">
        <v>84.922084999999996</v>
      </c>
      <c r="V31" s="201">
        <v>1.0000000000000001E-5</v>
      </c>
      <c r="W31" s="201">
        <v>59.936526666666651</v>
      </c>
      <c r="X31" s="201">
        <v>-64.8</v>
      </c>
      <c r="Y31" s="201">
        <v>1.3987218750000101</v>
      </c>
      <c r="Z31" s="201">
        <v>-35.300703333333324</v>
      </c>
      <c r="AC31" s="201"/>
      <c r="AD31" s="201"/>
    </row>
    <row r="32" spans="1:30" x14ac:dyDescent="0.3">
      <c r="A32" s="201" t="s">
        <v>60</v>
      </c>
      <c r="B32" s="201">
        <v>3</v>
      </c>
      <c r="C32" s="201">
        <v>2</v>
      </c>
      <c r="D32" s="201">
        <v>3</v>
      </c>
      <c r="E32" s="201" t="s">
        <v>254</v>
      </c>
      <c r="F32" s="201">
        <v>1.0570581818181817</v>
      </c>
      <c r="G32" s="201">
        <v>-13.49432272727273</v>
      </c>
      <c r="H32" s="201">
        <v>123</v>
      </c>
      <c r="I32" s="201">
        <v>70.3</v>
      </c>
      <c r="J32" s="201">
        <v>36</v>
      </c>
      <c r="K32" s="201">
        <v>95.147478591817148</v>
      </c>
      <c r="L32" s="201">
        <v>26</v>
      </c>
      <c r="M32" s="201">
        <v>159.77354461153524</v>
      </c>
      <c r="N32" s="201">
        <v>47.438330170777895</v>
      </c>
      <c r="O32" s="201">
        <v>69.715274361404894</v>
      </c>
      <c r="P32" s="201">
        <v>1.6072199999999998E-2</v>
      </c>
      <c r="Q32" s="201">
        <v>163.83486238532112</v>
      </c>
      <c r="R32" s="201">
        <v>0.25</v>
      </c>
      <c r="S32" s="201">
        <v>98.1</v>
      </c>
      <c r="T32" s="201">
        <v>4.5570000000000022</v>
      </c>
      <c r="U32" s="201">
        <v>94.92698</v>
      </c>
      <c r="V32" s="201">
        <v>1.0000000000000001E-5</v>
      </c>
      <c r="W32" s="201">
        <v>66.716977272727277</v>
      </c>
      <c r="X32" s="201">
        <v>-66.716977272727306</v>
      </c>
      <c r="Y32" s="201">
        <v>11.1897791666667</v>
      </c>
      <c r="Z32" s="201">
        <v>-38.743454545454547</v>
      </c>
      <c r="AC32" s="201"/>
      <c r="AD32" s="201"/>
    </row>
    <row r="33" spans="1:30" x14ac:dyDescent="0.3">
      <c r="A33" s="201" t="s">
        <v>63</v>
      </c>
      <c r="B33" s="201">
        <v>3</v>
      </c>
      <c r="C33" s="201">
        <v>2</v>
      </c>
      <c r="D33" s="201">
        <v>3</v>
      </c>
      <c r="E33" s="201" t="s">
        <v>254</v>
      </c>
      <c r="F33" s="201">
        <v>1.0664890909090909</v>
      </c>
      <c r="G33" s="201">
        <v>-6.7471590909090926</v>
      </c>
      <c r="H33" s="201">
        <v>134.30000000000001</v>
      </c>
      <c r="I33" s="201">
        <v>68.099999999999994</v>
      </c>
      <c r="J33" s="201">
        <v>21.25</v>
      </c>
      <c r="K33" s="201">
        <v>130.0052002080082</v>
      </c>
      <c r="L33" s="201">
        <v>28</v>
      </c>
      <c r="M33" s="201">
        <v>113.75089352122228</v>
      </c>
      <c r="N33" s="201">
        <v>53.14343412871338</v>
      </c>
      <c r="O33" s="201">
        <v>42.107213386725384</v>
      </c>
      <c r="P33" s="201">
        <v>1.6740999999999999E-2</v>
      </c>
      <c r="Q33" s="201">
        <v>215.56785990213751</v>
      </c>
      <c r="R33" s="201">
        <v>0.2</v>
      </c>
      <c r="S33" s="201">
        <v>77.66</v>
      </c>
      <c r="T33" s="201">
        <v>8.2999999999999972</v>
      </c>
      <c r="U33" s="201">
        <v>131.48515</v>
      </c>
      <c r="V33" s="201">
        <v>0.67999999999999972</v>
      </c>
      <c r="W33" s="201">
        <v>63.92876363636362</v>
      </c>
      <c r="X33" s="201">
        <v>-66.819999999999993</v>
      </c>
      <c r="Y33" s="201">
        <v>0.49108850574712787</v>
      </c>
      <c r="Z33" s="201">
        <v>-43.684522727272721</v>
      </c>
      <c r="AC33" s="201"/>
      <c r="AD33" s="201"/>
    </row>
    <row r="34" spans="1:30" ht="15" thickBot="1" x14ac:dyDescent="0.35">
      <c r="A34" s="201" t="s">
        <v>66</v>
      </c>
      <c r="B34" s="201">
        <v>3</v>
      </c>
      <c r="C34" s="201">
        <v>2</v>
      </c>
      <c r="D34" s="201">
        <v>3</v>
      </c>
      <c r="E34" s="201" t="s">
        <v>254</v>
      </c>
      <c r="F34" s="201">
        <v>0.73556913636363641</v>
      </c>
      <c r="G34" s="201">
        <v>-11.876895454545455</v>
      </c>
      <c r="H34" s="201">
        <v>225.83</v>
      </c>
      <c r="I34" s="201">
        <v>112.53</v>
      </c>
      <c r="J34" s="201">
        <v>18.18181818181818</v>
      </c>
      <c r="K34" s="201">
        <v>118.45534233593965</v>
      </c>
      <c r="L34" s="201">
        <v>27</v>
      </c>
      <c r="M34" s="201">
        <v>95.092073652603872</v>
      </c>
      <c r="N34" s="201">
        <v>55.524708495280429</v>
      </c>
      <c r="O34" s="201">
        <v>37.892692813085901</v>
      </c>
      <c r="P34" s="201">
        <v>1.46721E-2</v>
      </c>
      <c r="Q34" s="201">
        <v>338.84757505773678</v>
      </c>
      <c r="R34" s="201">
        <v>0.4</v>
      </c>
      <c r="S34" s="201">
        <v>43.3</v>
      </c>
      <c r="T34" s="201">
        <v>5.25</v>
      </c>
      <c r="U34" s="201">
        <v>80.538619999999995</v>
      </c>
      <c r="V34" s="201">
        <v>0.90999999999999659</v>
      </c>
      <c r="W34" s="201">
        <v>73.730463636363638</v>
      </c>
      <c r="X34" s="201">
        <v>-64.349999999999994</v>
      </c>
      <c r="Y34" s="201">
        <v>5.8228942528735699</v>
      </c>
      <c r="Z34" s="201">
        <v>-39.966922727272731</v>
      </c>
      <c r="AC34" s="201"/>
      <c r="AD34" s="201"/>
    </row>
    <row r="35" spans="1:30" s="200" customFormat="1" ht="15" thickBot="1" x14ac:dyDescent="0.35">
      <c r="A35" s="199" t="s">
        <v>69</v>
      </c>
      <c r="B35" s="200">
        <v>3</v>
      </c>
      <c r="C35" s="200">
        <v>2</v>
      </c>
      <c r="D35" s="200">
        <v>3</v>
      </c>
      <c r="E35" s="200" t="s">
        <v>254</v>
      </c>
      <c r="F35" s="200">
        <v>0.82643472727272738</v>
      </c>
      <c r="G35" s="200">
        <v>-17.600322727272726</v>
      </c>
      <c r="H35" s="200">
        <v>188.42</v>
      </c>
      <c r="I35" s="200">
        <v>88.5</v>
      </c>
      <c r="J35" s="200">
        <v>22.727272727272727</v>
      </c>
      <c r="K35" s="200">
        <v>127.92631444288125</v>
      </c>
      <c r="L35" s="200">
        <v>32</v>
      </c>
      <c r="M35" s="200">
        <v>98.815956310326015</v>
      </c>
      <c r="N35" s="200">
        <v>59.63740458015257</v>
      </c>
      <c r="O35" s="200">
        <v>38.8244591656822</v>
      </c>
      <c r="P35" s="200">
        <v>1.08548E-2</v>
      </c>
      <c r="Q35" s="200">
        <v>201.7620817843866</v>
      </c>
      <c r="R35" s="200">
        <v>0.53</v>
      </c>
      <c r="S35" s="200">
        <v>53.8</v>
      </c>
      <c r="T35" s="200">
        <v>4.9470000000000027</v>
      </c>
      <c r="U35" s="200">
        <v>60.02</v>
      </c>
      <c r="V35" s="200">
        <v>1.0000000000000001E-5</v>
      </c>
      <c r="W35" s="200">
        <v>70.520581818181824</v>
      </c>
      <c r="X35" s="200">
        <v>-70.520581818181796</v>
      </c>
      <c r="Y35" s="200">
        <v>5.4721172413792996</v>
      </c>
      <c r="Z35" s="200">
        <v>-39.966922727272731</v>
      </c>
    </row>
    <row r="36" spans="1:30" s="197" customFormat="1" x14ac:dyDescent="0.3">
      <c r="A36" s="197" t="s">
        <v>92</v>
      </c>
      <c r="B36" s="197">
        <v>7</v>
      </c>
      <c r="C36" s="197">
        <v>1</v>
      </c>
      <c r="D36" s="197">
        <v>7</v>
      </c>
      <c r="E36" s="197" t="s">
        <v>255</v>
      </c>
      <c r="F36" s="197">
        <v>0.85354328125000023</v>
      </c>
      <c r="G36" s="197">
        <v>-14.59503125</v>
      </c>
      <c r="H36" s="197">
        <v>201.2</v>
      </c>
      <c r="I36" s="197">
        <v>85.1</v>
      </c>
      <c r="J36" s="197">
        <v>15.333333333333336</v>
      </c>
      <c r="K36" s="197">
        <v>164.20361247947449</v>
      </c>
      <c r="L36" s="197">
        <v>33</v>
      </c>
      <c r="M36" s="197">
        <v>93.107800027986585</v>
      </c>
      <c r="N36" s="197">
        <v>59.790732436472268</v>
      </c>
      <c r="O36" s="197">
        <v>24.487295037195999</v>
      </c>
      <c r="P36" s="197">
        <v>1.04457E-2</v>
      </c>
      <c r="Q36" s="197">
        <v>503.40722891566264</v>
      </c>
      <c r="R36" s="197">
        <v>1.05</v>
      </c>
      <c r="S36" s="197">
        <v>20.75</v>
      </c>
      <c r="W36" s="197">
        <v>72.8</v>
      </c>
      <c r="X36" s="197">
        <v>-64</v>
      </c>
      <c r="Z36" s="197">
        <v>-41.667462499999999</v>
      </c>
    </row>
    <row r="37" spans="1:30" s="197" customFormat="1" x14ac:dyDescent="0.3">
      <c r="A37" s="197" t="s">
        <v>94</v>
      </c>
      <c r="B37" s="197">
        <v>7</v>
      </c>
      <c r="C37" s="197">
        <v>1</v>
      </c>
      <c r="D37" s="197">
        <v>7</v>
      </c>
      <c r="E37" s="197" t="s">
        <v>255</v>
      </c>
      <c r="F37" s="197">
        <v>0.89785375000000001</v>
      </c>
      <c r="G37" s="197">
        <v>-11.662166666666661</v>
      </c>
      <c r="H37" s="197">
        <v>204.3</v>
      </c>
      <c r="I37" s="197">
        <v>67.2</v>
      </c>
      <c r="J37" s="197">
        <v>14.285714285714285</v>
      </c>
      <c r="K37" s="197">
        <v>130.17443374121291</v>
      </c>
      <c r="L37" s="197">
        <v>22</v>
      </c>
      <c r="M37" s="197">
        <v>89.822804179646127</v>
      </c>
      <c r="N37" s="197">
        <v>44.712720769058777</v>
      </c>
      <c r="O37" s="197">
        <v>24.759167853755901</v>
      </c>
      <c r="P37" s="197">
        <v>1.5667299999999999E-2</v>
      </c>
      <c r="Q37" s="197">
        <v>716.21942857142847</v>
      </c>
      <c r="R37" s="197">
        <v>0.5</v>
      </c>
      <c r="S37" s="197">
        <v>21.875</v>
      </c>
      <c r="W37" s="197">
        <v>67.699999999999989</v>
      </c>
      <c r="X37" s="197">
        <v>-62</v>
      </c>
      <c r="Y37" s="197">
        <v>12.363533333333301</v>
      </c>
      <c r="Z37" s="197">
        <v>-38.337704166666668</v>
      </c>
    </row>
    <row r="38" spans="1:30" s="197" customFormat="1" x14ac:dyDescent="0.3">
      <c r="A38" s="197" t="s">
        <v>96</v>
      </c>
      <c r="B38" s="197">
        <v>7</v>
      </c>
      <c r="C38" s="197">
        <v>1</v>
      </c>
      <c r="D38" s="197">
        <v>7</v>
      </c>
      <c r="E38" s="197" t="s">
        <v>255</v>
      </c>
      <c r="F38" s="197">
        <v>1.0411362500000001</v>
      </c>
      <c r="G38" s="197">
        <v>-15.12655</v>
      </c>
      <c r="H38" s="197">
        <v>156.5</v>
      </c>
      <c r="I38" s="197">
        <v>63.6</v>
      </c>
      <c r="J38" s="197">
        <v>32.5</v>
      </c>
      <c r="K38" s="197">
        <v>145.39110206455391</v>
      </c>
      <c r="L38" s="197">
        <v>29</v>
      </c>
      <c r="M38" s="197">
        <v>220.72595956457496</v>
      </c>
      <c r="N38" s="197">
        <v>51.91568892119183</v>
      </c>
      <c r="O38" s="197">
        <v>47.377577274447994</v>
      </c>
      <c r="P38" s="197">
        <v>1.1673299999999999E-2</v>
      </c>
      <c r="Q38" s="197">
        <v>279.18206278026906</v>
      </c>
      <c r="R38" s="197">
        <v>0.4</v>
      </c>
      <c r="S38" s="197">
        <v>41.8125</v>
      </c>
      <c r="W38" s="197">
        <v>65.900000000000006</v>
      </c>
      <c r="X38" s="197">
        <v>-64</v>
      </c>
      <c r="Y38" s="197">
        <v>1.29982222222222</v>
      </c>
      <c r="Z38" s="197">
        <v>-33.201845833333337</v>
      </c>
    </row>
    <row r="39" spans="1:30" s="197" customFormat="1" x14ac:dyDescent="0.3">
      <c r="A39" s="197" t="s">
        <v>98</v>
      </c>
      <c r="B39" s="197">
        <v>7</v>
      </c>
      <c r="C39" s="197">
        <v>1</v>
      </c>
      <c r="D39" s="197">
        <v>7</v>
      </c>
      <c r="E39" s="197" t="s">
        <v>255</v>
      </c>
      <c r="F39" s="197">
        <v>0.82788986666666664</v>
      </c>
      <c r="G39" s="197">
        <v>-15.2888</v>
      </c>
      <c r="H39" s="197">
        <v>160.4</v>
      </c>
      <c r="I39" s="197">
        <v>83.8</v>
      </c>
      <c r="J39" s="197">
        <v>18.947368421052634</v>
      </c>
      <c r="K39" s="197">
        <v>172.9206294310915</v>
      </c>
      <c r="L39" s="197">
        <v>41</v>
      </c>
      <c r="M39" s="197">
        <v>79.62169903303689</v>
      </c>
      <c r="N39" s="197">
        <v>97.087378640776592</v>
      </c>
      <c r="O39" s="197">
        <v>28.168751979827512</v>
      </c>
      <c r="P39" s="197">
        <v>9.51252E-3</v>
      </c>
      <c r="Q39" s="197">
        <v>272.76043010752687</v>
      </c>
      <c r="R39" s="197">
        <v>0.6</v>
      </c>
      <c r="S39" s="197">
        <v>34.875</v>
      </c>
      <c r="W39" s="197">
        <v>62.8</v>
      </c>
      <c r="X39" s="197">
        <v>-58</v>
      </c>
      <c r="Y39" s="197">
        <v>0.64131014492753569</v>
      </c>
      <c r="Z39" s="197">
        <v>-27.154033333333341</v>
      </c>
    </row>
    <row r="40" spans="1:30" s="197" customFormat="1" x14ac:dyDescent="0.3">
      <c r="A40" s="197" t="s">
        <v>100</v>
      </c>
      <c r="B40" s="197">
        <v>7</v>
      </c>
      <c r="C40" s="197">
        <v>1</v>
      </c>
      <c r="D40" s="197">
        <v>6</v>
      </c>
      <c r="E40" s="197" t="s">
        <v>255</v>
      </c>
      <c r="F40" s="197">
        <v>0.94244819999999985</v>
      </c>
      <c r="G40" s="197">
        <v>-11.547836666666671</v>
      </c>
      <c r="H40" s="197">
        <v>137.5</v>
      </c>
      <c r="I40" s="197">
        <v>74.900000000000006</v>
      </c>
      <c r="J40" s="197">
        <v>18.399999999999995</v>
      </c>
      <c r="K40" s="197">
        <v>174.52006980802739</v>
      </c>
      <c r="L40" s="197">
        <v>33</v>
      </c>
      <c r="M40" s="197">
        <v>114.95902226201872</v>
      </c>
      <c r="N40" s="197">
        <v>67.186240257995607</v>
      </c>
      <c r="O40" s="197">
        <v>36.370032782164245</v>
      </c>
      <c r="P40" s="197">
        <v>7.4446499999999997E-3</v>
      </c>
      <c r="Q40" s="197">
        <v>588.97547468354423</v>
      </c>
      <c r="R40" s="197">
        <v>0.28999999999999998</v>
      </c>
      <c r="S40" s="197">
        <v>12.64</v>
      </c>
      <c r="W40" s="197">
        <v>59.099999999999994</v>
      </c>
      <c r="X40" s="197">
        <v>-64.5</v>
      </c>
      <c r="Y40" s="197">
        <v>0.79611159420290156</v>
      </c>
      <c r="Z40" s="197">
        <v>-22.328703333333337</v>
      </c>
    </row>
    <row r="41" spans="1:30" s="197" customFormat="1" x14ac:dyDescent="0.3">
      <c r="A41" s="197" t="s">
        <v>103</v>
      </c>
      <c r="B41" s="197">
        <v>7</v>
      </c>
      <c r="C41" s="197">
        <v>1</v>
      </c>
      <c r="D41" s="197">
        <v>6</v>
      </c>
      <c r="E41" s="197" t="s">
        <v>255</v>
      </c>
      <c r="F41" s="197">
        <v>0.86277386666666678</v>
      </c>
      <c r="G41" s="197">
        <v>-7.6014200000000036</v>
      </c>
      <c r="H41" s="197">
        <v>181.1</v>
      </c>
      <c r="I41" s="197">
        <v>83.6</v>
      </c>
      <c r="J41" s="197">
        <v>23.750000000000004</v>
      </c>
      <c r="K41" s="197">
        <v>165.8374792703151</v>
      </c>
      <c r="L41" s="197">
        <v>25</v>
      </c>
      <c r="M41" s="197">
        <v>153.19232621348488</v>
      </c>
      <c r="N41" s="197">
        <v>47.993856786331321</v>
      </c>
      <c r="O41" s="197">
        <v>39.128998786205948</v>
      </c>
      <c r="P41" s="197">
        <v>1.5173300000000001E-2</v>
      </c>
      <c r="Q41" s="197">
        <v>358.89540078843629</v>
      </c>
      <c r="R41" s="197">
        <v>0.56000000000000005</v>
      </c>
      <c r="S41" s="197">
        <v>42.277777777777779</v>
      </c>
      <c r="W41" s="197">
        <v>69.599999999999994</v>
      </c>
      <c r="X41" s="197">
        <v>-65</v>
      </c>
      <c r="Y41" s="197">
        <v>0.58810000000000295</v>
      </c>
      <c r="Z41" s="197">
        <v>-33.838403333333332</v>
      </c>
    </row>
    <row r="42" spans="1:30" s="197" customFormat="1" x14ac:dyDescent="0.3">
      <c r="A42" s="197" t="s">
        <v>105</v>
      </c>
      <c r="B42" s="197">
        <v>7</v>
      </c>
      <c r="C42" s="197">
        <v>1</v>
      </c>
      <c r="D42" s="197">
        <v>6</v>
      </c>
      <c r="E42" s="197" t="s">
        <v>255</v>
      </c>
      <c r="F42" s="197">
        <v>0.83984700000000001</v>
      </c>
      <c r="G42" s="197">
        <v>-8.0092285714285705</v>
      </c>
      <c r="H42" s="197">
        <v>181.5</v>
      </c>
      <c r="I42" s="197">
        <v>84.3</v>
      </c>
      <c r="J42" s="197">
        <v>53.333333333333364</v>
      </c>
      <c r="K42" s="197">
        <v>173.2501732501735</v>
      </c>
      <c r="L42" s="197">
        <v>23</v>
      </c>
      <c r="M42" s="197">
        <v>502.25919700449703</v>
      </c>
      <c r="N42" s="197">
        <v>47.553378667554341</v>
      </c>
      <c r="O42" s="197">
        <v>84.633564920347979</v>
      </c>
      <c r="P42" s="197">
        <v>5.9754700000000001E-3</v>
      </c>
      <c r="Q42" s="197">
        <v>262.08201754385965</v>
      </c>
      <c r="R42" s="197">
        <v>1.1499999999999999</v>
      </c>
      <c r="S42" s="197">
        <v>22.8</v>
      </c>
      <c r="W42" s="197">
        <v>71.5</v>
      </c>
      <c r="X42" s="197">
        <v>-67</v>
      </c>
      <c r="Y42" s="197">
        <v>0.270208333333333</v>
      </c>
      <c r="Z42" s="197">
        <v>-29.879428571428576</v>
      </c>
    </row>
    <row r="43" spans="1:30" s="197" customFormat="1" x14ac:dyDescent="0.3">
      <c r="A43" s="197" t="s">
        <v>111</v>
      </c>
      <c r="B43" s="197">
        <v>7</v>
      </c>
      <c r="C43" s="197">
        <v>1</v>
      </c>
      <c r="D43" s="197">
        <v>6</v>
      </c>
      <c r="E43" s="197" t="s">
        <v>255</v>
      </c>
      <c r="F43" s="197">
        <v>0.90103379166666686</v>
      </c>
      <c r="G43" s="197">
        <v>-9.4670869565217419</v>
      </c>
      <c r="H43" s="197">
        <v>168.6</v>
      </c>
      <c r="I43" s="197">
        <v>86.8</v>
      </c>
      <c r="K43" s="197">
        <v>154.15446277169735</v>
      </c>
      <c r="L43" s="197">
        <v>24</v>
      </c>
      <c r="M43" s="197">
        <v>101.30311766848808</v>
      </c>
      <c r="N43" s="197">
        <v>50.466818067120727</v>
      </c>
      <c r="O43" s="197">
        <v>22.27579140876891</v>
      </c>
      <c r="P43" s="197">
        <v>1.10486E-2</v>
      </c>
      <c r="Q43" s="197">
        <v>346.3510971786834</v>
      </c>
      <c r="R43" s="197">
        <v>0.54</v>
      </c>
      <c r="S43" s="197">
        <v>31.9</v>
      </c>
      <c r="W43" s="197">
        <v>70.599999999999994</v>
      </c>
      <c r="X43" s="197">
        <v>-65</v>
      </c>
      <c r="Y43" s="197">
        <v>3.0835468750000201</v>
      </c>
      <c r="Z43" s="197">
        <v>-36.27395416666667</v>
      </c>
    </row>
    <row r="44" spans="1:30" s="197" customFormat="1" x14ac:dyDescent="0.3">
      <c r="A44" s="197" t="s">
        <v>113</v>
      </c>
      <c r="B44" s="197">
        <v>7</v>
      </c>
      <c r="C44" s="197">
        <v>1</v>
      </c>
      <c r="D44" s="197">
        <v>6</v>
      </c>
      <c r="E44" s="197" t="s">
        <v>255</v>
      </c>
      <c r="F44" s="197">
        <v>0.77972688000000023</v>
      </c>
      <c r="G44" s="197">
        <v>-12.746179166666666</v>
      </c>
      <c r="H44" s="197">
        <v>244.2</v>
      </c>
      <c r="I44" s="197">
        <v>98.8</v>
      </c>
      <c r="J44" s="197">
        <v>22.5</v>
      </c>
      <c r="K44" s="197">
        <v>167.1961210499918</v>
      </c>
      <c r="L44" s="197">
        <v>31</v>
      </c>
      <c r="M44" s="197">
        <v>40.077363051260804</v>
      </c>
      <c r="N44" s="197">
        <v>72.679700559633616</v>
      </c>
      <c r="O44" s="197">
        <v>41.340920929796226</v>
      </c>
      <c r="P44" s="197">
        <v>6.9324299999999998E-3</v>
      </c>
      <c r="Q44" s="197">
        <v>288.85125000000005</v>
      </c>
      <c r="R44" s="197">
        <v>0.84</v>
      </c>
      <c r="S44" s="197">
        <v>23.999999999999996</v>
      </c>
      <c r="W44" s="197">
        <v>74.099999999999994</v>
      </c>
      <c r="X44" s="197">
        <v>-67.5</v>
      </c>
      <c r="Y44" s="197">
        <v>1.8407428571428699</v>
      </c>
      <c r="Z44" s="197">
        <v>-45.042724</v>
      </c>
    </row>
    <row r="45" spans="1:30" s="197" customFormat="1" x14ac:dyDescent="0.3">
      <c r="A45" s="197" t="s">
        <v>115</v>
      </c>
      <c r="B45" s="197">
        <v>7</v>
      </c>
      <c r="C45" s="197">
        <v>1</v>
      </c>
      <c r="D45" s="197">
        <v>7</v>
      </c>
      <c r="E45" s="197" t="s">
        <v>255</v>
      </c>
      <c r="F45" s="197">
        <v>1.176507391304348</v>
      </c>
      <c r="G45" s="197">
        <v>-11.486809999999997</v>
      </c>
      <c r="H45" s="197">
        <v>191.2</v>
      </c>
      <c r="I45" s="197">
        <v>62.4</v>
      </c>
      <c r="J45" s="197">
        <v>25.714285714285715</v>
      </c>
      <c r="K45" s="197">
        <v>153.35071308081615</v>
      </c>
      <c r="L45" s="197">
        <v>26</v>
      </c>
      <c r="M45" s="197">
        <v>55.080441876844034</v>
      </c>
      <c r="N45" s="197">
        <v>54.972239019295337</v>
      </c>
      <c r="O45" s="197">
        <v>45.865173476381344</v>
      </c>
      <c r="P45" s="197">
        <v>2.1326399999999999E-2</v>
      </c>
      <c r="Q45" s="197">
        <v>245.13103448275859</v>
      </c>
      <c r="R45" s="197">
        <v>0.1</v>
      </c>
      <c r="S45" s="197">
        <v>87</v>
      </c>
      <c r="W45" s="197">
        <v>70.122773913043474</v>
      </c>
      <c r="X45" s="197">
        <v>-60</v>
      </c>
      <c r="Y45" s="197">
        <v>5.2036384615384597</v>
      </c>
      <c r="Z45" s="197">
        <v>-39.995286956521738</v>
      </c>
    </row>
    <row r="46" spans="1:30" s="197" customFormat="1" x14ac:dyDescent="0.3">
      <c r="A46" s="197" t="s">
        <v>117</v>
      </c>
      <c r="B46" s="197">
        <v>7</v>
      </c>
      <c r="C46" s="197">
        <v>1</v>
      </c>
      <c r="D46" s="197">
        <v>7</v>
      </c>
      <c r="E46" s="197" t="s">
        <v>255</v>
      </c>
      <c r="F46" s="197">
        <v>1.4718652173913045</v>
      </c>
      <c r="G46" s="197">
        <v>-12.984552173913041</v>
      </c>
      <c r="H46" s="197">
        <v>147.1</v>
      </c>
      <c r="I46" s="197">
        <v>57.1</v>
      </c>
      <c r="J46" s="197">
        <v>30</v>
      </c>
      <c r="K46" s="197">
        <v>66.56460094521735</v>
      </c>
      <c r="L46" s="197">
        <v>18</v>
      </c>
      <c r="M46" s="197">
        <v>121.01063912335957</v>
      </c>
      <c r="N46" s="197">
        <v>31.245117950320267</v>
      </c>
      <c r="O46" s="197">
        <v>45.717937749586639</v>
      </c>
      <c r="P46" s="197">
        <v>2.0165499999999999E-2</v>
      </c>
      <c r="Q46" s="197">
        <v>194.27263969171491</v>
      </c>
      <c r="R46" s="197">
        <v>7.0000000000000007E-2</v>
      </c>
      <c r="S46" s="197">
        <v>103.79999999999995</v>
      </c>
      <c r="T46" s="197">
        <v>5.2100000000000009</v>
      </c>
      <c r="U46" s="197">
        <v>124.035</v>
      </c>
      <c r="V46" s="197">
        <v>1.0000000000000001E-5</v>
      </c>
      <c r="W46" s="197">
        <v>69.585386956521731</v>
      </c>
      <c r="X46" s="197">
        <v>-63</v>
      </c>
      <c r="Y46" s="197">
        <v>9.8546343750000105</v>
      </c>
      <c r="Z46" s="197">
        <v>-44.060387652173915</v>
      </c>
    </row>
    <row r="47" spans="1:30" s="197" customFormat="1" x14ac:dyDescent="0.3">
      <c r="A47" s="197" t="s">
        <v>119</v>
      </c>
      <c r="B47" s="197">
        <v>7</v>
      </c>
      <c r="C47" s="197">
        <v>1</v>
      </c>
      <c r="D47" s="197">
        <v>7</v>
      </c>
      <c r="E47" s="197" t="s">
        <v>255</v>
      </c>
      <c r="F47" s="197">
        <v>0.98832821739130439</v>
      </c>
      <c r="G47" s="197">
        <v>-10.224708695652176</v>
      </c>
      <c r="H47" s="197">
        <v>141.9</v>
      </c>
      <c r="I47" s="197">
        <v>80</v>
      </c>
      <c r="J47" s="197">
        <v>15.714285714285715</v>
      </c>
      <c r="K47" s="197">
        <v>115.76753878212543</v>
      </c>
      <c r="L47" s="197">
        <v>19</v>
      </c>
      <c r="M47" s="197">
        <v>115.78405070704147</v>
      </c>
      <c r="N47" s="197">
        <v>32.70218123548846</v>
      </c>
      <c r="O47" s="197">
        <v>25.548888678656688</v>
      </c>
      <c r="P47" s="197">
        <v>1.25002E-2</v>
      </c>
      <c r="Q47" s="197">
        <v>285.39269406392697</v>
      </c>
      <c r="R47" s="197">
        <v>0.55800000000000005</v>
      </c>
      <c r="S47" s="197">
        <v>43.8</v>
      </c>
      <c r="T47" s="197">
        <v>5.0099999999999909</v>
      </c>
      <c r="U47" s="197">
        <v>81.155000000000001</v>
      </c>
      <c r="V47" s="197">
        <v>0.41000000000000369</v>
      </c>
      <c r="W47" s="197">
        <v>61.39340434782607</v>
      </c>
      <c r="X47" s="197">
        <v>-67</v>
      </c>
      <c r="Y47" s="197">
        <v>5.2769968749999796</v>
      </c>
      <c r="Z47" s="197">
        <v>-35.494545043478247</v>
      </c>
    </row>
    <row r="48" spans="1:30" s="197" customFormat="1" x14ac:dyDescent="0.3">
      <c r="A48" s="197" t="s">
        <v>121</v>
      </c>
      <c r="B48" s="197">
        <v>7</v>
      </c>
      <c r="C48" s="197">
        <v>1</v>
      </c>
      <c r="D48" s="197">
        <v>7</v>
      </c>
      <c r="E48" s="197" t="s">
        <v>255</v>
      </c>
      <c r="F48" s="197">
        <v>1.2008766666666668</v>
      </c>
      <c r="G48" s="197">
        <v>-4.857379166666667</v>
      </c>
      <c r="H48" s="197">
        <v>174.4</v>
      </c>
      <c r="I48" s="197">
        <v>68.3</v>
      </c>
      <c r="J48" s="197">
        <v>25.714285714285715</v>
      </c>
      <c r="K48" s="197">
        <v>88.144557073600708</v>
      </c>
      <c r="L48" s="197">
        <v>12</v>
      </c>
      <c r="M48" s="197">
        <v>55.080441876844034</v>
      </c>
      <c r="N48" s="197">
        <v>24.5392751098132</v>
      </c>
      <c r="O48" s="197">
        <v>45.865173476381344</v>
      </c>
      <c r="P48" s="197">
        <v>2.7547599999999998E-2</v>
      </c>
      <c r="Q48" s="197">
        <v>161.87331061229284</v>
      </c>
      <c r="R48" s="197">
        <v>0.15</v>
      </c>
      <c r="S48" s="197">
        <v>170.18</v>
      </c>
      <c r="T48" s="197">
        <v>2.230000000000004</v>
      </c>
      <c r="U48" s="197">
        <v>89.015000000000001</v>
      </c>
      <c r="V48" s="197">
        <v>2.3500000000000014</v>
      </c>
      <c r="W48" s="197">
        <v>75.56153333333333</v>
      </c>
      <c r="X48" s="197">
        <v>-67.7</v>
      </c>
      <c r="Y48" s="197">
        <v>18.154046153846199</v>
      </c>
      <c r="Z48" s="197">
        <v>-35.494545043478247</v>
      </c>
    </row>
    <row r="49" spans="1:26" s="197" customFormat="1" x14ac:dyDescent="0.3">
      <c r="A49" s="197" t="s">
        <v>123</v>
      </c>
      <c r="B49" s="197">
        <v>7</v>
      </c>
      <c r="C49" s="197">
        <v>1</v>
      </c>
      <c r="D49" s="197">
        <v>7</v>
      </c>
      <c r="E49" s="197" t="s">
        <v>255</v>
      </c>
      <c r="F49" s="197">
        <v>0.98320047999999971</v>
      </c>
      <c r="G49" s="197">
        <v>-6.3867240000000001</v>
      </c>
      <c r="H49" s="197">
        <v>152.9</v>
      </c>
      <c r="I49" s="197">
        <v>76</v>
      </c>
      <c r="J49" s="197">
        <v>28</v>
      </c>
      <c r="K49" s="197">
        <v>128.86597938144345</v>
      </c>
      <c r="L49" s="197">
        <v>21</v>
      </c>
      <c r="M49" s="197">
        <v>228.23349968069928</v>
      </c>
      <c r="N49" s="197">
        <v>43.531255441406969</v>
      </c>
      <c r="O49" s="197">
        <v>26.666666666666668</v>
      </c>
      <c r="P49" s="197">
        <v>6.9934999999999997E-3</v>
      </c>
      <c r="Q49" s="197">
        <v>207.5222551928783</v>
      </c>
      <c r="R49" s="197">
        <v>0.75700000000000001</v>
      </c>
      <c r="S49" s="197">
        <v>33.700000000000003</v>
      </c>
      <c r="T49" s="197">
        <v>2.2900000000000063</v>
      </c>
      <c r="U49" s="197">
        <v>31.215</v>
      </c>
      <c r="V49" s="197">
        <v>1.3799999999999955</v>
      </c>
      <c r="W49" s="197">
        <v>61.83</v>
      </c>
      <c r="X49" s="197">
        <v>-69</v>
      </c>
      <c r="Y49" s="197">
        <v>1.3987229166666699</v>
      </c>
      <c r="Z49" s="197">
        <v>-37.244464000000008</v>
      </c>
    </row>
    <row r="50" spans="1:26" s="197" customFormat="1" x14ac:dyDescent="0.3">
      <c r="A50" s="197" t="s">
        <v>125</v>
      </c>
      <c r="B50" s="197">
        <v>7</v>
      </c>
      <c r="C50" s="197">
        <v>1</v>
      </c>
      <c r="D50" s="197">
        <v>6</v>
      </c>
      <c r="E50" s="197" t="s">
        <v>255</v>
      </c>
      <c r="F50" s="197">
        <v>0.89002185185185201</v>
      </c>
      <c r="G50" s="197">
        <v>-18.247251851851853</v>
      </c>
      <c r="H50" s="197">
        <v>223.9</v>
      </c>
      <c r="I50" s="197">
        <v>101.9</v>
      </c>
      <c r="J50" s="197">
        <v>18.461538461538463</v>
      </c>
      <c r="K50" s="197">
        <v>121.06537530266357</v>
      </c>
      <c r="L50" s="197">
        <v>31</v>
      </c>
      <c r="M50" s="197">
        <v>76.45858472469736</v>
      </c>
      <c r="N50" s="197">
        <v>62.034739454094279</v>
      </c>
      <c r="O50" s="197">
        <v>35.444022294136012</v>
      </c>
      <c r="P50" s="197">
        <v>1.8240800000000001E-2</v>
      </c>
      <c r="Q50" s="197">
        <v>207.51763367463028</v>
      </c>
      <c r="R50" s="197">
        <v>0.16</v>
      </c>
      <c r="S50" s="197">
        <v>87.9</v>
      </c>
      <c r="T50" s="197">
        <v>9.9699999999999989</v>
      </c>
      <c r="U50" s="197">
        <v>70.784999999999997</v>
      </c>
      <c r="V50" s="197">
        <v>1.0000000000000001E-5</v>
      </c>
      <c r="W50" s="197">
        <v>78.172466666666665</v>
      </c>
      <c r="X50" s="197">
        <v>-66.84</v>
      </c>
      <c r="Y50" s="197">
        <v>11.189778571428601</v>
      </c>
      <c r="Z50" s="197">
        <v>-50.573285185185185</v>
      </c>
    </row>
    <row r="51" spans="1:26" s="197" customFormat="1" x14ac:dyDescent="0.3">
      <c r="A51" s="197" t="s">
        <v>127</v>
      </c>
      <c r="B51" s="197">
        <v>7</v>
      </c>
      <c r="C51" s="197">
        <v>1</v>
      </c>
      <c r="D51" s="197">
        <v>6</v>
      </c>
      <c r="E51" s="197" t="s">
        <v>255</v>
      </c>
      <c r="F51" s="197">
        <v>1.0208263157894737</v>
      </c>
      <c r="G51" s="197">
        <v>-3.4349222222222218</v>
      </c>
      <c r="H51" s="197">
        <v>130.69999999999999</v>
      </c>
      <c r="I51" s="197">
        <v>70.5</v>
      </c>
      <c r="J51" s="197">
        <v>45</v>
      </c>
      <c r="K51" s="197">
        <v>122.88031457360523</v>
      </c>
      <c r="L51" s="197">
        <v>20</v>
      </c>
      <c r="M51" s="197">
        <v>453.48986374931519</v>
      </c>
      <c r="N51" s="197">
        <v>40.817992571125316</v>
      </c>
      <c r="O51" s="197">
        <v>62.337443794759672</v>
      </c>
      <c r="P51" s="197">
        <v>1.44756E-2</v>
      </c>
      <c r="Q51" s="197">
        <v>224.08049535603718</v>
      </c>
      <c r="R51" s="197">
        <v>0.371</v>
      </c>
      <c r="S51" s="197">
        <v>64.599999999999994</v>
      </c>
      <c r="T51" s="197">
        <v>2.0900000000000034</v>
      </c>
      <c r="U51" s="197">
        <v>31.5</v>
      </c>
      <c r="V51" s="197">
        <v>1.7700000000000031</v>
      </c>
      <c r="W51" s="197">
        <v>63.071799999999996</v>
      </c>
      <c r="X51" s="197">
        <v>-67</v>
      </c>
      <c r="Y51" s="197">
        <v>0.87192976190474802</v>
      </c>
      <c r="Z51" s="197">
        <v>-39.319494736842103</v>
      </c>
    </row>
    <row r="52" spans="1:26" s="197" customFormat="1" x14ac:dyDescent="0.3">
      <c r="A52" s="197" t="s">
        <v>129</v>
      </c>
      <c r="B52" s="197">
        <v>7</v>
      </c>
      <c r="C52" s="197">
        <v>1</v>
      </c>
      <c r="D52" s="197">
        <v>6</v>
      </c>
      <c r="E52" s="197" t="s">
        <v>255</v>
      </c>
      <c r="F52" s="197">
        <v>1.0574189999999999</v>
      </c>
      <c r="G52" s="197">
        <v>-5.5786099999999994</v>
      </c>
      <c r="H52" s="197">
        <v>131.5</v>
      </c>
      <c r="I52" s="197">
        <v>66</v>
      </c>
      <c r="J52" s="197">
        <v>15.555555555555555</v>
      </c>
      <c r="K52" s="197">
        <v>107.57314974182454</v>
      </c>
      <c r="L52" s="197">
        <v>18</v>
      </c>
      <c r="M52" s="197">
        <v>105.85339665833509</v>
      </c>
      <c r="N52" s="197">
        <v>37.707390648567142</v>
      </c>
      <c r="O52" s="197">
        <v>24.459472465910551</v>
      </c>
      <c r="P52" s="197">
        <v>1.25332E-2</v>
      </c>
      <c r="Q52" s="197">
        <v>257.88477366255142</v>
      </c>
      <c r="R52" s="197">
        <v>0.37</v>
      </c>
      <c r="S52" s="197">
        <v>48.6</v>
      </c>
      <c r="T52" s="197">
        <v>5.99</v>
      </c>
      <c r="U52" s="197">
        <v>52.54</v>
      </c>
      <c r="V52" s="197">
        <v>0.68600000000000005</v>
      </c>
      <c r="W52" s="197">
        <v>63.528450000000007</v>
      </c>
      <c r="X52" s="197">
        <v>-60</v>
      </c>
      <c r="Y52" s="197">
        <v>5.9722580645161196</v>
      </c>
      <c r="Z52" s="197">
        <v>-30.976804761904766</v>
      </c>
    </row>
    <row r="53" spans="1:26" s="197" customFormat="1" x14ac:dyDescent="0.3">
      <c r="A53" s="197" t="s">
        <v>131</v>
      </c>
      <c r="B53" s="197">
        <v>7</v>
      </c>
      <c r="C53" s="197">
        <v>1</v>
      </c>
      <c r="D53" s="197">
        <v>6</v>
      </c>
      <c r="E53" s="197" t="s">
        <v>255</v>
      </c>
      <c r="F53" s="197">
        <v>0.81850287499999996</v>
      </c>
      <c r="G53" s="197">
        <v>-8.3326217391304347</v>
      </c>
      <c r="H53" s="197">
        <v>159.80000000000001</v>
      </c>
      <c r="I53" s="197">
        <v>88.1</v>
      </c>
      <c r="J53" s="197">
        <v>16.25</v>
      </c>
      <c r="K53" s="197">
        <v>115.6470452179948</v>
      </c>
      <c r="L53" s="197">
        <v>20</v>
      </c>
      <c r="M53" s="197">
        <v>116.99932353681801</v>
      </c>
      <c r="N53" s="197">
        <v>39.33910306844993</v>
      </c>
      <c r="O53" s="197">
        <v>30.222739974201726</v>
      </c>
      <c r="P53" s="197">
        <v>1.62174E-2</v>
      </c>
      <c r="Q53" s="197">
        <v>397.48529411764707</v>
      </c>
      <c r="R53" s="197">
        <v>0.73</v>
      </c>
      <c r="S53" s="197">
        <v>40.799999999999997</v>
      </c>
      <c r="T53" s="197">
        <v>3.7600000000000051</v>
      </c>
      <c r="U53" s="197">
        <v>115.6470452179948</v>
      </c>
      <c r="V53" s="197">
        <v>0.74000000000000199</v>
      </c>
      <c r="W53" s="197">
        <v>64.631150000000005</v>
      </c>
      <c r="X53" s="197">
        <v>-64.099999999999994</v>
      </c>
      <c r="Y53" s="197">
        <v>2.2313935483870999</v>
      </c>
      <c r="Z53" s="197">
        <v>-29.777524999999997</v>
      </c>
    </row>
    <row r="54" spans="1:26" s="197" customFormat="1" x14ac:dyDescent="0.3">
      <c r="A54" s="197" t="s">
        <v>133</v>
      </c>
      <c r="B54" s="197">
        <v>7</v>
      </c>
      <c r="C54" s="197">
        <v>1</v>
      </c>
      <c r="D54" s="197">
        <v>7</v>
      </c>
      <c r="E54" s="197" t="s">
        <v>255</v>
      </c>
      <c r="F54" s="197">
        <v>0.78418421428571428</v>
      </c>
      <c r="G54" s="197">
        <v>-10.296855555555556</v>
      </c>
      <c r="H54" s="197">
        <v>158</v>
      </c>
      <c r="I54" s="197">
        <v>100</v>
      </c>
      <c r="J54" s="197">
        <v>70</v>
      </c>
      <c r="K54" s="197">
        <v>115.16756881262208</v>
      </c>
      <c r="L54" s="197">
        <v>26</v>
      </c>
      <c r="M54" s="197">
        <v>128.5622013622833</v>
      </c>
      <c r="N54" s="197">
        <v>49.517207229512408</v>
      </c>
      <c r="O54" s="197">
        <v>110.61013151911477</v>
      </c>
      <c r="P54" s="197">
        <v>1.2534500000000001E-2</v>
      </c>
      <c r="Q54" s="197">
        <v>408.28990228013032</v>
      </c>
      <c r="R54" s="197">
        <v>1</v>
      </c>
      <c r="S54" s="197">
        <v>30.7</v>
      </c>
      <c r="T54" s="197">
        <v>1.5499999999999972</v>
      </c>
      <c r="U54" s="197">
        <v>29.7684675</v>
      </c>
      <c r="V54" s="197">
        <v>1.0000000000000001E-5</v>
      </c>
      <c r="W54" s="197">
        <v>63.975742857142862</v>
      </c>
      <c r="X54" s="197">
        <v>-71</v>
      </c>
      <c r="Y54" s="197">
        <v>0.52746543209875796</v>
      </c>
      <c r="Z54" s="197">
        <v>-31.598125925925917</v>
      </c>
    </row>
    <row r="55" spans="1:26" s="197" customFormat="1" x14ac:dyDescent="0.3">
      <c r="A55" s="197" t="s">
        <v>135</v>
      </c>
      <c r="B55" s="197">
        <v>7</v>
      </c>
      <c r="C55" s="197">
        <v>1</v>
      </c>
      <c r="D55" s="197">
        <v>7</v>
      </c>
      <c r="E55" s="197" t="s">
        <v>255</v>
      </c>
      <c r="F55" s="197">
        <v>0.86151679999999997</v>
      </c>
      <c r="G55" s="197">
        <v>-10.367541379310342</v>
      </c>
      <c r="H55" s="197">
        <v>225.1</v>
      </c>
      <c r="I55" s="197">
        <v>96.8</v>
      </c>
      <c r="J55" s="197">
        <v>21.428571428571427</v>
      </c>
      <c r="K55" s="197">
        <v>109.20607185759515</v>
      </c>
      <c r="L55" s="197">
        <v>18</v>
      </c>
      <c r="M55" s="197">
        <v>138.40189381070033</v>
      </c>
      <c r="N55" s="197">
        <v>32.336297493936989</v>
      </c>
      <c r="O55" s="197">
        <v>34.525091625330298</v>
      </c>
      <c r="P55" s="197">
        <v>1.44151E-2</v>
      </c>
      <c r="Q55" s="197">
        <v>266.94629629629634</v>
      </c>
      <c r="R55" s="197">
        <v>0.43</v>
      </c>
      <c r="S55" s="197">
        <v>54</v>
      </c>
      <c r="T55" s="197">
        <v>4.9899999999999949</v>
      </c>
      <c r="U55" s="197">
        <v>89.45</v>
      </c>
      <c r="V55" s="197">
        <v>0.30300000000000438</v>
      </c>
      <c r="W55" s="197">
        <v>77.032476666666696</v>
      </c>
      <c r="X55" s="197">
        <v>-68.400000000000006</v>
      </c>
      <c r="Y55" s="197">
        <v>15.830993749999999</v>
      </c>
      <c r="Z55" s="197">
        <v>-47.304290000000009</v>
      </c>
    </row>
    <row r="56" spans="1:26" s="197" customFormat="1" x14ac:dyDescent="0.3">
      <c r="A56" s="197" t="s">
        <v>137</v>
      </c>
      <c r="B56" s="197">
        <v>7</v>
      </c>
      <c r="C56" s="197">
        <v>1</v>
      </c>
      <c r="D56" s="197">
        <v>7</v>
      </c>
      <c r="E56" s="197" t="s">
        <v>255</v>
      </c>
      <c r="F56" s="197">
        <v>0.90877873333333337</v>
      </c>
      <c r="G56" s="197">
        <v>-7.6125620689655173</v>
      </c>
      <c r="H56" s="197">
        <v>151.80000000000001</v>
      </c>
      <c r="I56" s="197">
        <v>80.400000000000006</v>
      </c>
      <c r="J56" s="197">
        <v>17.272727272727273</v>
      </c>
      <c r="K56" s="197">
        <v>128.98232942086909</v>
      </c>
      <c r="L56" s="197">
        <v>23</v>
      </c>
      <c r="M56" s="197">
        <v>109.54184595490497</v>
      </c>
      <c r="N56" s="197">
        <v>43.94059231918439</v>
      </c>
      <c r="O56" s="197">
        <v>27.448944603548163</v>
      </c>
      <c r="P56" s="197">
        <v>1.0982E-2</v>
      </c>
      <c r="Q56" s="197">
        <v>259.00943396226415</v>
      </c>
      <c r="R56" s="197">
        <v>0.6</v>
      </c>
      <c r="S56" s="197">
        <v>42.4</v>
      </c>
      <c r="T56" s="197">
        <v>4.4199999999999875</v>
      </c>
      <c r="U56" s="197">
        <v>52.45</v>
      </c>
      <c r="V56" s="197">
        <v>1.0000000000000001E-5</v>
      </c>
      <c r="W56" s="197">
        <v>62.408443333333345</v>
      </c>
      <c r="X56" s="197">
        <v>-71.400000000000006</v>
      </c>
      <c r="Y56" s="197">
        <v>3.30607083333333</v>
      </c>
      <c r="Z56" s="197">
        <v>-40.091956666666675</v>
      </c>
    </row>
    <row r="57" spans="1:26" s="197" customFormat="1" x14ac:dyDescent="0.3">
      <c r="A57" s="197" t="s">
        <v>139</v>
      </c>
      <c r="B57" s="197">
        <v>7</v>
      </c>
      <c r="C57" s="197">
        <v>1</v>
      </c>
      <c r="D57" s="197">
        <v>7</v>
      </c>
      <c r="E57" s="197" t="s">
        <v>255</v>
      </c>
      <c r="F57" s="197">
        <v>0.86647752631578956</v>
      </c>
      <c r="G57" s="197">
        <v>-5.8979157894736822</v>
      </c>
      <c r="H57" s="197">
        <v>203.2</v>
      </c>
      <c r="I57" s="197">
        <v>109.5</v>
      </c>
      <c r="J57" s="197">
        <v>15.454545454545455</v>
      </c>
      <c r="K57" s="197">
        <v>113.25028312570765</v>
      </c>
      <c r="L57" s="197">
        <v>23</v>
      </c>
      <c r="M57" s="197">
        <v>90.316010958869398</v>
      </c>
      <c r="N57" s="197">
        <v>43.99859204505443</v>
      </c>
      <c r="O57" s="197">
        <v>24.719523281387051</v>
      </c>
      <c r="P57" s="197">
        <v>1.6459399999999999E-2</v>
      </c>
      <c r="Q57" s="197">
        <v>589.94265232974908</v>
      </c>
      <c r="R57" s="197">
        <v>0.755</v>
      </c>
      <c r="S57" s="197">
        <v>27.9</v>
      </c>
      <c r="T57" s="197">
        <v>4.3499999999999943</v>
      </c>
      <c r="U57" s="197">
        <v>44.924999999999997</v>
      </c>
      <c r="V57" s="197">
        <v>1.0000000000000001E-5</v>
      </c>
      <c r="W57" s="197">
        <v>78.594010526315799</v>
      </c>
      <c r="X57" s="197">
        <v>-66</v>
      </c>
      <c r="Y57" s="197">
        <v>1.0808302083333201</v>
      </c>
      <c r="Z57" s="197">
        <v>-50.129131578947373</v>
      </c>
    </row>
    <row r="58" spans="1:26" s="197" customFormat="1" x14ac:dyDescent="0.3">
      <c r="A58" s="197" t="s">
        <v>141</v>
      </c>
      <c r="B58" s="197">
        <v>7</v>
      </c>
      <c r="C58" s="197">
        <v>1</v>
      </c>
      <c r="D58" s="197">
        <v>6</v>
      </c>
      <c r="E58" s="197" t="s">
        <v>255</v>
      </c>
      <c r="F58" s="197">
        <v>1.2905323529411765</v>
      </c>
      <c r="G58" s="197">
        <v>-8.1367437499999991</v>
      </c>
      <c r="H58" s="197">
        <v>128</v>
      </c>
      <c r="I58" s="197">
        <v>62.9</v>
      </c>
      <c r="J58" s="197">
        <v>16.666666666666668</v>
      </c>
      <c r="K58" s="197">
        <v>82.257135806531338</v>
      </c>
      <c r="L58" s="197">
        <v>15</v>
      </c>
      <c r="M58" s="197">
        <v>115.60549829256625</v>
      </c>
      <c r="N58" s="197">
        <v>27.550486266082576</v>
      </c>
      <c r="O58" s="197">
        <v>30.540057087687131</v>
      </c>
      <c r="P58" s="197">
        <v>4.45466E-3</v>
      </c>
      <c r="Q58" s="197">
        <v>50.392081447963797</v>
      </c>
      <c r="R58" s="197">
        <v>0.45700000000000002</v>
      </c>
      <c r="S58" s="197">
        <v>88.4</v>
      </c>
      <c r="T58" s="197">
        <v>2.2099999999999937</v>
      </c>
      <c r="U58" s="197">
        <v>67.554765000000003</v>
      </c>
      <c r="V58" s="197">
        <v>1.0000000000000001E-5</v>
      </c>
      <c r="W58" s="197">
        <v>65.501500000000007</v>
      </c>
      <c r="X58" s="197">
        <v>-64.7</v>
      </c>
      <c r="Y58" s="197">
        <v>3.98423888888889</v>
      </c>
      <c r="Z58" s="197">
        <v>-36.045081250000003</v>
      </c>
    </row>
    <row r="59" spans="1:26" s="197" customFormat="1" x14ac:dyDescent="0.3">
      <c r="A59" s="197" t="s">
        <v>143</v>
      </c>
      <c r="B59" s="197">
        <v>7</v>
      </c>
      <c r="C59" s="197">
        <v>1</v>
      </c>
      <c r="D59" s="197">
        <v>6</v>
      </c>
      <c r="E59" s="197" t="s">
        <v>255</v>
      </c>
      <c r="F59" s="197">
        <v>1.3524230769230767</v>
      </c>
      <c r="G59" s="197">
        <v>-5.3663846153846135</v>
      </c>
      <c r="H59" s="197">
        <v>125.7</v>
      </c>
      <c r="I59" s="197">
        <v>64.099999999999994</v>
      </c>
      <c r="J59" s="197">
        <v>20</v>
      </c>
      <c r="K59" s="197">
        <v>75.878291220881692</v>
      </c>
      <c r="L59" s="197">
        <v>14</v>
      </c>
      <c r="M59" s="197">
        <v>139.18950899836381</v>
      </c>
      <c r="N59" s="197">
        <v>26.542800265428035</v>
      </c>
      <c r="O59" s="197">
        <v>32.299825908832346</v>
      </c>
      <c r="P59" s="197">
        <v>1.7141099999999999E-2</v>
      </c>
      <c r="Q59" s="197">
        <v>245.92682926829264</v>
      </c>
      <c r="R59" s="197">
        <v>0.23</v>
      </c>
      <c r="S59" s="197">
        <v>69.7</v>
      </c>
      <c r="T59" s="197">
        <v>3.5300000000000011</v>
      </c>
      <c r="U59" s="197">
        <v>99.305000000000007</v>
      </c>
      <c r="V59" s="197">
        <v>1.4499999999999957</v>
      </c>
      <c r="W59" s="197">
        <v>69.993230769230763</v>
      </c>
      <c r="X59" s="197">
        <v>-67.3</v>
      </c>
      <c r="Y59" s="197">
        <v>5.8492020833333198</v>
      </c>
      <c r="Z59" s="197">
        <v>-44.757553846153847</v>
      </c>
    </row>
    <row r="60" spans="1:26" s="197" customFormat="1" x14ac:dyDescent="0.3">
      <c r="A60" s="197" t="s">
        <v>145</v>
      </c>
      <c r="B60" s="197">
        <v>7</v>
      </c>
      <c r="C60" s="197">
        <v>1</v>
      </c>
      <c r="D60" s="197">
        <v>6</v>
      </c>
      <c r="E60" s="197" t="s">
        <v>255</v>
      </c>
      <c r="F60" s="197">
        <v>1.1983709090909092</v>
      </c>
      <c r="G60" s="197">
        <v>-8.0510999999999981</v>
      </c>
      <c r="H60" s="197">
        <v>137.6</v>
      </c>
      <c r="I60" s="197">
        <v>73.900000000000006</v>
      </c>
      <c r="J60" s="197">
        <v>20</v>
      </c>
      <c r="K60" s="197">
        <v>32.124385621125008</v>
      </c>
      <c r="L60" s="197">
        <v>14</v>
      </c>
      <c r="M60" s="197">
        <v>119.56414833837194</v>
      </c>
      <c r="N60" s="197">
        <v>28.752156411730809</v>
      </c>
      <c r="O60" s="197">
        <v>35.564879341529732</v>
      </c>
      <c r="P60" s="197">
        <v>1.47242E-2</v>
      </c>
      <c r="Q60" s="197">
        <v>418.65794711401759</v>
      </c>
      <c r="R60" s="197">
        <v>0.8</v>
      </c>
      <c r="S60" s="197">
        <v>35.17</v>
      </c>
      <c r="T60" s="197">
        <v>3.7109999999999914</v>
      </c>
      <c r="U60" s="197">
        <v>77.069999999999993</v>
      </c>
      <c r="V60" s="197">
        <v>0.96000000000000085</v>
      </c>
      <c r="W60" s="197">
        <v>64.885918181818184</v>
      </c>
      <c r="X60" s="197">
        <v>-64.5</v>
      </c>
      <c r="Y60" s="197">
        <v>2.98818125000001</v>
      </c>
      <c r="Z60" s="197">
        <v>-35.76104545454546</v>
      </c>
    </row>
    <row r="61" spans="1:26" s="197" customFormat="1" x14ac:dyDescent="0.3">
      <c r="A61" s="197" t="s">
        <v>148</v>
      </c>
      <c r="B61" s="197">
        <v>7</v>
      </c>
      <c r="C61" s="197">
        <v>1</v>
      </c>
      <c r="D61" s="197">
        <v>7</v>
      </c>
      <c r="E61" s="197" t="s">
        <v>255</v>
      </c>
      <c r="F61" s="197">
        <v>1.2082150000000003</v>
      </c>
      <c r="G61" s="197">
        <v>-6.5078562500000006</v>
      </c>
      <c r="H61" s="197">
        <v>112.9</v>
      </c>
      <c r="I61" s="197">
        <v>55.8</v>
      </c>
      <c r="J61" s="197">
        <v>30</v>
      </c>
      <c r="K61" s="197">
        <v>110.53387863380129</v>
      </c>
      <c r="L61" s="197">
        <v>24</v>
      </c>
      <c r="M61" s="197">
        <v>81.938922270940935</v>
      </c>
      <c r="N61" s="197">
        <v>45.741469215991287</v>
      </c>
      <c r="O61" s="197">
        <v>43.275339056820101</v>
      </c>
      <c r="P61" s="197">
        <v>1.3509E-2</v>
      </c>
      <c r="Q61" s="197">
        <v>200.72808320950966</v>
      </c>
      <c r="R61" s="197">
        <v>0.56000000000000005</v>
      </c>
      <c r="S61" s="197">
        <v>67.3</v>
      </c>
      <c r="T61" s="197">
        <v>3.1499999999999915</v>
      </c>
      <c r="U61" s="197">
        <v>36.085000000000001</v>
      </c>
      <c r="V61" s="197">
        <v>1E-4</v>
      </c>
      <c r="W61" s="197">
        <v>55.046068749999996</v>
      </c>
      <c r="X61" s="197">
        <v>-66.7</v>
      </c>
      <c r="Y61" s="197">
        <v>2.31512528735631</v>
      </c>
      <c r="Z61" s="197">
        <v>-23.14376875</v>
      </c>
    </row>
    <row r="62" spans="1:26" s="197" customFormat="1" x14ac:dyDescent="0.3">
      <c r="A62" s="197" t="s">
        <v>150</v>
      </c>
      <c r="B62" s="197">
        <v>7</v>
      </c>
      <c r="C62" s="197">
        <v>1</v>
      </c>
      <c r="D62" s="197">
        <v>7</v>
      </c>
      <c r="E62" s="197" t="s">
        <v>255</v>
      </c>
      <c r="F62" s="197">
        <v>0.86603200000000025</v>
      </c>
      <c r="G62" s="197">
        <v>-12.637494736842106</v>
      </c>
      <c r="H62" s="197">
        <v>178.8</v>
      </c>
      <c r="I62" s="197">
        <v>109.6</v>
      </c>
      <c r="J62" s="197">
        <v>33.333333333333336</v>
      </c>
      <c r="K62" s="197">
        <v>109.89010989010961</v>
      </c>
      <c r="L62" s="197">
        <v>27</v>
      </c>
      <c r="M62" s="197">
        <v>171.64504335908399</v>
      </c>
      <c r="N62" s="197">
        <v>53.561863952865352</v>
      </c>
      <c r="O62" s="197">
        <v>53.270876933576353</v>
      </c>
      <c r="P62" s="197">
        <v>1.6214099999999999E-2</v>
      </c>
      <c r="Q62" s="197">
        <v>302.50186567164172</v>
      </c>
      <c r="R62" s="197">
        <v>0.36</v>
      </c>
      <c r="S62" s="197">
        <v>53.6</v>
      </c>
      <c r="T62" s="197">
        <v>2.7800000000000011</v>
      </c>
      <c r="U62" s="197">
        <v>189.375</v>
      </c>
      <c r="V62" s="197">
        <v>0.76999999999999602</v>
      </c>
      <c r="W62" s="197">
        <v>70.897163157894724</v>
      </c>
      <c r="X62" s="197">
        <v>-66.8</v>
      </c>
      <c r="Y62" s="197">
        <v>2.7360597701149398</v>
      </c>
      <c r="Z62" s="197">
        <v>-39.441568421052629</v>
      </c>
    </row>
    <row r="63" spans="1:26" s="197" customFormat="1" x14ac:dyDescent="0.3">
      <c r="A63" s="197" t="s">
        <v>152</v>
      </c>
      <c r="B63" s="197">
        <v>7</v>
      </c>
      <c r="C63" s="197">
        <v>1</v>
      </c>
      <c r="D63" s="197">
        <v>7</v>
      </c>
      <c r="E63" s="197" t="s">
        <v>255</v>
      </c>
      <c r="F63" s="197">
        <v>0.94637957692307695</v>
      </c>
      <c r="G63" s="197">
        <v>-11.218730769230771</v>
      </c>
      <c r="H63" s="197">
        <v>201.5</v>
      </c>
      <c r="I63" s="197">
        <v>97.6</v>
      </c>
      <c r="J63" s="197">
        <v>22.5</v>
      </c>
      <c r="K63" s="197">
        <v>134.95276653171396</v>
      </c>
      <c r="L63" s="197">
        <v>27</v>
      </c>
      <c r="M63" s="197">
        <v>109.8188002046241</v>
      </c>
      <c r="N63" s="197">
        <v>52.246603970741937</v>
      </c>
      <c r="O63" s="197">
        <v>36.666304560431975</v>
      </c>
      <c r="P63" s="197">
        <v>1.3807E-2</v>
      </c>
      <c r="Q63" s="197">
        <v>202.7459618208517</v>
      </c>
      <c r="R63" s="197">
        <v>0.4</v>
      </c>
      <c r="S63" s="197">
        <v>68.099999999999994</v>
      </c>
      <c r="T63" s="197">
        <v>6.0899999999999963</v>
      </c>
      <c r="U63" s="197">
        <v>52.98</v>
      </c>
      <c r="V63" s="197">
        <v>0.1699999999999946</v>
      </c>
      <c r="W63" s="197">
        <v>72.798507692307695</v>
      </c>
      <c r="X63" s="197">
        <v>-63</v>
      </c>
      <c r="Y63" s="197">
        <v>2.59574827586209</v>
      </c>
      <c r="Z63" s="197">
        <v>-42.562630769230772</v>
      </c>
    </row>
    <row r="64" spans="1:26" s="197" customFormat="1" x14ac:dyDescent="0.3">
      <c r="A64" s="197" t="s">
        <v>154</v>
      </c>
      <c r="B64" s="197">
        <v>7</v>
      </c>
      <c r="C64" s="197">
        <v>1</v>
      </c>
      <c r="D64" s="197">
        <v>7</v>
      </c>
      <c r="E64" s="197" t="s">
        <v>255</v>
      </c>
      <c r="F64" s="197">
        <v>1.0822286363636364</v>
      </c>
      <c r="G64" s="197">
        <v>-10.889231818181818</v>
      </c>
      <c r="H64" s="197">
        <v>119.7</v>
      </c>
      <c r="I64" s="197">
        <v>80</v>
      </c>
      <c r="J64" s="197">
        <v>21.962518671750324</v>
      </c>
      <c r="K64" s="197">
        <v>109.15838882218097</v>
      </c>
      <c r="L64" s="197">
        <v>25</v>
      </c>
      <c r="M64" s="197">
        <v>84.78499547129455</v>
      </c>
      <c r="N64" s="197">
        <v>43.325679130020546</v>
      </c>
      <c r="O64" s="197">
        <v>36.229529707218894</v>
      </c>
      <c r="P64" s="197">
        <v>1.05722E-2</v>
      </c>
      <c r="Q64" s="197">
        <v>298.64971751412429</v>
      </c>
      <c r="R64" s="197">
        <v>0.56000000000000005</v>
      </c>
      <c r="S64" s="197">
        <v>35.4</v>
      </c>
      <c r="T64" s="197">
        <v>4.6470000000000056</v>
      </c>
      <c r="U64" s="197">
        <v>48.674999999999997</v>
      </c>
      <c r="V64" s="197">
        <v>0.79000000000000625</v>
      </c>
      <c r="W64" s="197">
        <v>58.427281818181811</v>
      </c>
      <c r="X64" s="197">
        <v>-66</v>
      </c>
      <c r="Y64" s="197">
        <v>3.2973011494252802</v>
      </c>
      <c r="Z64" s="197">
        <v>-45.042724</v>
      </c>
    </row>
    <row r="65" spans="1:26" s="197" customFormat="1" ht="15" thickBot="1" x14ac:dyDescent="0.35">
      <c r="A65" s="197" t="s">
        <v>156</v>
      </c>
      <c r="B65" s="197">
        <v>7</v>
      </c>
      <c r="C65" s="197">
        <v>1</v>
      </c>
      <c r="D65" s="197">
        <v>7</v>
      </c>
      <c r="E65" s="197" t="s">
        <v>255</v>
      </c>
      <c r="F65" s="197">
        <v>0.9336488235294117</v>
      </c>
      <c r="G65" s="197">
        <v>-12.199847058823531</v>
      </c>
      <c r="H65" s="197">
        <v>163.1</v>
      </c>
      <c r="I65" s="197">
        <v>91</v>
      </c>
      <c r="J65" s="197">
        <v>19.110367652929341</v>
      </c>
      <c r="K65" s="197">
        <v>125.86532410320922</v>
      </c>
      <c r="L65" s="197">
        <v>20</v>
      </c>
      <c r="M65" s="197">
        <v>166.11920521259412</v>
      </c>
      <c r="N65" s="197">
        <v>39.38868756893033</v>
      </c>
      <c r="O65" s="197">
        <v>41.630234860934529</v>
      </c>
      <c r="P65" s="197">
        <v>1.63032E-2</v>
      </c>
      <c r="Q65" s="197">
        <v>286.52372583479792</v>
      </c>
      <c r="R65" s="197">
        <v>0.36</v>
      </c>
      <c r="S65" s="197">
        <v>56.9</v>
      </c>
      <c r="T65" s="197">
        <v>4.0679999999999978</v>
      </c>
      <c r="U65" s="197">
        <v>97.013069999999999</v>
      </c>
      <c r="V65" s="197">
        <v>1.7259999999999991</v>
      </c>
      <c r="W65" s="197">
        <v>71.888647058823523</v>
      </c>
      <c r="X65" s="197">
        <v>-60</v>
      </c>
      <c r="Y65" s="197">
        <v>5.4019632183908</v>
      </c>
      <c r="Z65" s="197">
        <v>-34.251494117647049</v>
      </c>
    </row>
    <row r="66" spans="1:26" s="203" customFormat="1" ht="15" thickBot="1" x14ac:dyDescent="0.35">
      <c r="A66" s="202" t="s">
        <v>95</v>
      </c>
      <c r="B66" s="203">
        <v>7</v>
      </c>
      <c r="C66" s="203">
        <v>2</v>
      </c>
      <c r="D66" s="203">
        <v>7</v>
      </c>
      <c r="E66" s="203" t="s">
        <v>256</v>
      </c>
      <c r="F66" s="203">
        <v>0.72852476666666677</v>
      </c>
      <c r="G66" s="203">
        <v>-17.29837666666667</v>
      </c>
      <c r="H66" s="203">
        <v>221.8</v>
      </c>
      <c r="I66" s="203">
        <v>115.64</v>
      </c>
      <c r="J66" s="203">
        <v>27.5</v>
      </c>
      <c r="K66" s="203">
        <v>180.53800324968361</v>
      </c>
      <c r="L66" s="203">
        <v>39</v>
      </c>
      <c r="M66" s="203">
        <v>188.69350118010291</v>
      </c>
      <c r="N66" s="203">
        <v>73.69739848183319</v>
      </c>
      <c r="O66" s="203">
        <v>44.550940601829687</v>
      </c>
      <c r="P66" s="203">
        <v>1.17E-2</v>
      </c>
      <c r="Q66" s="203">
        <v>292.04368174726989</v>
      </c>
      <c r="R66" s="203">
        <v>0.54</v>
      </c>
      <c r="S66" s="203">
        <v>40.0625</v>
      </c>
      <c r="W66" s="203">
        <v>77.099999999999994</v>
      </c>
      <c r="X66" s="203">
        <v>-64</v>
      </c>
      <c r="Y66" s="203">
        <v>2.2888177083333301</v>
      </c>
      <c r="Z66" s="203">
        <v>-36.394756666666666</v>
      </c>
    </row>
    <row r="67" spans="1:26" s="197" customFormat="1" x14ac:dyDescent="0.3">
      <c r="A67" s="197" t="s">
        <v>97</v>
      </c>
      <c r="B67" s="197">
        <v>7</v>
      </c>
      <c r="C67" s="197">
        <v>2</v>
      </c>
      <c r="D67" s="197">
        <v>7</v>
      </c>
      <c r="E67" s="197" t="s">
        <v>256</v>
      </c>
      <c r="F67" s="197">
        <v>0.76785043333333336</v>
      </c>
      <c r="G67" s="197">
        <v>-13.92721666666667</v>
      </c>
      <c r="H67" s="197">
        <v>231.33</v>
      </c>
      <c r="I67" s="197">
        <v>107.7</v>
      </c>
      <c r="J67" s="197">
        <v>15.555555555555555</v>
      </c>
      <c r="K67" s="197">
        <v>183.2172957127153</v>
      </c>
      <c r="L67" s="197">
        <v>26</v>
      </c>
      <c r="M67" s="197">
        <v>114.59361751595532</v>
      </c>
      <c r="N67" s="197">
        <v>54.02485143165859</v>
      </c>
      <c r="O67" s="197">
        <v>24.780131736410336</v>
      </c>
      <c r="P67" s="197">
        <v>1.18701E-2</v>
      </c>
      <c r="Q67" s="197">
        <v>239.49760403530894</v>
      </c>
      <c r="R67" s="197">
        <v>0.42</v>
      </c>
      <c r="S67" s="197">
        <v>49.5625</v>
      </c>
      <c r="W67" s="197">
        <v>80.5</v>
      </c>
      <c r="X67" s="197">
        <v>-65</v>
      </c>
      <c r="Y67" s="197">
        <v>3.3537552083333302</v>
      </c>
      <c r="Z67" s="197">
        <v>-39.009599999999999</v>
      </c>
    </row>
    <row r="68" spans="1:26" s="197" customFormat="1" x14ac:dyDescent="0.3">
      <c r="A68" s="197" t="s">
        <v>99</v>
      </c>
      <c r="B68" s="197">
        <v>7</v>
      </c>
      <c r="C68" s="197">
        <v>2</v>
      </c>
      <c r="D68" s="197">
        <v>7</v>
      </c>
      <c r="E68" s="197" t="s">
        <v>256</v>
      </c>
      <c r="F68" s="197">
        <v>0.86486243333333312</v>
      </c>
      <c r="G68" s="197">
        <v>-18.934626666666659</v>
      </c>
      <c r="H68" s="197">
        <v>180.7</v>
      </c>
      <c r="I68" s="197">
        <v>87.9</v>
      </c>
      <c r="J68" s="197">
        <v>15.65217391304348</v>
      </c>
      <c r="K68" s="197">
        <v>150.3759398496239</v>
      </c>
      <c r="L68" s="197">
        <v>25</v>
      </c>
      <c r="M68" s="197">
        <v>98.195388400995199</v>
      </c>
      <c r="N68" s="197">
        <v>53.89</v>
      </c>
      <c r="O68" s="197">
        <v>25.401948851858794</v>
      </c>
      <c r="P68" s="197">
        <v>1.2354499999999999E-2</v>
      </c>
      <c r="Q68" s="197">
        <v>234.20853080568719</v>
      </c>
      <c r="R68" s="197">
        <v>0.4</v>
      </c>
      <c r="S68" s="197">
        <v>52.75</v>
      </c>
      <c r="W68" s="197">
        <v>72.5</v>
      </c>
      <c r="X68" s="197">
        <v>-64.5</v>
      </c>
      <c r="Y68" s="197">
        <v>5.2181283950616999</v>
      </c>
      <c r="Z68" s="197">
        <v>-21.799723333333329</v>
      </c>
    </row>
    <row r="69" spans="1:26" s="197" customFormat="1" x14ac:dyDescent="0.3">
      <c r="A69" s="197" t="s">
        <v>101</v>
      </c>
      <c r="B69" s="197">
        <v>7</v>
      </c>
      <c r="C69" s="197">
        <v>2</v>
      </c>
      <c r="D69" s="197">
        <v>7</v>
      </c>
      <c r="E69" s="197" t="s">
        <v>256</v>
      </c>
      <c r="F69" s="197">
        <v>0.58078639534883736</v>
      </c>
      <c r="G69" s="197">
        <v>-18.061081395348829</v>
      </c>
      <c r="H69" s="197">
        <v>333.92</v>
      </c>
      <c r="I69" s="197">
        <v>163.19999999999999</v>
      </c>
      <c r="J69" s="197">
        <v>13.461538461538462</v>
      </c>
      <c r="K69" s="197">
        <v>175.43859649122751</v>
      </c>
      <c r="L69" s="197">
        <v>41</v>
      </c>
      <c r="M69" s="197">
        <v>60.243240097915617</v>
      </c>
      <c r="N69" s="197">
        <v>80.276149955848155</v>
      </c>
      <c r="O69" s="197">
        <v>22.465448417811601</v>
      </c>
      <c r="P69" s="197">
        <v>1.28363E-2</v>
      </c>
      <c r="Q69" s="197">
        <v>593.07190297429975</v>
      </c>
      <c r="R69" s="197">
        <v>0.8</v>
      </c>
      <c r="S69" s="197">
        <v>21.643750000000001</v>
      </c>
      <c r="W69" s="197">
        <v>80.2</v>
      </c>
      <c r="X69" s="197">
        <v>-65</v>
      </c>
      <c r="Y69" s="197">
        <v>3.6588279569892399</v>
      </c>
      <c r="Z69" s="197">
        <v>-40.877586046511624</v>
      </c>
    </row>
    <row r="70" spans="1:26" s="197" customFormat="1" x14ac:dyDescent="0.3">
      <c r="A70" s="197" t="s">
        <v>104</v>
      </c>
      <c r="B70" s="197">
        <v>7</v>
      </c>
      <c r="C70" s="197">
        <v>2</v>
      </c>
      <c r="D70" s="197">
        <v>7</v>
      </c>
      <c r="E70" s="197" t="s">
        <v>256</v>
      </c>
      <c r="F70" s="197">
        <v>0.67242964102564085</v>
      </c>
      <c r="G70" s="197">
        <v>-14.020871794871789</v>
      </c>
      <c r="H70" s="197">
        <v>204.8</v>
      </c>
      <c r="I70" s="197">
        <v>105.6</v>
      </c>
      <c r="J70" s="197">
        <v>15.454545454545453</v>
      </c>
      <c r="K70" s="197">
        <v>185.56318426424161</v>
      </c>
      <c r="L70" s="197">
        <v>34</v>
      </c>
      <c r="M70" s="197">
        <v>136.07609055434267</v>
      </c>
      <c r="N70" s="197">
        <v>67.006164567140274</v>
      </c>
      <c r="O70" s="197">
        <v>28.822095302577118</v>
      </c>
      <c r="P70" s="197">
        <v>1.1466499999999999E-2</v>
      </c>
      <c r="Q70" s="197">
        <v>597.60260586319214</v>
      </c>
      <c r="R70" s="197">
        <v>1.3</v>
      </c>
      <c r="S70" s="197">
        <v>19.1875</v>
      </c>
      <c r="W70" s="197">
        <v>65.400000000000006</v>
      </c>
      <c r="X70" s="197">
        <v>-62</v>
      </c>
      <c r="Y70" s="197">
        <v>3.5253057471264477</v>
      </c>
      <c r="Z70" s="197">
        <v>-15.201274358974359</v>
      </c>
    </row>
    <row r="71" spans="1:26" s="197" customFormat="1" x14ac:dyDescent="0.3">
      <c r="A71" s="197" t="s">
        <v>108</v>
      </c>
      <c r="B71" s="197">
        <v>7</v>
      </c>
      <c r="C71" s="197">
        <v>2</v>
      </c>
      <c r="D71" s="197">
        <v>6</v>
      </c>
      <c r="E71" s="197" t="s">
        <v>256</v>
      </c>
      <c r="F71" s="197">
        <v>0.71984819999999994</v>
      </c>
      <c r="G71" s="197">
        <v>-8.6685266666666685</v>
      </c>
      <c r="H71" s="197">
        <v>170</v>
      </c>
      <c r="I71" s="197">
        <v>102.4</v>
      </c>
      <c r="J71" s="197">
        <v>15.600000000000062</v>
      </c>
      <c r="K71" s="197">
        <v>216.73168617251821</v>
      </c>
      <c r="L71" s="197">
        <v>46</v>
      </c>
      <c r="M71" s="197">
        <v>77.113743673654596</v>
      </c>
      <c r="N71" s="197">
        <v>97.751710654936829</v>
      </c>
      <c r="O71" s="197">
        <v>26.489868525839825</v>
      </c>
      <c r="P71" s="197">
        <v>1.5702600000000001E-2</v>
      </c>
      <c r="Q71" s="197">
        <v>596.91518175338558</v>
      </c>
      <c r="R71" s="197">
        <v>1.1000000000000001</v>
      </c>
      <c r="S71" s="197">
        <v>26.306249999999999</v>
      </c>
      <c r="W71" s="197">
        <v>66.900000000000006</v>
      </c>
      <c r="X71" s="197">
        <v>-62</v>
      </c>
      <c r="Y71" s="197">
        <v>0.381470238095234</v>
      </c>
      <c r="Z71" s="197">
        <v>-27.40020333333333</v>
      </c>
    </row>
    <row r="72" spans="1:26" s="197" customFormat="1" x14ac:dyDescent="0.3">
      <c r="A72" s="197" t="s">
        <v>114</v>
      </c>
      <c r="B72" s="197">
        <v>7</v>
      </c>
      <c r="C72" s="197">
        <v>2</v>
      </c>
      <c r="D72" s="197">
        <v>7</v>
      </c>
      <c r="E72" s="197" t="s">
        <v>256</v>
      </c>
      <c r="F72" s="197">
        <v>0.95615986666666664</v>
      </c>
      <c r="G72" s="197">
        <v>-14.080819999999999</v>
      </c>
      <c r="H72" s="197">
        <v>137.5</v>
      </c>
      <c r="I72" s="197">
        <v>77.400000000000006</v>
      </c>
      <c r="J72" s="197">
        <v>19.047619047619047</v>
      </c>
      <c r="K72" s="197">
        <v>163.61256544502629</v>
      </c>
      <c r="L72" s="197">
        <v>35</v>
      </c>
      <c r="M72" s="197">
        <v>63.545220995432544</v>
      </c>
      <c r="N72" s="197">
        <v>65.997888067582139</v>
      </c>
      <c r="O72" s="197">
        <v>31.62501734827423</v>
      </c>
      <c r="P72" s="197">
        <v>1.6097299999999998E-2</v>
      </c>
      <c r="Q72" s="197">
        <v>415.59294320137695</v>
      </c>
      <c r="R72" s="197">
        <v>0.4</v>
      </c>
      <c r="S72" s="197">
        <v>38.733333333333327</v>
      </c>
      <c r="W72" s="197">
        <v>64.7</v>
      </c>
      <c r="X72" s="197">
        <v>-60</v>
      </c>
      <c r="Y72" s="197">
        <v>2.9790964285714301</v>
      </c>
      <c r="Z72" s="197">
        <v>-23.12621333333334</v>
      </c>
    </row>
    <row r="73" spans="1:26" s="197" customFormat="1" x14ac:dyDescent="0.3">
      <c r="A73" s="197" t="s">
        <v>116</v>
      </c>
      <c r="B73" s="197">
        <v>7</v>
      </c>
      <c r="C73" s="197">
        <v>2</v>
      </c>
      <c r="D73" s="197">
        <v>7</v>
      </c>
      <c r="E73" s="197" t="s">
        <v>256</v>
      </c>
      <c r="F73" s="197">
        <v>1.2990516666666669</v>
      </c>
      <c r="G73" s="197">
        <v>-16.77653333333333</v>
      </c>
      <c r="H73" s="197">
        <v>102.3</v>
      </c>
      <c r="I73" s="197">
        <v>49.8</v>
      </c>
      <c r="J73" s="197">
        <v>15.714285714285714</v>
      </c>
      <c r="K73" s="197">
        <v>114.968958381237</v>
      </c>
      <c r="L73" s="197">
        <v>26</v>
      </c>
      <c r="M73" s="197">
        <v>71.061736718958855</v>
      </c>
      <c r="N73" s="197">
        <v>51.075131518463643</v>
      </c>
      <c r="O73" s="197">
        <v>24.939096556705302</v>
      </c>
      <c r="P73" s="197">
        <v>2.0426300000000001E-2</v>
      </c>
      <c r="Q73" s="197">
        <v>169.5597675705589</v>
      </c>
      <c r="R73" s="197">
        <v>0.2</v>
      </c>
      <c r="S73" s="197">
        <v>120.4666666666667</v>
      </c>
      <c r="W73" s="197">
        <v>56.900000000000006</v>
      </c>
      <c r="X73" s="197">
        <v>-67</v>
      </c>
      <c r="Y73" s="197">
        <v>7.2594833333333497</v>
      </c>
      <c r="Z73" s="197">
        <v>-14.419556666666665</v>
      </c>
    </row>
    <row r="74" spans="1:26" s="197" customFormat="1" x14ac:dyDescent="0.3">
      <c r="A74" s="197" t="s">
        <v>118</v>
      </c>
      <c r="B74" s="197">
        <v>7</v>
      </c>
      <c r="C74" s="197">
        <v>2</v>
      </c>
      <c r="D74" s="197">
        <v>7</v>
      </c>
      <c r="E74" s="197" t="s">
        <v>256</v>
      </c>
      <c r="F74" s="197">
        <v>1.0104812999999999</v>
      </c>
      <c r="G74" s="197">
        <v>-10.576370000000001</v>
      </c>
      <c r="H74" s="197">
        <v>182.3</v>
      </c>
      <c r="I74" s="197">
        <v>74.599999999999994</v>
      </c>
      <c r="J74" s="197">
        <v>25.714285714285715</v>
      </c>
      <c r="K74" s="197">
        <v>164.7717910693685</v>
      </c>
      <c r="L74" s="197">
        <v>27</v>
      </c>
      <c r="M74" s="197">
        <v>137.39369542876432</v>
      </c>
      <c r="N74" s="197">
        <v>47.621315300728547</v>
      </c>
      <c r="O74" s="197">
        <v>43.411458259252882</v>
      </c>
      <c r="P74" s="197">
        <v>1.3561699999999999E-2</v>
      </c>
      <c r="Q74" s="197">
        <v>316.86214953271025</v>
      </c>
      <c r="R74" s="197">
        <v>0.35</v>
      </c>
      <c r="S74" s="197">
        <v>42.8</v>
      </c>
      <c r="W74" s="197">
        <v>76.099999999999994</v>
      </c>
      <c r="X74" s="197">
        <v>-62</v>
      </c>
      <c r="Y74" s="197">
        <v>4.6454533333333297</v>
      </c>
      <c r="Z74" s="197">
        <v>-42.39298666666668</v>
      </c>
    </row>
    <row r="75" spans="1:26" s="197" customFormat="1" x14ac:dyDescent="0.3">
      <c r="A75" s="197" t="s">
        <v>120</v>
      </c>
      <c r="B75" s="197">
        <v>7</v>
      </c>
      <c r="C75" s="197">
        <v>2</v>
      </c>
      <c r="D75" s="197">
        <v>6</v>
      </c>
      <c r="E75" s="197" t="s">
        <v>256</v>
      </c>
      <c r="F75" s="197">
        <v>1.1067776666666671</v>
      </c>
      <c r="G75" s="197">
        <v>-5.6448852272727272</v>
      </c>
      <c r="H75" s="197">
        <v>159.9</v>
      </c>
      <c r="I75" s="197">
        <v>81.099999999999994</v>
      </c>
      <c r="J75" s="197">
        <v>14.615384615384617</v>
      </c>
      <c r="K75" s="197">
        <v>114.2074006395614</v>
      </c>
      <c r="L75" s="197">
        <v>23</v>
      </c>
      <c r="M75" s="197">
        <v>82.23745434577809</v>
      </c>
      <c r="N75" s="197">
        <v>41.946308724832363</v>
      </c>
      <c r="O75" s="197">
        <v>25.439276808248259</v>
      </c>
      <c r="P75" s="197">
        <v>1.7289599999999999E-2</v>
      </c>
      <c r="Q75" s="197">
        <v>212.57704918032783</v>
      </c>
      <c r="R75" s="197">
        <v>0.2</v>
      </c>
      <c r="S75" s="197">
        <v>81.333333333333343</v>
      </c>
      <c r="W75" s="197">
        <v>81.5</v>
      </c>
      <c r="X75" s="197">
        <v>-60</v>
      </c>
      <c r="Y75" s="197">
        <v>7.6622096774193302</v>
      </c>
      <c r="Z75" s="197">
        <v>-32.253006666666664</v>
      </c>
    </row>
    <row r="76" spans="1:26" s="197" customFormat="1" x14ac:dyDescent="0.3">
      <c r="A76" s="197" t="s">
        <v>122</v>
      </c>
      <c r="B76" s="197">
        <v>7</v>
      </c>
      <c r="C76" s="197">
        <v>2</v>
      </c>
      <c r="D76" s="197">
        <v>6</v>
      </c>
      <c r="E76" s="197" t="s">
        <v>256</v>
      </c>
      <c r="F76" s="197">
        <v>0.89301147999999986</v>
      </c>
      <c r="G76" s="197">
        <v>-3.147071232876713</v>
      </c>
      <c r="H76" s="197">
        <v>148.4</v>
      </c>
      <c r="I76" s="197">
        <v>73.3</v>
      </c>
      <c r="J76" s="197">
        <v>22</v>
      </c>
      <c r="K76" s="197">
        <v>98.54158454867958</v>
      </c>
      <c r="L76" s="197">
        <v>19</v>
      </c>
      <c r="M76" s="197">
        <v>67.214819689174846</v>
      </c>
      <c r="N76" s="197">
        <v>35.560613064969118</v>
      </c>
      <c r="O76" s="197">
        <v>37.671143427174215</v>
      </c>
      <c r="P76" s="197">
        <v>7.0925600000000004E-3</v>
      </c>
      <c r="Q76" s="197">
        <v>340.98846153846154</v>
      </c>
      <c r="R76" s="197">
        <v>1.25</v>
      </c>
      <c r="S76" s="197">
        <v>20.8</v>
      </c>
      <c r="W76" s="197">
        <v>69</v>
      </c>
      <c r="X76" s="197">
        <v>-67</v>
      </c>
      <c r="Y76" s="197">
        <v>1.00084516129032</v>
      </c>
      <c r="Z76" s="197">
        <v>-40.038456000000004</v>
      </c>
    </row>
    <row r="77" spans="1:26" s="197" customFormat="1" x14ac:dyDescent="0.3">
      <c r="A77" s="197" t="s">
        <v>124</v>
      </c>
      <c r="B77" s="197">
        <v>7</v>
      </c>
      <c r="C77" s="197">
        <v>2</v>
      </c>
      <c r="E77" s="197" t="s">
        <v>256</v>
      </c>
      <c r="F77" s="197">
        <v>1.5</v>
      </c>
      <c r="G77" s="197">
        <v>-24.305566666666664</v>
      </c>
      <c r="H77" s="197">
        <v>173.6</v>
      </c>
      <c r="I77" s="197">
        <v>51.7</v>
      </c>
      <c r="J77" s="197">
        <v>36</v>
      </c>
      <c r="K77" s="197">
        <v>116.85</v>
      </c>
      <c r="L77" s="197">
        <v>20</v>
      </c>
      <c r="M77" s="197">
        <v>75.227112261535126</v>
      </c>
      <c r="N77" s="197">
        <v>41.088000000000001</v>
      </c>
      <c r="O77" s="197">
        <v>66.623105304993118</v>
      </c>
      <c r="P77" s="197">
        <v>3.8369E-2</v>
      </c>
      <c r="Q77" s="197">
        <v>201.94210526315791</v>
      </c>
      <c r="R77" s="197">
        <v>0.1</v>
      </c>
      <c r="S77" s="197">
        <v>190</v>
      </c>
      <c r="T77" s="197">
        <v>12.479999999999997</v>
      </c>
      <c r="U77" s="197">
        <v>137</v>
      </c>
      <c r="V77" s="197">
        <v>1.0000000000000001E-5</v>
      </c>
      <c r="W77" s="197">
        <v>80.5</v>
      </c>
      <c r="X77" s="197">
        <v>-67.5</v>
      </c>
      <c r="Y77" s="197">
        <v>6.8664541666666503</v>
      </c>
      <c r="Z77" s="197">
        <v>-50.130200000000002</v>
      </c>
    </row>
    <row r="78" spans="1:26" s="197" customFormat="1" x14ac:dyDescent="0.3">
      <c r="A78" s="197" t="s">
        <v>126</v>
      </c>
      <c r="B78" s="197">
        <v>7</v>
      </c>
      <c r="C78" s="197">
        <v>2</v>
      </c>
      <c r="D78" s="197">
        <v>7</v>
      </c>
      <c r="E78" s="197" t="s">
        <v>256</v>
      </c>
      <c r="F78" s="197">
        <v>0.90130440909090903</v>
      </c>
      <c r="G78" s="197">
        <v>-11.599450000000003</v>
      </c>
      <c r="H78" s="197">
        <v>184.3</v>
      </c>
      <c r="I78" s="197">
        <v>79.8</v>
      </c>
      <c r="J78" s="197">
        <v>22.222222222222225</v>
      </c>
      <c r="K78" s="197">
        <v>141.26289023873468</v>
      </c>
      <c r="L78" s="197">
        <v>23</v>
      </c>
      <c r="M78" s="197">
        <v>143.5779682518349</v>
      </c>
      <c r="N78" s="197">
        <v>52.350539210553933</v>
      </c>
      <c r="O78" s="197">
        <v>39.339279575535457</v>
      </c>
      <c r="P78" s="197">
        <v>7.8779000000000002E-3</v>
      </c>
      <c r="Q78" s="197">
        <v>177.4301801801802</v>
      </c>
      <c r="R78" s="197">
        <v>0.83</v>
      </c>
      <c r="S78" s="197">
        <v>44.4</v>
      </c>
      <c r="T78" s="197">
        <v>3.3999999999999915</v>
      </c>
      <c r="U78" s="197">
        <v>45.784999999999997</v>
      </c>
      <c r="V78" s="197">
        <v>2.2899999999999991</v>
      </c>
      <c r="W78" s="197">
        <v>73.400000000000006</v>
      </c>
      <c r="X78" s="197">
        <v>-65</v>
      </c>
      <c r="Y78" s="197">
        <v>2.8876838709677402</v>
      </c>
      <c r="Z78" s="197">
        <v>-37.600436363636362</v>
      </c>
    </row>
    <row r="79" spans="1:26" s="197" customFormat="1" x14ac:dyDescent="0.3">
      <c r="A79" s="197" t="s">
        <v>128</v>
      </c>
      <c r="B79" s="197">
        <v>7</v>
      </c>
      <c r="C79" s="197">
        <v>2</v>
      </c>
      <c r="D79" s="197">
        <v>7</v>
      </c>
      <c r="E79" s="197" t="s">
        <v>256</v>
      </c>
      <c r="F79" s="197">
        <v>1.1050270000000002</v>
      </c>
      <c r="G79" s="197">
        <v>-12.4587915</v>
      </c>
      <c r="H79" s="197">
        <v>142.44</v>
      </c>
      <c r="I79" s="197">
        <v>72.28</v>
      </c>
      <c r="J79" s="197">
        <v>26.666666666666668</v>
      </c>
      <c r="K79" s="197">
        <v>109.22992900054614</v>
      </c>
      <c r="L79" s="197">
        <v>23</v>
      </c>
      <c r="M79" s="197">
        <v>133.67994067747441</v>
      </c>
      <c r="N79" s="197">
        <v>39.3391030684501</v>
      </c>
      <c r="O79" s="197">
        <v>45.242874094748146</v>
      </c>
      <c r="P79" s="197">
        <v>1.46975E-2</v>
      </c>
      <c r="Q79" s="197">
        <v>460.7366771159875</v>
      </c>
      <c r="R79" s="197">
        <v>1.2</v>
      </c>
      <c r="S79" s="197">
        <v>31.9</v>
      </c>
      <c r="T79" s="197">
        <v>0.50999999999999801</v>
      </c>
      <c r="U79" s="197">
        <v>16.649999999999999</v>
      </c>
      <c r="V79" s="197">
        <v>2.4750000000000014</v>
      </c>
      <c r="W79" s="197">
        <v>68.829340000000002</v>
      </c>
      <c r="X79" s="197">
        <v>-68.900000000000006</v>
      </c>
      <c r="Y79" s="197">
        <v>0.32814516129031301</v>
      </c>
      <c r="Z79" s="197">
        <v>-37.600436363636362</v>
      </c>
    </row>
    <row r="80" spans="1:26" s="197" customFormat="1" x14ac:dyDescent="0.3">
      <c r="A80" s="197" t="s">
        <v>130</v>
      </c>
      <c r="B80" s="197">
        <v>7</v>
      </c>
      <c r="C80" s="197">
        <v>2</v>
      </c>
      <c r="D80" s="197">
        <v>6</v>
      </c>
      <c r="E80" s="197" t="s">
        <v>256</v>
      </c>
      <c r="F80" s="197">
        <v>0.846531148148148</v>
      </c>
      <c r="G80" s="197">
        <v>-13.262718518518518</v>
      </c>
      <c r="H80" s="197">
        <v>171.3</v>
      </c>
      <c r="I80" s="197">
        <v>89.4</v>
      </c>
      <c r="J80" s="197">
        <v>10</v>
      </c>
      <c r="K80" s="197">
        <v>143.51320321469538</v>
      </c>
      <c r="L80" s="197">
        <v>31</v>
      </c>
      <c r="M80" s="197">
        <v>50.179780371946407</v>
      </c>
      <c r="N80" s="197">
        <v>61.57256326580881</v>
      </c>
      <c r="O80" s="197">
        <v>19.413446343700667</v>
      </c>
      <c r="P80" s="197">
        <v>1.37374E-2</v>
      </c>
      <c r="Q80" s="197">
        <v>416.28484848484851</v>
      </c>
      <c r="R80" s="197">
        <v>0.46400000000000002</v>
      </c>
      <c r="S80" s="197">
        <v>33</v>
      </c>
      <c r="T80" s="197">
        <v>5.3400000000000034</v>
      </c>
      <c r="U80" s="197">
        <v>67.23</v>
      </c>
      <c r="V80" s="197">
        <v>0.84899999999999665</v>
      </c>
      <c r="W80" s="197">
        <v>64.163762962962949</v>
      </c>
      <c r="X80" s="197">
        <v>-62.8</v>
      </c>
      <c r="Y80" s="197">
        <v>1.96887526881721</v>
      </c>
      <c r="Z80" s="197">
        <v>-36.460596296296302</v>
      </c>
    </row>
    <row r="81" spans="1:26" s="197" customFormat="1" x14ac:dyDescent="0.3">
      <c r="A81" s="197" t="s">
        <v>132</v>
      </c>
      <c r="B81" s="197">
        <v>7</v>
      </c>
      <c r="C81" s="197">
        <v>2</v>
      </c>
      <c r="D81" s="197">
        <v>6</v>
      </c>
      <c r="E81" s="197" t="s">
        <v>256</v>
      </c>
      <c r="F81" s="197">
        <v>1.1858865517241381</v>
      </c>
      <c r="G81" s="197">
        <v>-6.0382689655172408</v>
      </c>
      <c r="H81" s="197">
        <v>150.4</v>
      </c>
      <c r="I81" s="197">
        <v>61.6</v>
      </c>
      <c r="J81" s="197">
        <v>22</v>
      </c>
      <c r="K81" s="197">
        <v>87.519691930684502</v>
      </c>
      <c r="L81" s="197">
        <v>17</v>
      </c>
      <c r="M81" s="197">
        <v>152.2585688050498</v>
      </c>
      <c r="N81" s="197">
        <v>31.213908917813743</v>
      </c>
      <c r="O81" s="197">
        <v>38.423185378136623</v>
      </c>
      <c r="P81" s="197">
        <v>1.6027799999999998E-2</v>
      </c>
      <c r="Q81" s="197">
        <v>361.80135440180584</v>
      </c>
      <c r="R81" s="197">
        <v>0.55000000000000004</v>
      </c>
      <c r="S81" s="197">
        <v>44.3</v>
      </c>
      <c r="T81" s="197">
        <v>1.1700000000000017</v>
      </c>
      <c r="U81" s="197">
        <v>52.54</v>
      </c>
      <c r="V81" s="197">
        <v>1.3299999999999983</v>
      </c>
      <c r="W81" s="197">
        <v>66.244193103448282</v>
      </c>
      <c r="X81" s="197">
        <v>-68.5</v>
      </c>
      <c r="Y81" s="197">
        <v>2.20404722222223</v>
      </c>
      <c r="Z81" s="197">
        <v>-35.880255172413797</v>
      </c>
    </row>
    <row r="82" spans="1:26" s="197" customFormat="1" x14ac:dyDescent="0.3">
      <c r="A82" s="197" t="s">
        <v>134</v>
      </c>
      <c r="B82" s="197">
        <v>7</v>
      </c>
      <c r="C82" s="197">
        <v>2</v>
      </c>
      <c r="D82" s="197">
        <v>6</v>
      </c>
      <c r="E82" s="197" t="s">
        <v>256</v>
      </c>
      <c r="F82" s="197">
        <v>0.91222379310344814</v>
      </c>
      <c r="G82" s="197">
        <v>-14.086500000000001</v>
      </c>
      <c r="H82" s="197">
        <v>211</v>
      </c>
      <c r="I82" s="197">
        <v>87.9</v>
      </c>
      <c r="J82" s="197">
        <v>20</v>
      </c>
      <c r="K82" s="197">
        <v>100.90817356205856</v>
      </c>
      <c r="L82" s="197">
        <v>21</v>
      </c>
      <c r="M82" s="197">
        <v>98.291111882695006</v>
      </c>
      <c r="N82" s="197">
        <v>40.746475429875453</v>
      </c>
      <c r="O82" s="197">
        <v>32.656087778006849</v>
      </c>
      <c r="P82" s="197">
        <v>1.41853E-2</v>
      </c>
      <c r="Q82" s="197">
        <v>257.91454545454548</v>
      </c>
      <c r="R82" s="197">
        <v>0.4</v>
      </c>
      <c r="S82" s="197">
        <v>55</v>
      </c>
      <c r="T82" s="197">
        <v>4.25</v>
      </c>
      <c r="U82" s="197">
        <v>62.534999999999997</v>
      </c>
      <c r="V82" s="197">
        <v>0.62599999999999767</v>
      </c>
      <c r="W82" s="197">
        <v>73.446337931034492</v>
      </c>
      <c r="X82" s="197">
        <v>-70.53</v>
      </c>
      <c r="Y82" s="197">
        <v>2.2313935483870999</v>
      </c>
      <c r="Z82" s="197">
        <v>-43.673806896551724</v>
      </c>
    </row>
    <row r="83" spans="1:26" s="197" customFormat="1" x14ac:dyDescent="0.3">
      <c r="A83" s="197" t="s">
        <v>136</v>
      </c>
      <c r="B83" s="197">
        <v>7</v>
      </c>
      <c r="C83" s="197">
        <v>2</v>
      </c>
      <c r="D83" s="197">
        <v>7</v>
      </c>
      <c r="E83" s="197" t="s">
        <v>256</v>
      </c>
      <c r="F83" s="197">
        <v>0.7313647692307691</v>
      </c>
      <c r="G83" s="197">
        <v>-18.95608846153846</v>
      </c>
      <c r="H83" s="197">
        <v>163.1</v>
      </c>
      <c r="I83" s="197">
        <v>102.3</v>
      </c>
      <c r="J83" s="197">
        <v>9.6666666666666679</v>
      </c>
      <c r="K83" s="197">
        <v>179.6622349982033</v>
      </c>
      <c r="L83" s="197">
        <v>45</v>
      </c>
      <c r="M83" s="197">
        <v>50.730857651674732</v>
      </c>
      <c r="N83" s="197">
        <v>80.860354168350767</v>
      </c>
      <c r="O83" s="197">
        <v>17.064734906420021</v>
      </c>
      <c r="P83" s="197">
        <v>1.3153099999999999E-2</v>
      </c>
      <c r="Q83" s="197">
        <v>448.91126279863477</v>
      </c>
      <c r="R83" s="197">
        <v>0.76</v>
      </c>
      <c r="S83" s="197">
        <v>29.3</v>
      </c>
      <c r="T83" s="197">
        <v>5.820999999999998</v>
      </c>
      <c r="U83" s="197">
        <v>55</v>
      </c>
      <c r="V83" s="197">
        <v>2.8800000000000026</v>
      </c>
      <c r="W83" s="197">
        <v>62.619723076923066</v>
      </c>
      <c r="X83" s="197">
        <v>-66.099999999999994</v>
      </c>
      <c r="Y83" s="197">
        <v>4.0033806451612799</v>
      </c>
      <c r="Z83" s="197">
        <v>-35.050623076923081</v>
      </c>
    </row>
    <row r="84" spans="1:26" s="197" customFormat="1" x14ac:dyDescent="0.3">
      <c r="A84" s="197" t="s">
        <v>138</v>
      </c>
      <c r="B84" s="197">
        <v>7</v>
      </c>
      <c r="C84" s="197">
        <v>2</v>
      </c>
      <c r="D84" s="197">
        <v>7</v>
      </c>
      <c r="E84" s="197" t="s">
        <v>256</v>
      </c>
      <c r="F84" s="197">
        <v>0.70781695000000011</v>
      </c>
      <c r="G84" s="197">
        <v>-17.611694999999997</v>
      </c>
      <c r="H84" s="197">
        <v>202.8</v>
      </c>
      <c r="I84" s="197">
        <v>116.7</v>
      </c>
      <c r="J84" s="197">
        <v>15</v>
      </c>
      <c r="K84" s="197">
        <v>146.77821811243174</v>
      </c>
      <c r="L84" s="197">
        <v>33</v>
      </c>
      <c r="M84" s="197">
        <v>67.635110006901414</v>
      </c>
      <c r="N84" s="197">
        <v>59.241706161137458</v>
      </c>
      <c r="O84" s="197">
        <v>18.801289918898618</v>
      </c>
      <c r="P84" s="197">
        <v>1.4778700000000001E-2</v>
      </c>
      <c r="Q84" s="197">
        <v>613.22406639004146</v>
      </c>
      <c r="R84" s="197">
        <v>0.75</v>
      </c>
      <c r="S84" s="197">
        <v>24.1</v>
      </c>
      <c r="T84" s="197">
        <v>4.8799999999999955</v>
      </c>
      <c r="U84" s="197">
        <v>80.405000000000001</v>
      </c>
      <c r="V84" s="197">
        <v>2.3170000000000002</v>
      </c>
      <c r="W84" s="197">
        <v>70.703130000000002</v>
      </c>
      <c r="X84" s="197">
        <v>-66.8</v>
      </c>
      <c r="Y84" s="197">
        <v>2.0345053763440801</v>
      </c>
      <c r="Z84" s="197">
        <v>-40.225225000000002</v>
      </c>
    </row>
    <row r="85" spans="1:26" s="197" customFormat="1" x14ac:dyDescent="0.3">
      <c r="A85" s="197" t="s">
        <v>140</v>
      </c>
      <c r="B85" s="197">
        <v>7</v>
      </c>
      <c r="C85" s="197">
        <v>2</v>
      </c>
      <c r="D85" s="197">
        <v>7</v>
      </c>
      <c r="E85" s="197" t="s">
        <v>256</v>
      </c>
      <c r="F85" s="197">
        <v>0.76865976923076929</v>
      </c>
      <c r="G85" s="197">
        <v>-12.634261538461541</v>
      </c>
      <c r="H85" s="197">
        <v>172.2</v>
      </c>
      <c r="I85" s="197">
        <v>100.7</v>
      </c>
      <c r="J85" s="197">
        <v>9</v>
      </c>
      <c r="K85" s="197">
        <v>179.9532121648366</v>
      </c>
      <c r="L85" s="197">
        <v>35</v>
      </c>
      <c r="M85" s="197">
        <v>55.735142364164311</v>
      </c>
      <c r="N85" s="197">
        <v>62.640942119769711</v>
      </c>
      <c r="O85" s="197">
        <v>15.049868747388709</v>
      </c>
      <c r="P85" s="197">
        <v>9.0756499999999993E-3</v>
      </c>
      <c r="Q85" s="197">
        <v>336.13518518518515</v>
      </c>
      <c r="R85" s="197">
        <v>1.2</v>
      </c>
      <c r="S85" s="197">
        <v>27</v>
      </c>
      <c r="T85" s="197">
        <v>3.9499999999999886</v>
      </c>
      <c r="U85" s="197">
        <v>52.922939999999997</v>
      </c>
      <c r="V85" s="197">
        <v>0.7120000000000033</v>
      </c>
      <c r="W85" s="197">
        <v>64.040000000000006</v>
      </c>
      <c r="X85" s="197">
        <v>-66.7</v>
      </c>
      <c r="Y85" s="197">
        <v>1.3782129032257999</v>
      </c>
      <c r="Z85" s="197">
        <v>-28.71938461538462</v>
      </c>
    </row>
    <row r="86" spans="1:26" s="197" customFormat="1" x14ac:dyDescent="0.3">
      <c r="A86" s="197" t="s">
        <v>142</v>
      </c>
      <c r="B86" s="197">
        <v>7</v>
      </c>
      <c r="C86" s="197">
        <v>2</v>
      </c>
      <c r="D86" s="197">
        <v>7</v>
      </c>
      <c r="E86" s="197" t="s">
        <v>256</v>
      </c>
      <c r="F86" s="197">
        <v>0.62497059999999982</v>
      </c>
      <c r="G86" s="197">
        <v>-16.642243333333326</v>
      </c>
      <c r="H86" s="197">
        <v>230</v>
      </c>
      <c r="I86" s="197">
        <v>138.85</v>
      </c>
      <c r="J86" s="197">
        <v>16.81818181818182</v>
      </c>
      <c r="K86" s="197">
        <v>171.26220243192333</v>
      </c>
      <c r="L86" s="197">
        <v>41</v>
      </c>
      <c r="M86" s="197">
        <v>72.813287069925792</v>
      </c>
      <c r="N86" s="197">
        <v>74.766355140186917</v>
      </c>
      <c r="O86" s="197">
        <v>27.098237610032491</v>
      </c>
      <c r="P86" s="197">
        <v>8.9782100000000004E-3</v>
      </c>
      <c r="Q86" s="197">
        <v>280.56906250000003</v>
      </c>
      <c r="R86" s="197">
        <v>1</v>
      </c>
      <c r="S86" s="197">
        <v>32</v>
      </c>
      <c r="T86" s="197">
        <v>4.1539999999999964</v>
      </c>
      <c r="U86" s="197">
        <v>57.832054999999997</v>
      </c>
      <c r="V86" s="197">
        <v>1.9399999999999977</v>
      </c>
      <c r="W86" s="197">
        <v>73.073319999999981</v>
      </c>
      <c r="X86" s="197">
        <v>-62</v>
      </c>
      <c r="Y86" s="197">
        <v>4.1346397849462502</v>
      </c>
      <c r="Z86" s="197">
        <v>-37.066653333333321</v>
      </c>
    </row>
    <row r="87" spans="1:26" s="197" customFormat="1" x14ac:dyDescent="0.3">
      <c r="A87" s="197" t="s">
        <v>144</v>
      </c>
      <c r="B87" s="197">
        <v>7</v>
      </c>
      <c r="C87" s="197">
        <v>2</v>
      </c>
      <c r="D87" s="197">
        <v>7</v>
      </c>
      <c r="E87" s="197" t="s">
        <v>256</v>
      </c>
      <c r="F87" s="197">
        <v>0.57466417241379308</v>
      </c>
      <c r="G87" s="197">
        <v>-19.090928571428574</v>
      </c>
      <c r="H87" s="197">
        <v>211.98</v>
      </c>
      <c r="I87" s="197">
        <v>125.05</v>
      </c>
      <c r="J87" s="197">
        <v>15</v>
      </c>
      <c r="K87" s="197">
        <v>174.42874585731715</v>
      </c>
      <c r="L87" s="197">
        <v>37</v>
      </c>
      <c r="M87" s="197">
        <v>72.195945144452693</v>
      </c>
      <c r="N87" s="197">
        <v>68.027210884353536</v>
      </c>
      <c r="O87" s="197">
        <v>26.197686808003684</v>
      </c>
      <c r="P87" s="197">
        <v>1.1724699999999999E-2</v>
      </c>
      <c r="Q87" s="197">
        <v>468.988</v>
      </c>
      <c r="R87" s="197">
        <v>1.23</v>
      </c>
      <c r="S87" s="197">
        <v>25</v>
      </c>
      <c r="T87" s="197">
        <v>2.6820000000000022</v>
      </c>
      <c r="U87" s="197">
        <v>48.101732499999997</v>
      </c>
      <c r="V87" s="197">
        <v>0.74000000000000199</v>
      </c>
      <c r="W87" s="197">
        <v>59.869175862068971</v>
      </c>
      <c r="X87" s="197">
        <v>-67.599999999999994</v>
      </c>
      <c r="Y87" s="197">
        <v>0.72191935483871095</v>
      </c>
      <c r="Z87" s="197">
        <v>-26.748120689655167</v>
      </c>
    </row>
    <row r="88" spans="1:26" s="197" customFormat="1" x14ac:dyDescent="0.3">
      <c r="A88" s="197" t="s">
        <v>146</v>
      </c>
      <c r="B88" s="197">
        <v>7</v>
      </c>
      <c r="C88" s="197">
        <v>2</v>
      </c>
      <c r="D88" s="197">
        <v>7</v>
      </c>
      <c r="E88" s="197" t="s">
        <v>256</v>
      </c>
      <c r="F88" s="197">
        <v>0.74995249999999991</v>
      </c>
      <c r="G88" s="197">
        <v>-16.506030434782609</v>
      </c>
      <c r="H88" s="197">
        <v>213.02</v>
      </c>
      <c r="I88" s="197">
        <v>117.6</v>
      </c>
      <c r="J88" s="197">
        <v>7.7272727272727275</v>
      </c>
      <c r="K88" s="197">
        <v>139.23698134224475</v>
      </c>
      <c r="L88" s="197">
        <v>24</v>
      </c>
      <c r="M88" s="197">
        <v>58.350436087672911</v>
      </c>
      <c r="N88" s="197">
        <v>44.953922229714536</v>
      </c>
      <c r="O88" s="197">
        <v>12.371105793786462</v>
      </c>
      <c r="P88" s="197">
        <v>8.3253300000000006E-3</v>
      </c>
      <c r="Q88" s="197">
        <v>237.86657142857143</v>
      </c>
      <c r="R88" s="197">
        <v>0.96</v>
      </c>
      <c r="S88" s="197">
        <v>35</v>
      </c>
      <c r="T88" s="197">
        <v>5.509999999999998</v>
      </c>
      <c r="U88" s="197">
        <v>67.772390000000001</v>
      </c>
      <c r="V88" s="197">
        <v>1.5500000000000043</v>
      </c>
      <c r="W88" s="197">
        <v>69.806420833333348</v>
      </c>
      <c r="X88" s="197">
        <v>-69.8</v>
      </c>
      <c r="Y88" s="197">
        <v>0.78755053763440797</v>
      </c>
      <c r="Z88" s="197">
        <v>-28.192926086956515</v>
      </c>
    </row>
    <row r="89" spans="1:26" s="197" customFormat="1" x14ac:dyDescent="0.3">
      <c r="A89" s="197" t="s">
        <v>147</v>
      </c>
      <c r="B89" s="197">
        <v>7</v>
      </c>
      <c r="C89" s="197">
        <v>2</v>
      </c>
      <c r="D89" s="197">
        <v>7</v>
      </c>
      <c r="E89" s="197" t="s">
        <v>256</v>
      </c>
      <c r="F89" s="197">
        <v>0.92443805263157885</v>
      </c>
      <c r="G89" s="197">
        <v>-9.142431578947372</v>
      </c>
      <c r="H89" s="197">
        <v>144.30000000000001</v>
      </c>
      <c r="I89" s="197">
        <v>76.7</v>
      </c>
      <c r="J89" s="197">
        <v>9</v>
      </c>
      <c r="K89" s="197">
        <v>181.38944313440942</v>
      </c>
      <c r="L89" s="197">
        <v>35</v>
      </c>
      <c r="M89" s="197">
        <v>56.268428862500656</v>
      </c>
      <c r="N89" s="197">
        <v>61.293288384921645</v>
      </c>
      <c r="O89" s="197">
        <v>15.074794975631205</v>
      </c>
      <c r="P89" s="197">
        <v>6.3354300000000004E-3</v>
      </c>
      <c r="Q89" s="197">
        <v>211.88729096989968</v>
      </c>
      <c r="R89" s="197">
        <v>0.56000000000000005</v>
      </c>
      <c r="S89" s="197">
        <v>29.9</v>
      </c>
      <c r="T89" s="197">
        <v>6.402000000000001</v>
      </c>
      <c r="U89" s="197">
        <v>64.417180000000002</v>
      </c>
      <c r="V89" s="197">
        <v>1E-3</v>
      </c>
      <c r="W89" s="197">
        <v>59.384</v>
      </c>
      <c r="X89" s="197">
        <v>-62</v>
      </c>
      <c r="Y89" s="197">
        <v>1.24695483870969</v>
      </c>
      <c r="Z89" s="197">
        <v>-36.421921052631589</v>
      </c>
    </row>
    <row r="90" spans="1:26" s="197" customFormat="1" x14ac:dyDescent="0.3">
      <c r="A90" s="197" t="s">
        <v>149</v>
      </c>
      <c r="B90" s="197">
        <v>7</v>
      </c>
      <c r="C90" s="197">
        <v>2</v>
      </c>
      <c r="D90" s="197">
        <v>7</v>
      </c>
      <c r="E90" s="197" t="s">
        <v>256</v>
      </c>
      <c r="F90" s="197">
        <v>0.68345956521739126</v>
      </c>
      <c r="G90" s="197">
        <v>-12.180482608695652</v>
      </c>
      <c r="H90" s="197">
        <v>192.6</v>
      </c>
      <c r="I90" s="197">
        <v>109.01</v>
      </c>
      <c r="J90" s="197">
        <v>12.272727272727272</v>
      </c>
      <c r="K90" s="197">
        <v>197.90223629527026</v>
      </c>
      <c r="L90" s="197">
        <v>40</v>
      </c>
      <c r="M90" s="197">
        <v>81.478522771509162</v>
      </c>
      <c r="N90" s="197">
        <v>74.682598954443691</v>
      </c>
      <c r="O90" s="197">
        <v>20.16338496630495</v>
      </c>
      <c r="P90" s="197">
        <v>6.2374800000000001E-3</v>
      </c>
      <c r="Q90" s="197">
        <v>239.90307692307692</v>
      </c>
      <c r="R90" s="197">
        <v>1.35</v>
      </c>
      <c r="S90" s="197">
        <v>26</v>
      </c>
      <c r="T90" s="197">
        <v>3.5999999999999943</v>
      </c>
      <c r="U90" s="197">
        <v>40.18</v>
      </c>
      <c r="V90" s="197">
        <v>0.39999999999999858</v>
      </c>
      <c r="W90" s="197">
        <v>62.038252173913051</v>
      </c>
      <c r="X90" s="197">
        <v>-66.900000000000006</v>
      </c>
      <c r="Y90" s="197">
        <v>0.78755053763439298</v>
      </c>
      <c r="Z90" s="197">
        <v>-26.077943478260863</v>
      </c>
    </row>
    <row r="91" spans="1:26" s="197" customFormat="1" x14ac:dyDescent="0.3">
      <c r="A91" s="197" t="s">
        <v>151</v>
      </c>
      <c r="B91" s="197">
        <v>7</v>
      </c>
      <c r="C91" s="197">
        <v>2</v>
      </c>
      <c r="D91" s="197">
        <v>7</v>
      </c>
      <c r="E91" s="197" t="s">
        <v>256</v>
      </c>
      <c r="F91" s="197">
        <v>0.65189900000000001</v>
      </c>
      <c r="G91" s="197">
        <v>-12.240079999999999</v>
      </c>
      <c r="H91" s="197">
        <v>215.4</v>
      </c>
      <c r="I91" s="197">
        <v>128.5</v>
      </c>
      <c r="J91" s="197">
        <v>9.0625</v>
      </c>
      <c r="K91" s="197">
        <v>190.47619047619048</v>
      </c>
      <c r="L91" s="197">
        <v>41</v>
      </c>
      <c r="M91" s="197">
        <v>53.698150525263614</v>
      </c>
      <c r="N91" s="197">
        <v>72.098053352559461</v>
      </c>
      <c r="O91" s="197">
        <v>16.243345578663767</v>
      </c>
      <c r="P91" s="197">
        <v>8.7574699999999998E-3</v>
      </c>
      <c r="Q91" s="197">
        <v>398.06681818181818</v>
      </c>
      <c r="R91" s="197">
        <v>2.2000000000000002</v>
      </c>
      <c r="S91" s="197">
        <v>22</v>
      </c>
      <c r="T91" s="197">
        <v>1.769999999999996</v>
      </c>
      <c r="U91" s="197">
        <v>31.605562500000001</v>
      </c>
      <c r="V91" s="197">
        <v>0.28999999999999915</v>
      </c>
      <c r="W91" s="197">
        <v>60.722345833333321</v>
      </c>
      <c r="X91" s="197">
        <v>-65</v>
      </c>
      <c r="Y91" s="197">
        <v>1.5750999999999999</v>
      </c>
    </row>
    <row r="92" spans="1:26" s="197" customFormat="1" x14ac:dyDescent="0.3">
      <c r="A92" s="197" t="s">
        <v>153</v>
      </c>
      <c r="B92" s="197">
        <v>7</v>
      </c>
      <c r="C92" s="197">
        <v>2</v>
      </c>
      <c r="D92" s="197">
        <v>7</v>
      </c>
      <c r="E92" s="197" t="s">
        <v>256</v>
      </c>
      <c r="F92" s="197">
        <v>0.66099196551724138</v>
      </c>
      <c r="G92" s="197">
        <v>-13.404593103448274</v>
      </c>
      <c r="H92" s="197">
        <v>207.8</v>
      </c>
      <c r="I92" s="197">
        <v>122.7</v>
      </c>
      <c r="J92" s="197">
        <v>11.875</v>
      </c>
      <c r="K92" s="197">
        <v>189.75332068311158</v>
      </c>
      <c r="L92" s="197">
        <v>42</v>
      </c>
      <c r="M92" s="197">
        <v>55.34476854072313</v>
      </c>
      <c r="N92" s="197">
        <v>74.305245950364267</v>
      </c>
      <c r="O92" s="197">
        <v>18.979536031945678</v>
      </c>
      <c r="P92" s="197">
        <v>7.3898999999999996E-3</v>
      </c>
      <c r="Q92" s="197">
        <v>207.58146067415728</v>
      </c>
      <c r="R92" s="197">
        <v>0.86</v>
      </c>
      <c r="S92" s="197">
        <v>35.6</v>
      </c>
      <c r="T92" s="197">
        <v>4.0310000000000059</v>
      </c>
      <c r="U92" s="197">
        <v>41.884999999999998</v>
      </c>
      <c r="V92" s="197">
        <v>1</v>
      </c>
      <c r="W92" s="197">
        <v>68.224675862068949</v>
      </c>
      <c r="X92" s="197">
        <v>-62.92</v>
      </c>
      <c r="Y92" s="197">
        <v>1.4438430107526801</v>
      </c>
      <c r="Z92" s="197">
        <v>-31.925596551724144</v>
      </c>
    </row>
    <row r="93" spans="1:26" s="197" customFormat="1" x14ac:dyDescent="0.3">
      <c r="A93" s="197" t="s">
        <v>155</v>
      </c>
      <c r="B93" s="197">
        <v>7</v>
      </c>
      <c r="C93" s="197">
        <v>2</v>
      </c>
      <c r="D93" s="197">
        <v>7</v>
      </c>
      <c r="E93" s="197" t="s">
        <v>256</v>
      </c>
      <c r="F93" s="197">
        <v>0.55044696551724137</v>
      </c>
      <c r="G93" s="197">
        <v>-22.618786551724131</v>
      </c>
      <c r="H93" s="197">
        <v>200.32</v>
      </c>
      <c r="I93" s="197">
        <v>115.51</v>
      </c>
      <c r="J93" s="197">
        <v>23.333333333333336</v>
      </c>
      <c r="K93" s="197">
        <v>158.12776723592631</v>
      </c>
      <c r="L93" s="197">
        <v>30</v>
      </c>
      <c r="M93" s="197">
        <v>118.69421706919501</v>
      </c>
      <c r="N93" s="197">
        <v>57.234432234432298</v>
      </c>
      <c r="O93" s="197">
        <v>39.553724394040103</v>
      </c>
      <c r="P93" s="197">
        <v>9.7110700000000005E-3</v>
      </c>
      <c r="Q93" s="197">
        <v>353.12981818181817</v>
      </c>
      <c r="R93" s="197">
        <v>1.32</v>
      </c>
      <c r="S93" s="197">
        <v>27.5</v>
      </c>
      <c r="T93" s="197">
        <v>1.7800000000000011</v>
      </c>
      <c r="U93" s="197">
        <v>47.975000000000001</v>
      </c>
      <c r="V93" s="197">
        <v>2.3200000000000003</v>
      </c>
      <c r="W93" s="197">
        <v>52.824872413793102</v>
      </c>
      <c r="X93" s="197">
        <v>-66.599999999999994</v>
      </c>
      <c r="Y93" s="197">
        <v>0.70425128205126997</v>
      </c>
    </row>
    <row r="94" spans="1:26" s="197" customFormat="1" x14ac:dyDescent="0.3">
      <c r="A94" s="197" t="s">
        <v>157</v>
      </c>
      <c r="B94" s="197">
        <v>7</v>
      </c>
      <c r="C94" s="197">
        <v>2</v>
      </c>
      <c r="D94" s="197">
        <v>7</v>
      </c>
      <c r="E94" s="197" t="s">
        <v>256</v>
      </c>
      <c r="F94" s="197">
        <v>0.6181389310344827</v>
      </c>
      <c r="G94" s="197">
        <v>-15.681831034482759</v>
      </c>
      <c r="H94" s="197">
        <v>246.29</v>
      </c>
      <c r="I94" s="197">
        <v>140.27000000000001</v>
      </c>
      <c r="J94" s="197">
        <v>9.0625</v>
      </c>
      <c r="K94" s="197">
        <v>181.68604651162821</v>
      </c>
      <c r="L94" s="197">
        <v>36</v>
      </c>
      <c r="M94" s="197">
        <v>52.341560185067607</v>
      </c>
      <c r="N94" s="197">
        <v>65.526505471463352</v>
      </c>
      <c r="O94" s="197">
        <v>15.254162637434955</v>
      </c>
      <c r="P94" s="197">
        <v>1.24464E-2</v>
      </c>
      <c r="Q94" s="197">
        <v>412.13245033112588</v>
      </c>
      <c r="R94" s="197">
        <v>0.86</v>
      </c>
      <c r="S94" s="197">
        <v>30.2</v>
      </c>
      <c r="T94" s="197">
        <v>5.8900000000000006</v>
      </c>
      <c r="U94" s="197">
        <v>59.204999999999998</v>
      </c>
      <c r="V94" s="197">
        <v>0.55999999999999517</v>
      </c>
      <c r="W94" s="197">
        <v>72.694972413793096</v>
      </c>
      <c r="X94" s="197">
        <v>-64.849999999999994</v>
      </c>
      <c r="Y94" s="197">
        <v>1.09550256410256</v>
      </c>
      <c r="Z94" s="197">
        <v>-36.890489655172424</v>
      </c>
    </row>
    <row r="95" spans="1:26" s="197" customFormat="1" x14ac:dyDescent="0.3">
      <c r="A95" s="197" t="s">
        <v>158</v>
      </c>
      <c r="B95" s="197">
        <v>7</v>
      </c>
      <c r="C95" s="197">
        <v>2</v>
      </c>
      <c r="D95" s="197">
        <v>7</v>
      </c>
      <c r="E95" s="197" t="s">
        <v>256</v>
      </c>
      <c r="F95" s="197">
        <v>0.61669329629629621</v>
      </c>
      <c r="G95" s="197">
        <v>-18.373840740740743</v>
      </c>
      <c r="H95" s="197">
        <v>244.75</v>
      </c>
      <c r="I95" s="197">
        <v>131.16</v>
      </c>
      <c r="J95" s="197">
        <v>8.75</v>
      </c>
      <c r="K95" s="197">
        <v>218.15008726003475</v>
      </c>
      <c r="L95" s="197">
        <v>46</v>
      </c>
      <c r="M95" s="197">
        <v>43.265862750178535</v>
      </c>
      <c r="N95" s="197">
        <v>85.859019489997905</v>
      </c>
      <c r="O95" s="197">
        <v>15.2076983955331</v>
      </c>
      <c r="P95" s="197">
        <v>1.42121E-2</v>
      </c>
      <c r="Q95" s="197">
        <v>498.67017543859646</v>
      </c>
      <c r="R95" s="197">
        <v>0.78500000000000003</v>
      </c>
      <c r="S95" s="197">
        <v>28.5</v>
      </c>
      <c r="T95" s="197">
        <v>6.0100000000000051</v>
      </c>
      <c r="U95" s="197">
        <v>49.905000000000001</v>
      </c>
      <c r="V95" s="197">
        <v>0.55099999999999483</v>
      </c>
      <c r="W95" s="197">
        <v>67.925333333333327</v>
      </c>
      <c r="X95" s="197">
        <v>-63.2</v>
      </c>
      <c r="Y95" s="197">
        <v>2.36265161290323</v>
      </c>
      <c r="Z95" s="197">
        <v>-35.122344444444437</v>
      </c>
    </row>
    <row r="96" spans="1:26" s="189" customFormat="1" x14ac:dyDescent="0.3">
      <c r="A96" s="189" t="s">
        <v>172</v>
      </c>
      <c r="B96" s="189">
        <v>14</v>
      </c>
      <c r="C96" s="189">
        <v>1</v>
      </c>
      <c r="D96" s="189">
        <v>21</v>
      </c>
      <c r="E96" s="189" t="s">
        <v>257</v>
      </c>
      <c r="F96" s="189">
        <v>0.98917826666666664</v>
      </c>
      <c r="G96" s="189">
        <v>-14.803046666666669</v>
      </c>
      <c r="H96" s="189">
        <v>177.8</v>
      </c>
      <c r="I96" s="189">
        <v>85.4</v>
      </c>
      <c r="J96" s="189">
        <v>22.666666666666668</v>
      </c>
      <c r="K96" s="189">
        <v>157.15857300015716</v>
      </c>
      <c r="L96" s="189">
        <v>30</v>
      </c>
      <c r="M96" s="189">
        <v>173.42637616957967</v>
      </c>
      <c r="N96" s="189">
        <v>55.00550055005516</v>
      </c>
      <c r="O96" s="189">
        <v>40.762119221407687</v>
      </c>
      <c r="P96" s="189">
        <v>1.55783E-2</v>
      </c>
      <c r="Q96" s="189">
        <v>232.16542473919526</v>
      </c>
      <c r="R96" s="189">
        <v>0.2</v>
      </c>
      <c r="S96" s="189">
        <v>67.099999999999994</v>
      </c>
      <c r="T96" s="189">
        <v>2.7800000000000011</v>
      </c>
      <c r="U96" s="189">
        <v>79.696700000000007</v>
      </c>
      <c r="V96" s="189">
        <v>4.5900000000000034</v>
      </c>
      <c r="W96" s="189">
        <v>71.89</v>
      </c>
      <c r="X96" s="189">
        <v>-63</v>
      </c>
      <c r="Y96" s="189">
        <v>30.451948387096799</v>
      </c>
      <c r="Z96" s="189">
        <v>-33.414726666666667</v>
      </c>
    </row>
    <row r="97" spans="1:26" s="189" customFormat="1" x14ac:dyDescent="0.3">
      <c r="A97" s="189" t="s">
        <v>174</v>
      </c>
      <c r="B97" s="189">
        <v>14</v>
      </c>
      <c r="C97" s="189">
        <v>1</v>
      </c>
      <c r="D97" s="189">
        <v>18</v>
      </c>
      <c r="E97" s="189" t="s">
        <v>257</v>
      </c>
      <c r="F97" s="189">
        <v>0.66781932142857137</v>
      </c>
      <c r="G97" s="189">
        <v>-17.255503571428569</v>
      </c>
      <c r="H97" s="189">
        <v>219.3</v>
      </c>
      <c r="I97" s="189">
        <v>118.7</v>
      </c>
      <c r="J97" s="189">
        <v>11.304347826086957</v>
      </c>
      <c r="K97" s="189">
        <v>194.81784531463046</v>
      </c>
      <c r="L97" s="189">
        <v>34</v>
      </c>
      <c r="M97" s="189">
        <v>72.561429281308762</v>
      </c>
      <c r="N97" s="189">
        <v>63.698324734059447</v>
      </c>
      <c r="O97" s="189">
        <v>22.355723585024315</v>
      </c>
      <c r="P97" s="189">
        <v>8.4251699999999992E-3</v>
      </c>
      <c r="Q97" s="189">
        <v>386.47568807339445</v>
      </c>
      <c r="R97" s="189">
        <v>1.7</v>
      </c>
      <c r="S97" s="189">
        <v>21.8</v>
      </c>
      <c r="T97" s="189">
        <v>2.25</v>
      </c>
      <c r="U97" s="189">
        <v>83.165000000000006</v>
      </c>
      <c r="V97" s="189">
        <v>1.2299999999999969</v>
      </c>
      <c r="W97" s="189">
        <v>66.839600000000004</v>
      </c>
      <c r="X97" s="189">
        <v>-71.2</v>
      </c>
      <c r="Y97" s="189">
        <v>4.2658978494623501</v>
      </c>
      <c r="Z97" s="189">
        <v>-39.256496428571424</v>
      </c>
    </row>
    <row r="98" spans="1:26" s="189" customFormat="1" x14ac:dyDescent="0.3">
      <c r="A98" s="189" t="s">
        <v>176</v>
      </c>
      <c r="B98" s="189">
        <v>14</v>
      </c>
      <c r="C98" s="189">
        <v>1</v>
      </c>
      <c r="D98" s="189">
        <v>18</v>
      </c>
      <c r="E98" s="189" t="s">
        <v>257</v>
      </c>
      <c r="F98" s="189">
        <v>0.71107163157894737</v>
      </c>
      <c r="G98" s="189">
        <v>-16.627273684210529</v>
      </c>
      <c r="H98" s="189">
        <v>224.94</v>
      </c>
      <c r="I98" s="189">
        <v>134.63</v>
      </c>
      <c r="J98" s="189">
        <v>14.666666666666666</v>
      </c>
      <c r="K98" s="189">
        <v>181.35654697134626</v>
      </c>
      <c r="L98" s="189">
        <v>39</v>
      </c>
      <c r="M98" s="189">
        <v>74.256242082909296</v>
      </c>
      <c r="N98" s="189">
        <v>67.168189145621</v>
      </c>
      <c r="O98" s="189">
        <v>25.396587737529625</v>
      </c>
      <c r="P98" s="189">
        <v>9.2708500000000006E-3</v>
      </c>
      <c r="Q98" s="189">
        <v>261.15070422535211</v>
      </c>
      <c r="R98" s="189">
        <v>0.65</v>
      </c>
      <c r="S98" s="189">
        <v>35.5</v>
      </c>
      <c r="T98" s="189">
        <v>1.2800000000000011</v>
      </c>
      <c r="U98" s="189">
        <v>41.376421499999999</v>
      </c>
      <c r="V98" s="189">
        <v>4.0799999999999983</v>
      </c>
      <c r="W98" s="189">
        <v>78.002921052631578</v>
      </c>
      <c r="X98" s="189">
        <v>-72</v>
      </c>
      <c r="Y98" s="189">
        <v>7.6129870967741899</v>
      </c>
      <c r="Z98" s="189">
        <v>-39.730673684210529</v>
      </c>
    </row>
    <row r="99" spans="1:26" s="189" customFormat="1" x14ac:dyDescent="0.3">
      <c r="A99" s="189" t="s">
        <v>178</v>
      </c>
      <c r="B99" s="189">
        <v>14</v>
      </c>
      <c r="C99" s="189">
        <v>1</v>
      </c>
      <c r="D99" s="189">
        <v>18</v>
      </c>
      <c r="E99" s="189" t="s">
        <v>257</v>
      </c>
      <c r="F99" s="189">
        <v>0.71281663157894759</v>
      </c>
      <c r="G99" s="189">
        <v>-13.905841111111112</v>
      </c>
      <c r="H99" s="189">
        <v>122.7</v>
      </c>
      <c r="I99" s="189">
        <v>92</v>
      </c>
      <c r="J99" s="189">
        <v>8.75</v>
      </c>
      <c r="K99" s="189">
        <v>225.07314877335216</v>
      </c>
      <c r="L99" s="189">
        <v>26</v>
      </c>
      <c r="M99" s="189">
        <v>100.096802850598</v>
      </c>
      <c r="N99" s="189">
        <v>44.273254526940299</v>
      </c>
      <c r="O99" s="189">
        <v>11.613361178981398</v>
      </c>
      <c r="P99" s="189">
        <v>4.5520700000000001E-3</v>
      </c>
      <c r="Q99" s="189">
        <v>399.30438596491229</v>
      </c>
      <c r="R99" s="189">
        <v>3.67</v>
      </c>
      <c r="S99" s="189">
        <v>11.4</v>
      </c>
      <c r="T99" s="189">
        <v>2.2850000000000108</v>
      </c>
      <c r="U99" s="189">
        <v>66</v>
      </c>
      <c r="V99" s="189">
        <v>1.1299999999999955</v>
      </c>
      <c r="W99" s="189">
        <v>58.67</v>
      </c>
      <c r="X99" s="189">
        <v>-69.5</v>
      </c>
      <c r="Y99" s="189">
        <v>3.5439763440860301</v>
      </c>
      <c r="Z99" s="189">
        <v>-39.730673684210529</v>
      </c>
    </row>
    <row r="100" spans="1:26" s="189" customFormat="1" x14ac:dyDescent="0.3">
      <c r="A100" s="189" t="s">
        <v>180</v>
      </c>
      <c r="B100" s="189">
        <v>14</v>
      </c>
      <c r="C100" s="189">
        <v>1</v>
      </c>
      <c r="D100" s="189">
        <v>20</v>
      </c>
      <c r="E100" s="189" t="s">
        <v>257</v>
      </c>
      <c r="F100" s="189">
        <v>0.6947153181818182</v>
      </c>
      <c r="G100" s="189">
        <v>-22.030776190476185</v>
      </c>
      <c r="H100" s="189">
        <v>179.8</v>
      </c>
      <c r="I100" s="189">
        <v>104.4</v>
      </c>
      <c r="J100" s="189">
        <v>10</v>
      </c>
      <c r="K100" s="189">
        <v>168.54879487611683</v>
      </c>
      <c r="L100" s="189">
        <v>21</v>
      </c>
      <c r="M100" s="189">
        <v>97.699910443943608</v>
      </c>
      <c r="N100" s="189">
        <v>49.522111622839638</v>
      </c>
      <c r="O100" s="189">
        <v>23.819089860472193</v>
      </c>
      <c r="P100" s="189">
        <v>1.11E-2</v>
      </c>
      <c r="Q100" s="189">
        <v>313.55932203389835</v>
      </c>
      <c r="R100" s="189">
        <v>0.8</v>
      </c>
      <c r="S100" s="189">
        <v>35.4</v>
      </c>
      <c r="T100" s="189">
        <v>3.5</v>
      </c>
      <c r="U100" s="189">
        <v>75.837270000000004</v>
      </c>
      <c r="V100" s="189">
        <v>3.279999999999994</v>
      </c>
      <c r="W100" s="189">
        <v>57.988940909090907</v>
      </c>
      <c r="X100" s="189">
        <v>-70.099999999999994</v>
      </c>
      <c r="Y100" s="189">
        <v>7.94113333333335</v>
      </c>
      <c r="Z100" s="189">
        <v>-26.286736363636354</v>
      </c>
    </row>
    <row r="101" spans="1:26" s="189" customFormat="1" x14ac:dyDescent="0.3">
      <c r="A101" s="189" t="s">
        <v>182</v>
      </c>
      <c r="B101" s="189">
        <v>14</v>
      </c>
      <c r="C101" s="189">
        <v>1</v>
      </c>
      <c r="D101" s="189">
        <v>20</v>
      </c>
      <c r="E101" s="189" t="s">
        <v>257</v>
      </c>
      <c r="F101" s="189">
        <v>1.1282678571428573</v>
      </c>
      <c r="G101" s="189">
        <v>-8.9764999999999997</v>
      </c>
      <c r="H101" s="189">
        <v>212.8</v>
      </c>
      <c r="I101" s="189">
        <v>71.8</v>
      </c>
      <c r="J101" s="189">
        <v>7.8260869565217401</v>
      </c>
      <c r="K101" s="189">
        <v>116.10356437942646</v>
      </c>
      <c r="L101" s="189">
        <v>14</v>
      </c>
      <c r="M101" s="189">
        <v>44.418976565806332</v>
      </c>
      <c r="N101" s="189">
        <v>28.636884306987433</v>
      </c>
      <c r="O101" s="189">
        <v>28.636884306987433</v>
      </c>
      <c r="P101" s="189">
        <v>1.6865700000000001E-2</v>
      </c>
      <c r="Q101" s="189">
        <v>187.60511679644048</v>
      </c>
      <c r="R101" s="189">
        <v>0.28000000000000003</v>
      </c>
      <c r="S101" s="189">
        <v>89.9</v>
      </c>
      <c r="T101" s="189">
        <v>4.039999999999992</v>
      </c>
      <c r="U101" s="189">
        <v>136</v>
      </c>
      <c r="V101" s="189">
        <v>5.7900000000000063</v>
      </c>
      <c r="W101" s="189">
        <v>79.870599999999982</v>
      </c>
      <c r="X101" s="189">
        <v>-72</v>
      </c>
      <c r="Y101" s="189">
        <v>1.11569784946235</v>
      </c>
      <c r="Z101" s="189">
        <v>-38.297533333333334</v>
      </c>
    </row>
    <row r="102" spans="1:26" s="189" customFormat="1" x14ac:dyDescent="0.3">
      <c r="A102" s="189" t="s">
        <v>184</v>
      </c>
      <c r="B102" s="189">
        <v>14</v>
      </c>
      <c r="C102" s="189">
        <v>1</v>
      </c>
      <c r="D102" s="189">
        <v>15</v>
      </c>
      <c r="E102" s="189" t="s">
        <v>257</v>
      </c>
      <c r="F102" s="189">
        <v>1.0393810000000001</v>
      </c>
      <c r="G102" s="189">
        <v>-13.729710526315793</v>
      </c>
      <c r="H102" s="189">
        <v>145.5</v>
      </c>
      <c r="I102" s="189">
        <v>79.5</v>
      </c>
      <c r="J102" s="189">
        <v>18.095238095238095</v>
      </c>
      <c r="K102" s="189">
        <v>148.21402104639068</v>
      </c>
      <c r="L102" s="189">
        <v>28</v>
      </c>
      <c r="M102" s="189">
        <v>53.75069593948394</v>
      </c>
      <c r="N102" s="189">
        <v>48.642864091837744</v>
      </c>
      <c r="O102" s="189">
        <v>32.666471539607507</v>
      </c>
      <c r="P102" s="189">
        <v>8.6993499999999998E-3</v>
      </c>
      <c r="Q102" s="189">
        <v>204.2100938967136</v>
      </c>
      <c r="R102" s="189">
        <v>0.5</v>
      </c>
      <c r="S102" s="189">
        <v>42.6</v>
      </c>
      <c r="T102" s="189">
        <v>0.40999999999999659</v>
      </c>
      <c r="U102" s="189">
        <v>22.17</v>
      </c>
      <c r="V102" s="189">
        <v>4.1399999999999935</v>
      </c>
      <c r="W102" s="189">
        <v>68.701170000000019</v>
      </c>
      <c r="X102" s="189">
        <v>-65.599999999999994</v>
      </c>
      <c r="Y102" s="189">
        <v>12.403919354838701</v>
      </c>
      <c r="Z102" s="189">
        <v>-33.044429999999998</v>
      </c>
    </row>
    <row r="103" spans="1:26" s="189" customFormat="1" x14ac:dyDescent="0.3">
      <c r="A103" s="189" t="s">
        <v>186</v>
      </c>
      <c r="B103" s="189">
        <v>14</v>
      </c>
      <c r="C103" s="189">
        <v>1</v>
      </c>
      <c r="D103" s="189">
        <v>15</v>
      </c>
      <c r="E103" s="189" t="s">
        <v>257</v>
      </c>
      <c r="F103" s="189">
        <v>1.2564378571428569</v>
      </c>
      <c r="G103" s="189">
        <v>-22.352938461538461</v>
      </c>
      <c r="H103" s="189">
        <v>124</v>
      </c>
      <c r="I103" s="189">
        <v>51.8</v>
      </c>
      <c r="J103" s="189">
        <v>12.727272727272728</v>
      </c>
      <c r="K103" s="189">
        <v>67.953248165262266</v>
      </c>
      <c r="L103" s="189">
        <v>10</v>
      </c>
      <c r="M103" s="189">
        <v>114.7324597339405</v>
      </c>
      <c r="N103" s="189">
        <v>18.026137899954929</v>
      </c>
      <c r="O103" s="189">
        <v>15.729934354594834</v>
      </c>
      <c r="P103" s="189">
        <v>1.8761900000000001E-2</v>
      </c>
      <c r="Q103" s="189">
        <v>228.52496954933011</v>
      </c>
      <c r="R103" s="189">
        <v>0.25</v>
      </c>
      <c r="S103" s="189">
        <v>82.1</v>
      </c>
      <c r="T103" s="189">
        <v>4.0999999999999996</v>
      </c>
      <c r="U103" s="189">
        <v>67.34</v>
      </c>
      <c r="V103" s="189">
        <v>2.2799999999999998</v>
      </c>
      <c r="W103" s="189">
        <v>67.458635618914869</v>
      </c>
      <c r="X103" s="189">
        <v>-65.599999999999994</v>
      </c>
      <c r="Y103" s="189">
        <v>8.7483722222222404</v>
      </c>
      <c r="Z103" s="189">
        <v>-17.608650000000001</v>
      </c>
    </row>
    <row r="104" spans="1:26" s="189" customFormat="1" x14ac:dyDescent="0.3">
      <c r="A104" s="189" t="s">
        <v>188</v>
      </c>
      <c r="B104" s="189">
        <v>14</v>
      </c>
      <c r="C104" s="189">
        <v>1</v>
      </c>
      <c r="D104" s="189">
        <v>15</v>
      </c>
      <c r="E104" s="189" t="s">
        <v>257</v>
      </c>
      <c r="F104" s="189">
        <v>0.84036874999999978</v>
      </c>
      <c r="G104" s="189">
        <v>-16.530366666666666</v>
      </c>
      <c r="H104" s="189">
        <v>158.69999999999999</v>
      </c>
      <c r="I104" s="189">
        <v>86.3</v>
      </c>
      <c r="J104" s="189">
        <v>16.315789473684209</v>
      </c>
      <c r="K104" s="189">
        <v>178.31669044222525</v>
      </c>
      <c r="L104" s="189">
        <v>40</v>
      </c>
      <c r="M104" s="189">
        <v>33.74781204811444</v>
      </c>
      <c r="N104" s="189">
        <v>65.802461012041832</v>
      </c>
      <c r="O104" s="189">
        <v>26.662981284405774</v>
      </c>
      <c r="P104" s="189">
        <v>8.0309500000000002E-3</v>
      </c>
      <c r="Q104" s="189">
        <v>207.51808785529715</v>
      </c>
      <c r="R104" s="189">
        <v>0.93</v>
      </c>
      <c r="S104" s="189">
        <v>38.700000000000003</v>
      </c>
      <c r="T104" s="189">
        <v>0.45000000000000284</v>
      </c>
      <c r="U104" s="189">
        <v>136.99</v>
      </c>
      <c r="V104" s="189">
        <v>5.1200000000000045</v>
      </c>
      <c r="W104" s="189">
        <v>63.181566666666676</v>
      </c>
      <c r="X104" s="189">
        <v>-65.599999999999994</v>
      </c>
      <c r="Z104" s="189">
        <v>-31.687408333333334</v>
      </c>
    </row>
    <row r="105" spans="1:26" s="189" customFormat="1" x14ac:dyDescent="0.3">
      <c r="A105" s="189" t="s">
        <v>190</v>
      </c>
      <c r="B105" s="189">
        <v>14</v>
      </c>
      <c r="C105" s="189">
        <v>1</v>
      </c>
      <c r="D105" s="189">
        <v>19</v>
      </c>
      <c r="E105" s="189" t="s">
        <v>257</v>
      </c>
      <c r="F105" s="189">
        <v>0.93849554166666682</v>
      </c>
      <c r="G105" s="189">
        <v>-12.613047826086957</v>
      </c>
      <c r="H105" s="189">
        <v>200.2</v>
      </c>
      <c r="I105" s="189">
        <v>85.3</v>
      </c>
      <c r="J105" s="189">
        <v>7.3684210526315788</v>
      </c>
      <c r="K105" s="189">
        <v>161.36840406648372</v>
      </c>
      <c r="L105" s="189">
        <v>32</v>
      </c>
      <c r="M105" s="189">
        <v>41.256923322245754</v>
      </c>
      <c r="N105" s="189">
        <v>60.67961165048537</v>
      </c>
      <c r="O105" s="189">
        <v>14.0778857596006</v>
      </c>
      <c r="P105" s="189">
        <v>1.31678E-2</v>
      </c>
      <c r="Q105" s="189">
        <v>455.63321799307965</v>
      </c>
      <c r="R105" s="189">
        <v>0.6</v>
      </c>
      <c r="S105" s="189">
        <v>28.9</v>
      </c>
      <c r="T105" s="189">
        <v>6.8299999999999983</v>
      </c>
      <c r="U105" s="189">
        <v>112.5</v>
      </c>
      <c r="V105" s="189">
        <v>1.3200000000000003</v>
      </c>
      <c r="W105" s="189">
        <v>73.23965833333331</v>
      </c>
      <c r="X105" s="189">
        <v>-68.5</v>
      </c>
      <c r="Y105" s="189">
        <v>13.5875880952381</v>
      </c>
      <c r="Z105" s="189">
        <v>-41.920975000000006</v>
      </c>
    </row>
    <row r="106" spans="1:26" s="189" customFormat="1" x14ac:dyDescent="0.3">
      <c r="A106" s="189" t="s">
        <v>192</v>
      </c>
      <c r="B106" s="189">
        <v>14</v>
      </c>
      <c r="C106" s="189">
        <v>1</v>
      </c>
      <c r="D106" s="189">
        <v>22</v>
      </c>
      <c r="E106" s="189" t="s">
        <v>257</v>
      </c>
      <c r="F106" s="189">
        <v>1.0599146153846153</v>
      </c>
      <c r="G106" s="189">
        <v>-10.46245</v>
      </c>
      <c r="H106" s="189">
        <v>113.2</v>
      </c>
      <c r="I106" s="189">
        <v>63.8</v>
      </c>
      <c r="J106" s="189">
        <v>23.448275862068964</v>
      </c>
      <c r="K106" s="189">
        <v>194.09937888198809</v>
      </c>
      <c r="L106" s="189">
        <v>40</v>
      </c>
      <c r="M106" s="189">
        <v>64.75791591750675</v>
      </c>
      <c r="N106" s="189">
        <v>73.653973631877449</v>
      </c>
      <c r="O106" s="189">
        <v>40.484120277483143</v>
      </c>
      <c r="P106" s="189">
        <v>8.1545999999999997E-3</v>
      </c>
      <c r="Q106" s="189">
        <v>163.09199999999998</v>
      </c>
      <c r="R106" s="189">
        <v>0.36699999999999999</v>
      </c>
      <c r="S106" s="189">
        <v>50</v>
      </c>
      <c r="W106" s="189">
        <v>52.091169230769232</v>
      </c>
      <c r="X106" s="189">
        <v>-65.099999999999994</v>
      </c>
      <c r="Z106" s="189">
        <v>-33.414726666666667</v>
      </c>
    </row>
    <row r="107" spans="1:26" s="189" customFormat="1" x14ac:dyDescent="0.3">
      <c r="A107" s="189" t="s">
        <v>194</v>
      </c>
      <c r="B107" s="189">
        <v>14</v>
      </c>
      <c r="C107" s="189">
        <v>1</v>
      </c>
      <c r="D107" s="189">
        <v>22</v>
      </c>
      <c r="E107" s="189" t="s">
        <v>257</v>
      </c>
      <c r="F107" s="189">
        <v>0.79607337499999986</v>
      </c>
      <c r="G107" s="189">
        <v>-17.252587500000001</v>
      </c>
      <c r="H107" s="189">
        <v>175.8</v>
      </c>
      <c r="I107" s="189">
        <v>103.8</v>
      </c>
      <c r="J107" s="189">
        <v>19.230769230769234</v>
      </c>
      <c r="K107" s="189">
        <v>169.57775139901588</v>
      </c>
      <c r="L107" s="189">
        <v>29</v>
      </c>
      <c r="M107" s="189">
        <v>46.84229605344288</v>
      </c>
      <c r="N107" s="189">
        <v>51.639555899819236</v>
      </c>
      <c r="O107" s="189">
        <v>32.925254887191592</v>
      </c>
      <c r="P107" s="189">
        <v>9.2408300000000002E-3</v>
      </c>
      <c r="Q107" s="189">
        <v>308.02766666666668</v>
      </c>
      <c r="R107" s="189">
        <v>0.48599999999999999</v>
      </c>
      <c r="S107" s="189">
        <v>30</v>
      </c>
      <c r="T107" s="189">
        <v>0.47999999999999687</v>
      </c>
      <c r="U107" s="189">
        <v>138.5</v>
      </c>
      <c r="V107" s="189">
        <v>6.3100000000000023</v>
      </c>
      <c r="W107" s="189">
        <v>65.42968333333333</v>
      </c>
      <c r="X107" s="189">
        <v>-62.6</v>
      </c>
      <c r="Y107" s="189">
        <v>11.698404761904801</v>
      </c>
      <c r="Z107" s="189">
        <v>-34.932462500000007</v>
      </c>
    </row>
    <row r="108" spans="1:26" s="189" customFormat="1" x14ac:dyDescent="0.3">
      <c r="A108" s="189" t="s">
        <v>196</v>
      </c>
      <c r="B108" s="189">
        <v>14</v>
      </c>
      <c r="C108" s="189">
        <v>1</v>
      </c>
      <c r="D108" s="189">
        <v>22</v>
      </c>
      <c r="E108" s="189" t="s">
        <v>257</v>
      </c>
      <c r="F108" s="189">
        <v>0.65295580000000009</v>
      </c>
      <c r="G108" s="189">
        <v>-15.360526666666669</v>
      </c>
      <c r="H108" s="189">
        <v>207.8</v>
      </c>
      <c r="I108" s="189">
        <v>133.30000000000001</v>
      </c>
      <c r="J108" s="189">
        <v>7.2727272727272725</v>
      </c>
      <c r="K108" s="189">
        <v>220.94564737074629</v>
      </c>
      <c r="L108" s="189">
        <v>30</v>
      </c>
      <c r="M108" s="189">
        <v>58.103042392154791</v>
      </c>
      <c r="N108" s="189">
        <v>53.092646668436316</v>
      </c>
      <c r="O108" s="189">
        <v>9.1002969003493828</v>
      </c>
      <c r="P108" s="189">
        <v>6.7328800000000001E-3</v>
      </c>
      <c r="Q108" s="189">
        <v>418.19130434782608</v>
      </c>
      <c r="R108" s="189">
        <v>2.6</v>
      </c>
      <c r="S108" s="189">
        <v>16.100000000000001</v>
      </c>
      <c r="T108" s="189">
        <v>1.3199999999999932</v>
      </c>
      <c r="U108" s="189">
        <v>87.67</v>
      </c>
      <c r="V108" s="189">
        <v>4.2899999999999991</v>
      </c>
      <c r="W108" s="189">
        <v>65.661626666666663</v>
      </c>
      <c r="X108" s="189">
        <v>-65</v>
      </c>
      <c r="Y108" s="189">
        <v>5.0862642857142903</v>
      </c>
      <c r="Z108" s="189">
        <v>-29.866540000000001</v>
      </c>
    </row>
    <row r="109" spans="1:26" s="189" customFormat="1" x14ac:dyDescent="0.3">
      <c r="A109" s="189" t="s">
        <v>198</v>
      </c>
      <c r="B109" s="189">
        <v>14</v>
      </c>
      <c r="C109" s="189">
        <v>1</v>
      </c>
      <c r="D109" s="189">
        <v>19</v>
      </c>
      <c r="E109" s="189" t="s">
        <v>257</v>
      </c>
      <c r="F109" s="189">
        <v>0.69293559999999998</v>
      </c>
      <c r="G109" s="189">
        <v>-15.886578571428572</v>
      </c>
      <c r="H109" s="189">
        <v>172.4</v>
      </c>
      <c r="I109" s="189">
        <v>106.4</v>
      </c>
      <c r="J109" s="189">
        <v>5.3571428571428568</v>
      </c>
      <c r="K109" s="189">
        <v>221.63120567375884</v>
      </c>
      <c r="L109" s="189">
        <v>18</v>
      </c>
      <c r="M109" s="189">
        <v>65.234549090644506</v>
      </c>
      <c r="N109" s="189">
        <v>31.226580064951285</v>
      </c>
      <c r="O109" s="189">
        <v>8.7984425954317018</v>
      </c>
      <c r="P109" s="189">
        <v>1.5065200000000001E-2</v>
      </c>
      <c r="Q109" s="189">
        <v>617.4262295081968</v>
      </c>
      <c r="R109" s="189">
        <v>4.16</v>
      </c>
      <c r="S109" s="189">
        <v>24.4</v>
      </c>
      <c r="T109" s="189">
        <v>3.519999999999996</v>
      </c>
      <c r="U109" s="189">
        <v>54.99</v>
      </c>
      <c r="V109" s="189">
        <v>2.3770000000000024</v>
      </c>
      <c r="W109" s="189">
        <v>57.202146666666671</v>
      </c>
      <c r="X109" s="189">
        <v>-67.8</v>
      </c>
      <c r="Y109" s="189">
        <v>4.1416714285714296</v>
      </c>
      <c r="Z109" s="189">
        <v>-17.158999999999999</v>
      </c>
    </row>
    <row r="110" spans="1:26" s="189" customFormat="1" x14ac:dyDescent="0.3">
      <c r="A110" s="189" t="s">
        <v>199</v>
      </c>
      <c r="B110" s="189">
        <v>14</v>
      </c>
      <c r="C110" s="189">
        <v>1</v>
      </c>
      <c r="D110" s="189">
        <v>19</v>
      </c>
      <c r="E110" s="189" t="s">
        <v>257</v>
      </c>
      <c r="F110" s="189">
        <v>0.54685449999999991</v>
      </c>
      <c r="G110" s="189">
        <v>-19.061284999999998</v>
      </c>
      <c r="H110" s="189">
        <v>244.17</v>
      </c>
      <c r="I110" s="189">
        <v>153</v>
      </c>
      <c r="J110" s="189">
        <v>12.5</v>
      </c>
      <c r="K110" s="189">
        <v>198.01980198019868</v>
      </c>
      <c r="L110" s="189">
        <v>24</v>
      </c>
      <c r="M110" s="189">
        <v>60.790166905412349</v>
      </c>
      <c r="N110" s="189">
        <v>49.830576041459082</v>
      </c>
      <c r="O110" s="189">
        <v>11.044982882772725</v>
      </c>
      <c r="P110" s="189">
        <v>9.68019E-3</v>
      </c>
      <c r="Q110" s="189">
        <v>534.81712707182317</v>
      </c>
      <c r="R110" s="189">
        <v>1.591</v>
      </c>
      <c r="S110" s="189">
        <v>18.100000000000001</v>
      </c>
      <c r="T110" s="189">
        <v>2.3899999999999864</v>
      </c>
      <c r="U110" s="189">
        <v>41.83</v>
      </c>
      <c r="V110" s="189">
        <v>6.2309999999999945</v>
      </c>
      <c r="W110" s="189">
        <v>70.129384999999985</v>
      </c>
      <c r="X110" s="189">
        <v>-63</v>
      </c>
      <c r="Y110" s="189">
        <v>6.4668202380952202</v>
      </c>
      <c r="Z110" s="189">
        <v>-30.2</v>
      </c>
    </row>
    <row r="111" spans="1:26" s="189" customFormat="1" x14ac:dyDescent="0.3">
      <c r="A111" s="189" t="s">
        <v>200</v>
      </c>
      <c r="B111" s="189">
        <v>14</v>
      </c>
      <c r="C111" s="189">
        <v>1</v>
      </c>
      <c r="D111" s="189">
        <v>19</v>
      </c>
      <c r="E111" s="189" t="s">
        <v>257</v>
      </c>
      <c r="F111" s="189">
        <v>0.69982861538461549</v>
      </c>
      <c r="G111" s="189">
        <v>-21.404576923076924</v>
      </c>
      <c r="H111" s="189">
        <v>210.7</v>
      </c>
      <c r="I111" s="189">
        <v>101.8</v>
      </c>
      <c r="J111" s="189">
        <v>11.818181818181818</v>
      </c>
      <c r="K111" s="189">
        <v>162.89297931259136</v>
      </c>
      <c r="L111" s="189">
        <v>30</v>
      </c>
      <c r="M111" s="189">
        <v>69.087318595865312</v>
      </c>
      <c r="N111" s="189">
        <v>61.425061425061102</v>
      </c>
      <c r="O111" s="189">
        <v>24.198899379043194</v>
      </c>
      <c r="P111" s="189">
        <v>7.2293399999999999E-3</v>
      </c>
      <c r="Q111" s="189">
        <v>240.97800000000001</v>
      </c>
      <c r="R111" s="189">
        <v>0.8</v>
      </c>
      <c r="S111" s="189">
        <v>30</v>
      </c>
      <c r="T111" s="189">
        <v>5.1800000000000068</v>
      </c>
      <c r="U111" s="189">
        <v>67.22</v>
      </c>
      <c r="V111" s="189">
        <v>3.8699999999999974</v>
      </c>
      <c r="W111" s="189">
        <v>60.011646153846151</v>
      </c>
      <c r="X111" s="189">
        <v>-66.040000000000006</v>
      </c>
      <c r="Y111" s="189">
        <v>11.2624404761905</v>
      </c>
      <c r="Z111" s="189">
        <v>-28.32</v>
      </c>
    </row>
    <row r="112" spans="1:26" s="189" customFormat="1" x14ac:dyDescent="0.3">
      <c r="A112" s="189" t="s">
        <v>201</v>
      </c>
      <c r="B112" s="189">
        <v>14</v>
      </c>
      <c r="C112" s="189">
        <v>1</v>
      </c>
      <c r="D112" s="189">
        <v>16</v>
      </c>
      <c r="E112" s="189" t="s">
        <v>257</v>
      </c>
      <c r="F112" s="189">
        <v>0.60072928000000003</v>
      </c>
      <c r="G112" s="189">
        <v>-12.248539999999998</v>
      </c>
      <c r="H112" s="189">
        <v>273</v>
      </c>
      <c r="I112" s="189">
        <v>153</v>
      </c>
      <c r="J112" s="189">
        <v>3.75</v>
      </c>
      <c r="K112" s="189">
        <v>226.75736961451264</v>
      </c>
      <c r="L112" s="189">
        <v>34</v>
      </c>
      <c r="M112" s="189">
        <v>32.511696903100834</v>
      </c>
      <c r="N112" s="189">
        <v>60.474117077890448</v>
      </c>
      <c r="O112" s="189">
        <v>6.3670629449809013</v>
      </c>
      <c r="P112" s="189">
        <v>7.89692E-3</v>
      </c>
      <c r="Q112" s="189">
        <v>295.76479400749065</v>
      </c>
      <c r="R112" s="189">
        <v>1.77</v>
      </c>
      <c r="S112" s="189">
        <v>26.7</v>
      </c>
      <c r="T112" s="189">
        <v>1.3830000000000098</v>
      </c>
      <c r="U112" s="189">
        <v>100.36499999999999</v>
      </c>
      <c r="V112" s="189">
        <v>2.529999999999994</v>
      </c>
      <c r="W112" s="189">
        <v>81.923839999999998</v>
      </c>
      <c r="X112" s="189">
        <v>-64.42</v>
      </c>
      <c r="Y112" s="189">
        <v>1.81652261904762</v>
      </c>
      <c r="Z112" s="189">
        <v>-34.79</v>
      </c>
    </row>
    <row r="113" spans="1:26" s="189" customFormat="1" x14ac:dyDescent="0.3">
      <c r="A113" s="189" t="s">
        <v>202</v>
      </c>
      <c r="B113" s="189">
        <v>14</v>
      </c>
      <c r="C113" s="189">
        <v>1</v>
      </c>
      <c r="D113" s="189">
        <v>16</v>
      </c>
      <c r="E113" s="189" t="s">
        <v>257</v>
      </c>
      <c r="F113" s="189">
        <v>0.52446637499999993</v>
      </c>
      <c r="G113" s="189">
        <v>-13.239343478260867</v>
      </c>
      <c r="H113" s="189">
        <v>295.64999999999998</v>
      </c>
      <c r="I113" s="189">
        <v>174.22</v>
      </c>
      <c r="J113" s="189">
        <v>4.6875</v>
      </c>
      <c r="K113" s="189">
        <v>250.87807325639622</v>
      </c>
      <c r="L113" s="189">
        <v>40</v>
      </c>
      <c r="M113" s="189">
        <v>34.166482233987402</v>
      </c>
      <c r="N113" s="189">
        <v>75.872534142639992</v>
      </c>
      <c r="O113" s="189">
        <v>9.1578626760830257</v>
      </c>
      <c r="P113" s="189">
        <v>6.5080600000000004E-3</v>
      </c>
      <c r="Q113" s="189">
        <v>510.83673469387753</v>
      </c>
      <c r="R113" s="189">
        <v>2.1</v>
      </c>
      <c r="S113" s="189">
        <v>12.74</v>
      </c>
      <c r="T113" s="189">
        <v>2.4830000000000041</v>
      </c>
      <c r="U113" s="189">
        <v>47.484999999999999</v>
      </c>
      <c r="V113" s="189">
        <v>3.3500000000000014</v>
      </c>
      <c r="W113" s="189">
        <v>82.308449999999993</v>
      </c>
      <c r="X113" s="189">
        <v>-66</v>
      </c>
      <c r="Y113" s="189">
        <v>2.3251476190476099</v>
      </c>
      <c r="Z113" s="189">
        <v>-42.808516666666662</v>
      </c>
    </row>
    <row r="114" spans="1:26" s="198" customFormat="1" x14ac:dyDescent="0.3">
      <c r="A114" s="198" t="s">
        <v>161</v>
      </c>
      <c r="B114" s="198">
        <v>14</v>
      </c>
      <c r="C114" s="198">
        <v>2</v>
      </c>
      <c r="D114" s="198">
        <v>16</v>
      </c>
      <c r="E114" s="198" t="s">
        <v>258</v>
      </c>
      <c r="F114" s="198">
        <v>0.59651900000000002</v>
      </c>
      <c r="G114" s="198">
        <v>-17.511536363636363</v>
      </c>
      <c r="H114" s="198">
        <v>212.5</v>
      </c>
      <c r="I114" s="198">
        <v>130.19</v>
      </c>
      <c r="J114" s="198">
        <v>11.428571428571429</v>
      </c>
      <c r="K114" s="198">
        <v>253.61399949277305</v>
      </c>
      <c r="L114" s="198">
        <v>58</v>
      </c>
      <c r="M114" s="198">
        <v>53.214708958908489</v>
      </c>
      <c r="N114" s="198">
        <v>112.08249271463765</v>
      </c>
      <c r="O114" s="198">
        <v>21.600150464215464</v>
      </c>
      <c r="P114" s="198">
        <v>8.9700000000000005E-3</v>
      </c>
      <c r="Q114" s="198">
        <v>338.4905660377359</v>
      </c>
      <c r="R114" s="198">
        <v>1.31</v>
      </c>
      <c r="S114" s="198">
        <v>26.5</v>
      </c>
      <c r="T114" s="198">
        <v>1.7199999999999989</v>
      </c>
      <c r="U114" s="198">
        <v>76.481480000000005</v>
      </c>
      <c r="V114" s="198">
        <v>2.9600000000000009</v>
      </c>
      <c r="W114" s="198">
        <v>63.711990476190479</v>
      </c>
      <c r="X114" s="198">
        <v>-67.03</v>
      </c>
      <c r="Y114" s="198">
        <v>5.3042452380952296</v>
      </c>
      <c r="Z114" s="198">
        <v>-32.842733333333335</v>
      </c>
    </row>
    <row r="115" spans="1:26" s="189" customFormat="1" x14ac:dyDescent="0.3">
      <c r="A115" s="189" t="s">
        <v>162</v>
      </c>
      <c r="B115" s="189">
        <v>14</v>
      </c>
      <c r="C115" s="189">
        <v>2</v>
      </c>
      <c r="D115" s="189">
        <v>16</v>
      </c>
      <c r="E115" s="189" t="s">
        <v>258</v>
      </c>
      <c r="F115" s="189">
        <v>0.43777560714285718</v>
      </c>
      <c r="G115" s="189">
        <v>-25.299067857142862</v>
      </c>
      <c r="H115" s="189">
        <v>284.10000000000002</v>
      </c>
      <c r="I115" s="189">
        <v>186.1</v>
      </c>
      <c r="J115" s="189">
        <v>11.111111111111111</v>
      </c>
      <c r="K115" s="189">
        <v>169.72165648336738</v>
      </c>
      <c r="L115" s="189">
        <v>24</v>
      </c>
      <c r="M115" s="189">
        <v>91.99585025232372</v>
      </c>
      <c r="N115" s="189">
        <v>49.385154822460308</v>
      </c>
      <c r="O115" s="189">
        <v>21.055415018364858</v>
      </c>
      <c r="P115" s="189">
        <v>9.7796900000000006E-3</v>
      </c>
      <c r="Q115" s="189">
        <v>380.53268482490279</v>
      </c>
      <c r="R115" s="189">
        <v>0.7</v>
      </c>
      <c r="S115" s="189">
        <v>25.7</v>
      </c>
      <c r="T115" s="189">
        <v>4.3499999999999943</v>
      </c>
      <c r="U115" s="189">
        <v>56.937939999999998</v>
      </c>
      <c r="V115" s="189">
        <v>3.3800000000000026</v>
      </c>
      <c r="W115" s="189">
        <v>67.949571428571431</v>
      </c>
      <c r="X115" s="189">
        <v>-65.39</v>
      </c>
      <c r="Y115" s="189">
        <v>9.1552726190476097</v>
      </c>
      <c r="Z115" s="189">
        <v>-35.380774999999993</v>
      </c>
    </row>
    <row r="116" spans="1:26" s="189" customFormat="1" x14ac:dyDescent="0.3">
      <c r="A116" s="189" t="s">
        <v>163</v>
      </c>
      <c r="B116" s="189">
        <v>14</v>
      </c>
      <c r="C116" s="189">
        <v>2</v>
      </c>
      <c r="D116" s="189">
        <v>17</v>
      </c>
      <c r="E116" s="189" t="s">
        <v>258</v>
      </c>
      <c r="F116" s="189">
        <v>0.57406783333333322</v>
      </c>
      <c r="G116" s="189">
        <v>-18.7988</v>
      </c>
      <c r="H116" s="189">
        <v>262.49</v>
      </c>
      <c r="I116" s="189">
        <v>138.6</v>
      </c>
      <c r="J116" s="189">
        <v>10</v>
      </c>
      <c r="K116" s="189">
        <v>251.88916876574314</v>
      </c>
      <c r="L116" s="189">
        <v>46</v>
      </c>
      <c r="M116" s="189">
        <v>93.058193208000603</v>
      </c>
      <c r="N116" s="189">
        <v>79.113924050633003</v>
      </c>
      <c r="O116" s="189">
        <v>17.727638398602288</v>
      </c>
      <c r="P116" s="189">
        <v>5.5132999999999996E-3</v>
      </c>
      <c r="Q116" s="189">
        <v>334.13939393939393</v>
      </c>
      <c r="R116" s="189">
        <v>1.35</v>
      </c>
      <c r="S116" s="189">
        <v>16.5</v>
      </c>
      <c r="T116" s="189">
        <v>3.5899999999999892</v>
      </c>
      <c r="U116" s="189">
        <v>43.382353000000002</v>
      </c>
      <c r="V116" s="189">
        <v>2.1199999999999974</v>
      </c>
      <c r="W116" s="189">
        <v>68.433972222222224</v>
      </c>
      <c r="X116" s="189">
        <v>-67</v>
      </c>
      <c r="Y116" s="189">
        <v>4.5776369047618797</v>
      </c>
      <c r="Z116" s="189">
        <v>-37.506111111111117</v>
      </c>
    </row>
    <row r="117" spans="1:26" s="189" customFormat="1" x14ac:dyDescent="0.3">
      <c r="A117" s="189" t="s">
        <v>164</v>
      </c>
      <c r="B117" s="189">
        <v>14</v>
      </c>
      <c r="C117" s="189">
        <v>2</v>
      </c>
      <c r="D117" s="189">
        <v>17</v>
      </c>
      <c r="E117" s="189" t="s">
        <v>258</v>
      </c>
      <c r="F117" s="189">
        <v>0.44420399999999999</v>
      </c>
      <c r="G117" s="189">
        <v>-28.691608333333335</v>
      </c>
      <c r="H117" s="189">
        <v>274</v>
      </c>
      <c r="I117" s="189">
        <v>172</v>
      </c>
      <c r="J117" s="189">
        <v>7.0454545454545459</v>
      </c>
      <c r="K117" s="189">
        <v>229.46305644791167</v>
      </c>
      <c r="L117" s="189">
        <v>36</v>
      </c>
      <c r="M117" s="189">
        <v>43.005378060065702</v>
      </c>
      <c r="N117" s="189">
        <v>66.666666666666671</v>
      </c>
      <c r="O117" s="189">
        <v>11.301313830657529</v>
      </c>
      <c r="P117" s="189">
        <v>8.2363499999999999E-3</v>
      </c>
      <c r="Q117" s="189">
        <v>410.79052369077306</v>
      </c>
      <c r="R117" s="189">
        <v>1.1000000000000001</v>
      </c>
      <c r="S117" s="189">
        <v>20.05</v>
      </c>
      <c r="T117" s="189">
        <v>3.4300000000000068</v>
      </c>
      <c r="U117" s="189">
        <v>35.347043499999998</v>
      </c>
      <c r="V117" s="189">
        <v>2.9399999999999977</v>
      </c>
      <c r="W117" s="189">
        <v>58.466788000000008</v>
      </c>
      <c r="X117" s="189">
        <v>-65.95</v>
      </c>
      <c r="Y117" s="189">
        <v>1.81652142857142</v>
      </c>
      <c r="Z117" s="189">
        <v>-24.240724</v>
      </c>
    </row>
    <row r="118" spans="1:26" s="189" customFormat="1" x14ac:dyDescent="0.3">
      <c r="A118" s="189" t="s">
        <v>166</v>
      </c>
      <c r="B118" s="189">
        <v>14</v>
      </c>
      <c r="C118" s="189">
        <v>2</v>
      </c>
      <c r="D118" s="189">
        <v>17</v>
      </c>
      <c r="E118" s="189" t="s">
        <v>258</v>
      </c>
      <c r="F118" s="189">
        <v>0.68177335714285714</v>
      </c>
      <c r="G118" s="189">
        <v>-16.775269230769233</v>
      </c>
      <c r="H118" s="189">
        <v>226.56</v>
      </c>
      <c r="I118" s="189">
        <v>123.29</v>
      </c>
      <c r="J118" s="189">
        <v>9.0909090909090899</v>
      </c>
      <c r="K118" s="189">
        <v>239.23444976076516</v>
      </c>
      <c r="L118" s="189">
        <v>45</v>
      </c>
      <c r="M118" s="189">
        <v>51.328463360674519</v>
      </c>
      <c r="N118" s="189">
        <v>81.947062197820372</v>
      </c>
      <c r="O118" s="189">
        <v>16.696508715810143</v>
      </c>
      <c r="P118" s="189">
        <v>5.6049799999999999E-3</v>
      </c>
      <c r="Q118" s="189">
        <v>214.75019157088121</v>
      </c>
      <c r="R118" s="189">
        <v>0.9</v>
      </c>
      <c r="S118" s="189">
        <v>26.1</v>
      </c>
      <c r="T118" s="189">
        <v>4.7959999999999923</v>
      </c>
      <c r="U118" s="189">
        <v>59.603614999999998</v>
      </c>
      <c r="V118" s="189">
        <v>2.3400000000000034</v>
      </c>
      <c r="W118" s="189">
        <v>67.073264285714274</v>
      </c>
      <c r="X118" s="189">
        <v>-65.8</v>
      </c>
      <c r="Y118" s="189">
        <v>5.23158452380952</v>
      </c>
      <c r="Z118" s="189">
        <v>-35.317564285714283</v>
      </c>
    </row>
    <row r="119" spans="1:26" s="189" customFormat="1" x14ac:dyDescent="0.3">
      <c r="A119" s="189" t="s">
        <v>169</v>
      </c>
      <c r="B119" s="189">
        <v>14</v>
      </c>
      <c r="C119" s="189">
        <v>2</v>
      </c>
      <c r="D119" s="189">
        <v>19</v>
      </c>
      <c r="E119" s="189" t="s">
        <v>258</v>
      </c>
      <c r="F119" s="189">
        <v>0.43186160869565227</v>
      </c>
      <c r="G119" s="189">
        <v>-22.224743478260869</v>
      </c>
      <c r="H119" s="189">
        <v>334.1</v>
      </c>
      <c r="I119" s="189">
        <v>230.5</v>
      </c>
      <c r="J119" s="189">
        <v>11.25</v>
      </c>
      <c r="K119" s="189">
        <v>231.64234422052465</v>
      </c>
      <c r="L119" s="189">
        <v>59</v>
      </c>
      <c r="M119" s="189">
        <v>46.362468778572044</v>
      </c>
      <c r="N119" s="189">
        <v>109.03936321011827</v>
      </c>
      <c r="O119" s="189">
        <v>20.665024458328702</v>
      </c>
      <c r="P119" s="189">
        <v>1.0199400000000001E-2</v>
      </c>
      <c r="Q119" s="189">
        <v>576.23728813559319</v>
      </c>
      <c r="R119" s="189">
        <v>0.77</v>
      </c>
      <c r="S119" s="189">
        <v>17.7</v>
      </c>
      <c r="T119" s="189">
        <v>5.5300000000000011</v>
      </c>
      <c r="U119" s="189">
        <v>50.24</v>
      </c>
      <c r="V119" s="189">
        <v>4.7510000000000048</v>
      </c>
      <c r="W119" s="189">
        <v>80.813199999999995</v>
      </c>
      <c r="X119" s="189">
        <v>-66.650000000000006</v>
      </c>
      <c r="Y119" s="189">
        <v>6.0308547619047603</v>
      </c>
      <c r="Z119" s="189">
        <v>-42.878530434782604</v>
      </c>
    </row>
    <row r="120" spans="1:26" s="189" customFormat="1" x14ac:dyDescent="0.3">
      <c r="A120" s="189" t="s">
        <v>171</v>
      </c>
      <c r="B120" s="189">
        <v>14</v>
      </c>
      <c r="C120" s="189">
        <v>2</v>
      </c>
      <c r="D120" s="189">
        <v>17</v>
      </c>
      <c r="E120" s="189" t="s">
        <v>258</v>
      </c>
      <c r="F120" s="189">
        <v>0.59243139130434763</v>
      </c>
      <c r="G120" s="189">
        <v>-15.402104347826089</v>
      </c>
      <c r="H120" s="189">
        <v>299.41000000000003</v>
      </c>
      <c r="I120" s="189">
        <v>164.6</v>
      </c>
      <c r="J120" s="189">
        <v>10</v>
      </c>
      <c r="K120" s="189">
        <v>227.94620469569179</v>
      </c>
      <c r="L120" s="189">
        <v>48</v>
      </c>
      <c r="M120" s="189">
        <v>55.737823576857991</v>
      </c>
      <c r="N120" s="189">
        <v>87.950747581354406</v>
      </c>
      <c r="O120" s="189">
        <v>18.208945538663109</v>
      </c>
      <c r="P120" s="189">
        <v>8.0454299999999992E-3</v>
      </c>
      <c r="Q120" s="189">
        <v>338.04327731092434</v>
      </c>
      <c r="R120" s="189">
        <v>0.73</v>
      </c>
      <c r="S120" s="189">
        <v>23.8</v>
      </c>
      <c r="T120" s="189">
        <v>5.4200000000000017</v>
      </c>
      <c r="U120" s="189">
        <v>76.037615000000002</v>
      </c>
      <c r="V120" s="189">
        <v>3.269999999999996</v>
      </c>
      <c r="W120" s="189">
        <v>83.244</v>
      </c>
      <c r="X120" s="189">
        <v>-65.900000000000006</v>
      </c>
      <c r="Y120" s="189">
        <v>6.2488369047618999</v>
      </c>
      <c r="Z120" s="189">
        <v>-41.217300000000002</v>
      </c>
    </row>
    <row r="121" spans="1:26" s="189" customFormat="1" x14ac:dyDescent="0.3">
      <c r="A121" s="189" t="s">
        <v>173</v>
      </c>
      <c r="B121" s="189">
        <v>14</v>
      </c>
      <c r="C121" s="189">
        <v>2</v>
      </c>
      <c r="D121" s="189">
        <v>16</v>
      </c>
      <c r="E121" s="189" t="s">
        <v>258</v>
      </c>
      <c r="F121" s="189">
        <v>0.73856293103448289</v>
      </c>
      <c r="G121" s="189">
        <v>-25.794727586206893</v>
      </c>
      <c r="H121" s="189">
        <v>220.4</v>
      </c>
      <c r="I121" s="189">
        <v>106.4</v>
      </c>
      <c r="J121" s="189">
        <v>13.75</v>
      </c>
      <c r="K121" s="189">
        <v>196.07843137254923</v>
      </c>
      <c r="L121" s="189">
        <v>35</v>
      </c>
      <c r="M121" s="189">
        <v>121.67772435398462</v>
      </c>
      <c r="N121" s="189">
        <v>63.19115323854642</v>
      </c>
      <c r="O121" s="189">
        <v>24.669348332408177</v>
      </c>
      <c r="P121" s="189">
        <v>6.2831099999999997E-3</v>
      </c>
      <c r="Q121" s="189">
        <v>187.5555223880597</v>
      </c>
      <c r="R121" s="189">
        <v>1.1499999999999999</v>
      </c>
      <c r="S121" s="189">
        <v>33.5</v>
      </c>
      <c r="T121" s="189">
        <v>1.7199999999999989</v>
      </c>
      <c r="U121" s="189">
        <v>50.01</v>
      </c>
      <c r="V121" s="189">
        <v>3.9420000000000002</v>
      </c>
      <c r="W121" s="189">
        <v>66.199996551724098</v>
      </c>
      <c r="X121" s="189">
        <v>-66.41</v>
      </c>
      <c r="Y121" s="189">
        <v>5.9581940476190596</v>
      </c>
      <c r="Z121" s="189">
        <v>-27.137489655172406</v>
      </c>
    </row>
    <row r="122" spans="1:26" s="189" customFormat="1" x14ac:dyDescent="0.3">
      <c r="A122" s="189" t="s">
        <v>175</v>
      </c>
      <c r="B122" s="189">
        <v>14</v>
      </c>
      <c r="C122" s="189">
        <v>2</v>
      </c>
      <c r="D122" s="189">
        <v>16</v>
      </c>
      <c r="E122" s="189" t="s">
        <v>258</v>
      </c>
      <c r="F122" s="189">
        <v>0.85713493333333324</v>
      </c>
      <c r="G122" s="189">
        <v>-17.887510344827586</v>
      </c>
      <c r="H122" s="189">
        <v>194.6</v>
      </c>
      <c r="I122" s="189">
        <v>93.4</v>
      </c>
      <c r="J122" s="189">
        <v>10.263157894736842</v>
      </c>
      <c r="K122" s="189">
        <v>171.90991920233861</v>
      </c>
      <c r="L122" s="189">
        <v>23</v>
      </c>
      <c r="M122" s="189">
        <v>135.44278908712351</v>
      </c>
      <c r="N122" s="189">
        <v>50.423557886244467</v>
      </c>
      <c r="O122" s="189">
        <v>18.303816295001837</v>
      </c>
      <c r="P122" s="189">
        <v>4.8682300000000003E-3</v>
      </c>
      <c r="Q122" s="189">
        <v>224.34239631336408</v>
      </c>
      <c r="R122" s="189">
        <v>1.85</v>
      </c>
      <c r="S122" s="189">
        <v>21.7</v>
      </c>
      <c r="T122" s="189">
        <v>2.8400000000000034</v>
      </c>
      <c r="U122" s="189">
        <v>60.221870000000003</v>
      </c>
      <c r="V122" s="189">
        <v>4.4480000000000004</v>
      </c>
      <c r="W122" s="189">
        <v>74.070233333333363</v>
      </c>
      <c r="X122" s="189">
        <v>-71</v>
      </c>
      <c r="Y122" s="189">
        <v>6.7816857142857403</v>
      </c>
      <c r="Z122" s="189">
        <v>-33.020000000000003</v>
      </c>
    </row>
    <row r="123" spans="1:26" s="189" customFormat="1" x14ac:dyDescent="0.3">
      <c r="A123" s="189" t="s">
        <v>177</v>
      </c>
      <c r="B123" s="189">
        <v>14</v>
      </c>
      <c r="C123" s="189">
        <v>2</v>
      </c>
      <c r="D123" s="189">
        <v>16</v>
      </c>
      <c r="E123" s="189" t="s">
        <v>258</v>
      </c>
      <c r="F123" s="189">
        <v>0.75680099999999972</v>
      </c>
      <c r="G123" s="189">
        <v>-20.943196666666665</v>
      </c>
      <c r="H123" s="189">
        <v>210</v>
      </c>
      <c r="I123" s="189">
        <v>118.55</v>
      </c>
      <c r="J123" s="189">
        <v>6.4285714285714288</v>
      </c>
      <c r="K123" s="189">
        <v>168.77637130801736</v>
      </c>
      <c r="L123" s="189">
        <v>28</v>
      </c>
      <c r="M123" s="189">
        <v>48.172235084595528</v>
      </c>
      <c r="N123" s="189">
        <v>44.873233116446102</v>
      </c>
      <c r="O123" s="189">
        <v>11.259133899013337</v>
      </c>
      <c r="P123" s="189">
        <v>4.57487E-3</v>
      </c>
      <c r="Q123" s="189">
        <v>228.74350000000001</v>
      </c>
      <c r="R123" s="189">
        <v>1.3</v>
      </c>
      <c r="S123" s="189">
        <v>20</v>
      </c>
      <c r="T123" s="189">
        <v>2.8389999999999986</v>
      </c>
      <c r="U123" s="189">
        <v>47.608454000000002</v>
      </c>
      <c r="V123" s="189">
        <v>3.7100000000000009</v>
      </c>
      <c r="W123" s="189">
        <v>74.328620000000015</v>
      </c>
      <c r="X123" s="189">
        <v>-68</v>
      </c>
      <c r="Y123" s="189">
        <v>7.3629698412698197</v>
      </c>
      <c r="Z123" s="189">
        <v>-36.496976666666669</v>
      </c>
    </row>
    <row r="124" spans="1:26" s="189" customFormat="1" x14ac:dyDescent="0.3">
      <c r="A124" s="189" t="s">
        <v>179</v>
      </c>
      <c r="B124" s="189">
        <v>14</v>
      </c>
      <c r="C124" s="189">
        <v>2</v>
      </c>
      <c r="D124" s="189">
        <v>15</v>
      </c>
      <c r="E124" s="189" t="s">
        <v>258</v>
      </c>
      <c r="F124" s="189">
        <v>0.70381073333333333</v>
      </c>
      <c r="G124" s="189">
        <v>-11.985283333333333</v>
      </c>
      <c r="H124" s="189">
        <v>220.27</v>
      </c>
      <c r="I124" s="189">
        <v>132.97</v>
      </c>
      <c r="J124" s="189">
        <v>8.3333333333333339</v>
      </c>
      <c r="K124" s="189">
        <v>177.49378771742943</v>
      </c>
      <c r="L124" s="189">
        <v>34</v>
      </c>
      <c r="M124" s="189">
        <v>74.119227134199406</v>
      </c>
      <c r="N124" s="189">
        <v>64.226075786769229</v>
      </c>
      <c r="O124" s="189">
        <v>14.338278770240885</v>
      </c>
      <c r="P124" s="189">
        <v>1.4364999999999999E-2</v>
      </c>
      <c r="Q124" s="189">
        <v>389.29539295392954</v>
      </c>
      <c r="R124" s="189">
        <v>0.47599999999999998</v>
      </c>
      <c r="S124" s="189">
        <v>36.9</v>
      </c>
      <c r="T124" s="189">
        <v>2.480000000000004</v>
      </c>
      <c r="U124" s="189">
        <v>75.368650000000002</v>
      </c>
      <c r="V124" s="189">
        <v>4.1199999999999974</v>
      </c>
      <c r="W124" s="189">
        <v>64.039961538461526</v>
      </c>
      <c r="X124" s="189">
        <v>-65</v>
      </c>
      <c r="Y124" s="189">
        <v>4.4565349206349101</v>
      </c>
      <c r="Z124" s="189">
        <v>-28.71938461538462</v>
      </c>
    </row>
    <row r="125" spans="1:26" s="191" customFormat="1" x14ac:dyDescent="0.3">
      <c r="A125" s="190" t="s">
        <v>181</v>
      </c>
      <c r="B125" s="191">
        <v>14</v>
      </c>
      <c r="C125" s="191">
        <v>2</v>
      </c>
      <c r="D125" s="192">
        <v>14</v>
      </c>
      <c r="E125" s="193" t="s">
        <v>258</v>
      </c>
      <c r="F125" s="191">
        <v>0.61288623529411768</v>
      </c>
      <c r="G125" s="191">
        <v>-13.384623529411764</v>
      </c>
      <c r="H125" s="191">
        <v>243.04</v>
      </c>
      <c r="I125" s="191">
        <v>150.34</v>
      </c>
      <c r="J125" s="189">
        <v>10.625</v>
      </c>
      <c r="K125" s="191">
        <v>234.7417840375592</v>
      </c>
      <c r="L125" s="191">
        <v>41</v>
      </c>
      <c r="M125" s="189">
        <v>88.765733098641689</v>
      </c>
      <c r="N125" s="191">
        <v>74.872716382150372</v>
      </c>
      <c r="O125" s="189">
        <v>17.78801906339773</v>
      </c>
      <c r="P125" s="194">
        <v>9.2205900000000007E-3</v>
      </c>
      <c r="Q125" s="191">
        <v>397.43922413793103</v>
      </c>
      <c r="R125" s="193">
        <v>1.94</v>
      </c>
      <c r="S125" s="191">
        <v>23.2</v>
      </c>
      <c r="T125" s="191">
        <v>2.9200000000000017</v>
      </c>
      <c r="U125" s="191">
        <v>54.15</v>
      </c>
      <c r="V125" s="191">
        <v>2.0700000000000003</v>
      </c>
      <c r="W125" s="191">
        <v>76.477047058823516</v>
      </c>
      <c r="X125" s="191">
        <v>-66.599999999999994</v>
      </c>
      <c r="Y125" s="191">
        <v>2.2282666666666602</v>
      </c>
      <c r="Z125" s="191">
        <v>-38.024917647058814</v>
      </c>
    </row>
    <row r="126" spans="1:26" s="191" customFormat="1" x14ac:dyDescent="0.3">
      <c r="A126" s="190" t="s">
        <v>183</v>
      </c>
      <c r="B126" s="191">
        <v>14</v>
      </c>
      <c r="C126" s="191">
        <v>2</v>
      </c>
      <c r="D126" s="192">
        <v>14</v>
      </c>
      <c r="E126" s="193" t="s">
        <v>258</v>
      </c>
      <c r="F126" s="191">
        <v>0.71910734482758598</v>
      </c>
      <c r="G126" s="191">
        <v>-13.833927586206901</v>
      </c>
      <c r="H126" s="191">
        <v>208.05</v>
      </c>
      <c r="I126" s="191">
        <v>120.22</v>
      </c>
      <c r="J126" s="189">
        <v>9.375</v>
      </c>
      <c r="K126" s="191">
        <v>219.78021978021923</v>
      </c>
      <c r="L126" s="191">
        <v>37</v>
      </c>
      <c r="M126" s="189">
        <v>114.61022955817685</v>
      </c>
      <c r="N126" s="191">
        <v>65.312520410162477</v>
      </c>
      <c r="O126" s="189">
        <v>17.337780246968066</v>
      </c>
      <c r="P126" s="191">
        <v>7.3106100000000004E-3</v>
      </c>
      <c r="Q126" s="191">
        <v>249.50887372013651</v>
      </c>
      <c r="R126" s="193">
        <v>1.04</v>
      </c>
      <c r="S126" s="191">
        <v>29.3</v>
      </c>
      <c r="T126" s="191">
        <v>3.4099999999999966</v>
      </c>
      <c r="U126" s="191">
        <v>61.991349999999997</v>
      </c>
      <c r="V126" s="191">
        <v>3.8900000000000006</v>
      </c>
      <c r="W126" s="191">
        <v>76.285531034482744</v>
      </c>
      <c r="X126" s="191">
        <v>-67.5</v>
      </c>
      <c r="Y126" s="191">
        <v>2.51891269841268</v>
      </c>
      <c r="Z126" s="191">
        <v>-38.294303448275869</v>
      </c>
    </row>
    <row r="127" spans="1:26" s="191" customFormat="1" x14ac:dyDescent="0.3">
      <c r="A127" s="190" t="s">
        <v>185</v>
      </c>
      <c r="B127" s="191">
        <v>14</v>
      </c>
      <c r="C127" s="191">
        <v>2</v>
      </c>
      <c r="D127" s="192">
        <v>14</v>
      </c>
      <c r="E127" s="193" t="s">
        <v>258</v>
      </c>
      <c r="F127" s="191">
        <v>0.61940659999999992</v>
      </c>
      <c r="G127" s="191">
        <v>-12.288423333333332</v>
      </c>
      <c r="H127" s="191">
        <v>265.45</v>
      </c>
      <c r="I127" s="191">
        <v>148.01</v>
      </c>
      <c r="J127" s="189">
        <v>13.125</v>
      </c>
      <c r="K127" s="191">
        <v>233.31777881474562</v>
      </c>
      <c r="L127" s="191">
        <v>42</v>
      </c>
      <c r="M127" s="189">
        <v>83.935041131660753</v>
      </c>
      <c r="N127" s="191">
        <v>76.405867970659685</v>
      </c>
      <c r="O127" s="189">
        <v>24.806995013555493</v>
      </c>
      <c r="P127" s="191">
        <v>7.62073E-3</v>
      </c>
      <c r="Q127" s="191">
        <v>231.63313069908816</v>
      </c>
      <c r="R127" s="193">
        <v>1.1399999999999999</v>
      </c>
      <c r="S127" s="191">
        <v>32.9</v>
      </c>
      <c r="T127" s="191">
        <v>2.4000000000000057</v>
      </c>
      <c r="U127" s="191">
        <v>64.694999999999993</v>
      </c>
      <c r="V127" s="191">
        <v>0.68999999999999773</v>
      </c>
      <c r="W127" s="191">
        <v>76.293943333333331</v>
      </c>
      <c r="X127" s="191">
        <v>-63</v>
      </c>
      <c r="Y127" s="191">
        <v>2.7126730158729999</v>
      </c>
      <c r="Z127" s="191">
        <v>-33.540849999999999</v>
      </c>
    </row>
    <row r="128" spans="1:26" s="191" customFormat="1" x14ac:dyDescent="0.3">
      <c r="A128" s="193" t="s">
        <v>187</v>
      </c>
      <c r="B128" s="191">
        <v>14</v>
      </c>
      <c r="C128" s="191">
        <v>2</v>
      </c>
      <c r="D128" s="192">
        <v>14</v>
      </c>
      <c r="E128" s="193" t="s">
        <v>258</v>
      </c>
      <c r="F128" s="191">
        <v>0.70102951851851847</v>
      </c>
      <c r="G128" s="191">
        <v>-17.064981481481478</v>
      </c>
      <c r="H128" s="191">
        <v>204.66</v>
      </c>
      <c r="I128" s="191">
        <v>116.61</v>
      </c>
      <c r="J128" s="189">
        <v>21.833465110614103</v>
      </c>
      <c r="K128" s="191">
        <v>205.0440844781624</v>
      </c>
      <c r="L128" s="191">
        <v>35</v>
      </c>
      <c r="M128" s="189">
        <v>95.689680453839713</v>
      </c>
      <c r="N128" s="191">
        <v>48.030739673390855</v>
      </c>
      <c r="O128" s="189">
        <v>21.833465110614103</v>
      </c>
      <c r="P128" s="191">
        <v>1.90361E-2</v>
      </c>
      <c r="Q128" s="191">
        <v>820.52155172413802</v>
      </c>
      <c r="R128" s="193">
        <v>1.25</v>
      </c>
      <c r="S128" s="191">
        <v>23.2</v>
      </c>
      <c r="T128" s="191">
        <v>2.1760000000000019</v>
      </c>
      <c r="U128" s="191">
        <v>67.809240000000003</v>
      </c>
      <c r="V128" s="191">
        <v>3.0779999999999959</v>
      </c>
      <c r="W128" s="191">
        <v>71.354614814814823</v>
      </c>
      <c r="X128" s="191">
        <v>-60</v>
      </c>
      <c r="Y128" s="191">
        <v>4.0690095238095401</v>
      </c>
      <c r="Z128" s="191">
        <v>-25.792992592592597</v>
      </c>
    </row>
    <row r="129" spans="1:30" s="191" customFormat="1" x14ac:dyDescent="0.3">
      <c r="A129" s="193" t="s">
        <v>189</v>
      </c>
      <c r="B129" s="191">
        <v>14</v>
      </c>
      <c r="C129" s="191">
        <v>2</v>
      </c>
      <c r="D129" s="192">
        <v>18</v>
      </c>
      <c r="E129" s="193" t="s">
        <v>258</v>
      </c>
      <c r="F129" s="191">
        <v>0.50786206896551722</v>
      </c>
      <c r="G129" s="191">
        <v>-20.002686206896552</v>
      </c>
      <c r="H129" s="191">
        <v>350.8</v>
      </c>
      <c r="I129" s="191">
        <v>215.95</v>
      </c>
      <c r="J129" s="189">
        <v>8.75</v>
      </c>
      <c r="K129" s="191">
        <v>201.04543626859711</v>
      </c>
      <c r="L129" s="191">
        <v>39</v>
      </c>
      <c r="M129" s="189">
        <v>63.243518026361855</v>
      </c>
      <c r="N129" s="191">
        <v>70.126227208976204</v>
      </c>
      <c r="O129" s="189">
        <v>15.626752226908312</v>
      </c>
      <c r="P129" s="191">
        <v>1.11501E-2</v>
      </c>
      <c r="Q129" s="191">
        <v>414.50185873605949</v>
      </c>
      <c r="R129" s="193">
        <v>0.64800000000000002</v>
      </c>
      <c r="S129" s="191">
        <v>26.9</v>
      </c>
      <c r="T129" s="191">
        <v>5.9900000000000091</v>
      </c>
      <c r="U129" s="191">
        <v>48.025455999999998</v>
      </c>
      <c r="V129" s="191">
        <v>3.1700000000000017</v>
      </c>
      <c r="W129" s="191">
        <v>87.86957241379308</v>
      </c>
      <c r="X129" s="191">
        <v>-70</v>
      </c>
      <c r="Y129" s="191">
        <v>7.9442571428571398</v>
      </c>
      <c r="Z129" s="191">
        <v>-44.728248275862072</v>
      </c>
    </row>
    <row r="130" spans="1:30" s="191" customFormat="1" x14ac:dyDescent="0.3">
      <c r="A130" s="193" t="s">
        <v>191</v>
      </c>
      <c r="B130" s="191">
        <v>14</v>
      </c>
      <c r="C130" s="191">
        <v>2</v>
      </c>
      <c r="D130" s="192">
        <v>18</v>
      </c>
      <c r="E130" s="193" t="s">
        <v>258</v>
      </c>
      <c r="F130" s="191">
        <v>0.58646034482758624</v>
      </c>
      <c r="G130" s="191">
        <v>-14.991486206896552</v>
      </c>
      <c r="H130" s="191">
        <v>301.89</v>
      </c>
      <c r="I130" s="191">
        <v>170.11</v>
      </c>
      <c r="J130" s="191">
        <v>5</v>
      </c>
      <c r="K130" s="191">
        <v>221.97558268590478</v>
      </c>
      <c r="L130" s="191">
        <v>34</v>
      </c>
      <c r="M130" s="191">
        <v>41.603111594982295</v>
      </c>
      <c r="N130" s="191">
        <v>57.803468208092255</v>
      </c>
      <c r="O130" s="191">
        <v>8.3444050551417259</v>
      </c>
      <c r="P130" s="191">
        <v>6.6858000000000004E-3</v>
      </c>
      <c r="Q130" s="191">
        <v>182.67213114754097</v>
      </c>
      <c r="R130" s="193">
        <v>1</v>
      </c>
      <c r="S130" s="191">
        <v>36.6</v>
      </c>
      <c r="T130" s="191">
        <v>3.8739999999999952</v>
      </c>
      <c r="U130" s="191">
        <v>53.791314999999997</v>
      </c>
      <c r="V130" s="191">
        <v>2.4270000000000067</v>
      </c>
      <c r="W130" s="191">
        <v>86.051151724137938</v>
      </c>
      <c r="X130" s="191">
        <v>-69.75</v>
      </c>
      <c r="Y130" s="191">
        <v>9.7131215053763604</v>
      </c>
      <c r="Z130" s="191">
        <v>-44.486217241379315</v>
      </c>
    </row>
    <row r="131" spans="1:30" s="191" customFormat="1" x14ac:dyDescent="0.3">
      <c r="A131" s="193" t="s">
        <v>193</v>
      </c>
      <c r="B131" s="191">
        <v>14</v>
      </c>
      <c r="C131" s="191">
        <v>2</v>
      </c>
      <c r="D131" s="192">
        <v>15</v>
      </c>
      <c r="E131" s="193" t="s">
        <v>258</v>
      </c>
      <c r="F131" s="191">
        <v>0.58253524137931023</v>
      </c>
      <c r="G131" s="191">
        <v>-18.678875862068963</v>
      </c>
      <c r="H131" s="191">
        <v>250.82</v>
      </c>
      <c r="I131" s="191">
        <v>136.63999999999999</v>
      </c>
      <c r="J131" s="189">
        <v>10.142197794066998</v>
      </c>
      <c r="K131" s="191">
        <v>224.61814914645112</v>
      </c>
      <c r="L131" s="191">
        <v>23</v>
      </c>
      <c r="M131" s="189">
        <v>81.695029139990595</v>
      </c>
      <c r="N131" s="191">
        <v>44.931703810208312</v>
      </c>
      <c r="O131" s="189">
        <v>10.142197794066998</v>
      </c>
      <c r="P131" s="191">
        <v>5.4415599999999998E-3</v>
      </c>
      <c r="Q131" s="191">
        <v>272.07799999999997</v>
      </c>
      <c r="R131" s="193">
        <v>2.95</v>
      </c>
      <c r="S131" s="191">
        <v>20</v>
      </c>
      <c r="T131" s="191">
        <v>2.2099999999999937</v>
      </c>
      <c r="U131" s="191">
        <v>70.033805000000001</v>
      </c>
      <c r="V131" s="191">
        <v>3.009999999999998</v>
      </c>
      <c r="W131" s="191">
        <v>73.793613793103461</v>
      </c>
      <c r="X131" s="191">
        <v>-66.87</v>
      </c>
      <c r="Y131" s="191">
        <v>3.47834731182795</v>
      </c>
      <c r="Z131" s="191">
        <v>-31.205803448275862</v>
      </c>
    </row>
    <row r="132" spans="1:30" s="191" customFormat="1" x14ac:dyDescent="0.3">
      <c r="A132" s="193" t="s">
        <v>195</v>
      </c>
      <c r="B132" s="191">
        <v>14</v>
      </c>
      <c r="C132" s="191">
        <v>2</v>
      </c>
      <c r="D132" s="192">
        <v>15</v>
      </c>
      <c r="E132" s="193" t="s">
        <v>258</v>
      </c>
      <c r="F132" s="191">
        <v>0.58458258620689652</v>
      </c>
      <c r="G132" s="191">
        <v>-14.299072413793105</v>
      </c>
      <c r="H132" s="191">
        <v>274.32</v>
      </c>
      <c r="I132" s="191">
        <v>154.19</v>
      </c>
      <c r="J132" s="189">
        <v>7</v>
      </c>
      <c r="K132" s="191">
        <v>240.15369836695393</v>
      </c>
      <c r="L132" s="191">
        <v>42</v>
      </c>
      <c r="M132" s="189">
        <v>73.773814308722351</v>
      </c>
      <c r="N132" s="191">
        <v>70.906899241296415</v>
      </c>
      <c r="O132" s="189">
        <v>13.31063071656888</v>
      </c>
      <c r="P132" s="191">
        <v>6.7315200000000004E-3</v>
      </c>
      <c r="Q132" s="191">
        <v>378.17528089887639</v>
      </c>
      <c r="R132" s="193">
        <v>1.9</v>
      </c>
      <c r="S132" s="191">
        <v>17.8</v>
      </c>
      <c r="T132" s="191">
        <v>2.960000000000008</v>
      </c>
      <c r="U132" s="191">
        <v>39.393939500000002</v>
      </c>
      <c r="V132" s="191">
        <v>3.7099999999999937</v>
      </c>
      <c r="W132" s="191">
        <v>80.050765517241388</v>
      </c>
      <c r="X132" s="191">
        <v>-65.09</v>
      </c>
      <c r="Y132" s="191">
        <v>3.3470903225806499</v>
      </c>
      <c r="Z132" s="191">
        <v>-38.001748275862063</v>
      </c>
    </row>
    <row r="133" spans="1:30" s="191" customFormat="1" x14ac:dyDescent="0.3">
      <c r="A133" s="193" t="s">
        <v>197</v>
      </c>
      <c r="B133" s="191">
        <v>14</v>
      </c>
      <c r="C133" s="191">
        <v>2</v>
      </c>
      <c r="D133" s="192">
        <v>15</v>
      </c>
      <c r="E133" s="193" t="s">
        <v>258</v>
      </c>
      <c r="F133" s="191">
        <v>0.7134968965517241</v>
      </c>
      <c r="G133" s="191">
        <v>-13.389855172413789</v>
      </c>
      <c r="H133" s="191">
        <v>185</v>
      </c>
      <c r="I133" s="191">
        <v>115</v>
      </c>
      <c r="J133" s="191">
        <v>14.545454545454545</v>
      </c>
      <c r="K133" s="191">
        <v>196.03999215840034</v>
      </c>
      <c r="L133" s="191">
        <v>38</v>
      </c>
      <c r="M133" s="191">
        <v>15.893766178984807</v>
      </c>
      <c r="N133" s="191">
        <v>64.345923685734761</v>
      </c>
      <c r="O133" s="191">
        <v>25.476048288819086</v>
      </c>
      <c r="P133" s="191">
        <v>7.0010300000000001E-3</v>
      </c>
      <c r="Q133" s="191">
        <v>156.62259507829975</v>
      </c>
      <c r="R133" s="193">
        <v>0.64</v>
      </c>
      <c r="S133" s="191">
        <v>44.7</v>
      </c>
      <c r="T133" s="191">
        <v>1.6799999999999926</v>
      </c>
      <c r="U133" s="191">
        <v>154.73441</v>
      </c>
      <c r="V133" s="191">
        <v>7.0399999999999991</v>
      </c>
      <c r="W133" s="191">
        <v>70.8618275862069</v>
      </c>
      <c r="X133" s="191">
        <v>-65</v>
      </c>
      <c r="Y133" s="191">
        <v>13.7821322580645</v>
      </c>
      <c r="Z133" s="191">
        <v>-34.792141379310344</v>
      </c>
    </row>
    <row r="134" spans="1:30" s="189" customFormat="1" x14ac:dyDescent="0.3">
      <c r="A134" s="193" t="s">
        <v>259</v>
      </c>
      <c r="B134" s="191">
        <v>14</v>
      </c>
      <c r="C134" s="191">
        <v>1</v>
      </c>
      <c r="D134" s="192">
        <v>15</v>
      </c>
      <c r="E134" s="195" t="s">
        <v>257</v>
      </c>
      <c r="F134" s="189">
        <v>0.63625236666666685</v>
      </c>
      <c r="G134" s="189">
        <v>-13.772900000000003</v>
      </c>
      <c r="H134" s="191">
        <v>270.48</v>
      </c>
      <c r="I134" s="191">
        <v>136.9</v>
      </c>
      <c r="J134" s="189">
        <v>9.2307692307692317</v>
      </c>
      <c r="K134" s="189">
        <v>205.12820512820514</v>
      </c>
      <c r="L134" s="189">
        <v>35</v>
      </c>
      <c r="M134" s="189">
        <v>72.4957623723095</v>
      </c>
      <c r="N134" s="189">
        <v>63.613231552163199</v>
      </c>
      <c r="O134" s="189">
        <v>17.381992389587598</v>
      </c>
      <c r="P134" s="189">
        <v>7.1128600000000004E-3</v>
      </c>
      <c r="Q134" s="189">
        <f>(P134/S134)*1000000</f>
        <v>366.64226804123712</v>
      </c>
      <c r="R134" s="193">
        <v>1.5</v>
      </c>
      <c r="S134" s="189">
        <v>19.399999999999999</v>
      </c>
      <c r="T134" s="189">
        <v>3.8000000000000114</v>
      </c>
      <c r="U134" s="189">
        <v>77.936335</v>
      </c>
      <c r="V134" s="189">
        <v>1.7740000000000009</v>
      </c>
      <c r="W134" s="189">
        <v>80.550126666666657</v>
      </c>
      <c r="X134" s="191">
        <v>-66.2</v>
      </c>
      <c r="Y134" s="189">
        <v>4.2658967741935401</v>
      </c>
      <c r="Z134" s="189">
        <v>-43.041990000000006</v>
      </c>
    </row>
    <row r="135" spans="1:30" s="189" customFormat="1" x14ac:dyDescent="0.3">
      <c r="A135" s="193" t="s">
        <v>260</v>
      </c>
      <c r="B135" s="191">
        <v>14</v>
      </c>
      <c r="C135" s="191">
        <v>1</v>
      </c>
      <c r="D135" s="192">
        <v>15</v>
      </c>
      <c r="E135" s="195" t="s">
        <v>257</v>
      </c>
      <c r="F135" s="189">
        <v>0.63048936666666677</v>
      </c>
      <c r="G135" s="189">
        <v>-15.296675862068962</v>
      </c>
      <c r="H135" s="191">
        <v>254.55</v>
      </c>
      <c r="I135" s="191">
        <v>126.38</v>
      </c>
      <c r="J135" s="189">
        <v>16</v>
      </c>
      <c r="K135" s="189">
        <v>211.10407430863438</v>
      </c>
      <c r="L135" s="189">
        <v>42</v>
      </c>
      <c r="M135" s="189">
        <v>88.353171058861818</v>
      </c>
      <c r="N135" s="189">
        <v>78.67820613689986</v>
      </c>
      <c r="O135" s="189">
        <v>28.704062551234948</v>
      </c>
      <c r="P135" s="189">
        <v>6.2213199999999998E-3</v>
      </c>
      <c r="Q135" s="189">
        <f>(P135/S135)*1000000</f>
        <v>280.23963963963962</v>
      </c>
      <c r="R135" s="193">
        <v>0.9</v>
      </c>
      <c r="S135" s="189">
        <v>22.2</v>
      </c>
      <c r="T135" s="189">
        <v>3.5</v>
      </c>
      <c r="U135" s="189">
        <v>73.684209999999993</v>
      </c>
      <c r="V135" s="189">
        <v>1.5700000000000003</v>
      </c>
      <c r="W135" s="189">
        <v>75.402829999999994</v>
      </c>
      <c r="X135" s="191">
        <v>-67.3</v>
      </c>
      <c r="Y135" s="189">
        <v>10.5663021505376</v>
      </c>
      <c r="Z135" s="189">
        <v>-39.689126666666674</v>
      </c>
    </row>
    <row r="136" spans="1:30" s="189" customFormat="1" x14ac:dyDescent="0.3">
      <c r="A136" s="193" t="s">
        <v>261</v>
      </c>
      <c r="B136" s="191">
        <v>14</v>
      </c>
      <c r="C136" s="191">
        <v>1</v>
      </c>
      <c r="D136" s="192">
        <v>15</v>
      </c>
      <c r="E136" s="195" t="s">
        <v>257</v>
      </c>
      <c r="F136" s="189">
        <v>0.51430034482758602</v>
      </c>
      <c r="G136" s="189">
        <v>-18.327989285714292</v>
      </c>
      <c r="H136" s="191">
        <v>270.10000000000002</v>
      </c>
      <c r="I136" s="191">
        <v>166.4</v>
      </c>
      <c r="J136" s="189">
        <v>10</v>
      </c>
      <c r="K136" s="189">
        <v>218.05494984736228</v>
      </c>
      <c r="L136" s="189">
        <v>34</v>
      </c>
      <c r="M136" s="189">
        <v>126.05842006473955</v>
      </c>
      <c r="N136" s="189">
        <v>59.105148058395947</v>
      </c>
      <c r="O136" s="189">
        <v>15.610786515591517</v>
      </c>
      <c r="P136" s="189">
        <v>6.32323E-3</v>
      </c>
      <c r="Q136" s="189">
        <f>(P136/S136)*1000000</f>
        <v>881.90097629009756</v>
      </c>
      <c r="R136" s="193">
        <v>2.5</v>
      </c>
      <c r="S136" s="189">
        <v>7.17</v>
      </c>
      <c r="T136" s="189">
        <v>2.1500000000000057</v>
      </c>
      <c r="U136" s="189">
        <v>69.8</v>
      </c>
      <c r="V136" s="189">
        <v>3.1799999999999997</v>
      </c>
      <c r="W136" s="191">
        <v>73.793613793103461</v>
      </c>
      <c r="X136" s="191">
        <v>-64.7</v>
      </c>
      <c r="Y136" s="189">
        <v>4.2658989247312</v>
      </c>
      <c r="Z136" s="189">
        <v>-39.190886206896558</v>
      </c>
    </row>
    <row r="137" spans="1:30" s="189" customFormat="1" x14ac:dyDescent="0.3">
      <c r="A137" s="193" t="s">
        <v>262</v>
      </c>
      <c r="B137" s="191">
        <v>14</v>
      </c>
      <c r="C137" s="191">
        <v>1</v>
      </c>
      <c r="D137" s="192">
        <v>15</v>
      </c>
      <c r="E137" s="195" t="s">
        <v>257</v>
      </c>
      <c r="F137" s="189">
        <v>0.64149563636363638</v>
      </c>
      <c r="G137" s="189">
        <v>-14.698354545454544</v>
      </c>
      <c r="H137" s="191">
        <v>235.9</v>
      </c>
      <c r="I137" s="191">
        <v>122.2</v>
      </c>
      <c r="J137" s="189">
        <v>11.666666666666668</v>
      </c>
      <c r="K137" s="189">
        <v>188.00526414739653</v>
      </c>
      <c r="L137" s="189">
        <v>38</v>
      </c>
      <c r="M137" s="189">
        <v>116.86089146887596</v>
      </c>
      <c r="N137" s="189">
        <v>73.072707343806769</v>
      </c>
      <c r="O137" s="189">
        <v>18.797638446589826</v>
      </c>
      <c r="P137" s="189">
        <v>7.0988900000000001E-3</v>
      </c>
      <c r="Q137" s="189">
        <f>(P137/S137)*1000000</f>
        <v>910.11410256410261</v>
      </c>
      <c r="R137" s="193">
        <v>2.2999999999999998</v>
      </c>
      <c r="S137" s="189">
        <v>7.8</v>
      </c>
      <c r="T137" s="189">
        <v>3.9599999999999937</v>
      </c>
      <c r="U137" s="189">
        <v>53.553215000000002</v>
      </c>
      <c r="V137" s="189">
        <v>0.8300000000000054</v>
      </c>
      <c r="W137" s="189">
        <v>71.161445454545458</v>
      </c>
      <c r="X137" s="191">
        <v>-67.8</v>
      </c>
      <c r="Y137" s="189">
        <v>1.3782129032258199</v>
      </c>
      <c r="Z137" s="189">
        <v>-44.527927272727268</v>
      </c>
    </row>
    <row r="138" spans="1:30" s="189" customFormat="1" x14ac:dyDescent="0.3">
      <c r="A138" s="193" t="s">
        <v>263</v>
      </c>
      <c r="B138" s="191">
        <v>14</v>
      </c>
      <c r="C138" s="191">
        <v>2</v>
      </c>
      <c r="D138" s="196">
        <v>19</v>
      </c>
      <c r="E138" s="193" t="s">
        <v>258</v>
      </c>
      <c r="F138" s="189">
        <v>0.37137740000000002</v>
      </c>
      <c r="G138" s="189">
        <v>-32.073999999999998</v>
      </c>
      <c r="H138" s="189">
        <v>291.7</v>
      </c>
      <c r="I138" s="189">
        <v>169</v>
      </c>
      <c r="J138" s="189">
        <v>14.285714285714285</v>
      </c>
      <c r="K138" s="189">
        <v>260.55237102657674</v>
      </c>
      <c r="L138" s="189">
        <v>45</v>
      </c>
      <c r="M138" s="189">
        <v>89.448189545604464</v>
      </c>
      <c r="N138" s="189">
        <v>85.215168299957298</v>
      </c>
      <c r="O138" s="189">
        <v>24.570562801117209</v>
      </c>
      <c r="P138" s="189">
        <v>6.6563400000000002E-3</v>
      </c>
      <c r="Q138" s="189">
        <f>(P138/S138)*1000000</f>
        <v>443.75600000000003</v>
      </c>
      <c r="R138" s="193">
        <v>2.96</v>
      </c>
      <c r="S138" s="189">
        <v>15</v>
      </c>
      <c r="T138" s="189">
        <f>67.105-64.86</f>
        <v>2.2450000000000045</v>
      </c>
      <c r="U138" s="189">
        <f>110.48012/2</f>
        <v>55.24006</v>
      </c>
      <c r="V138" s="189">
        <f>59.66-54.981</f>
        <v>4.6789999999999949</v>
      </c>
      <c r="W138" s="189">
        <v>64.5</v>
      </c>
      <c r="X138" s="191">
        <v>-63.6</v>
      </c>
      <c r="Y138" s="189">
        <v>2.4282806451612902</v>
      </c>
      <c r="Z138" s="189">
        <v>-25.668325000000003</v>
      </c>
    </row>
    <row r="139" spans="1:30" s="189" customFormat="1" x14ac:dyDescent="0.3">
      <c r="A139" s="193" t="s">
        <v>264</v>
      </c>
      <c r="B139" s="191">
        <v>14</v>
      </c>
      <c r="C139" s="191">
        <v>2</v>
      </c>
      <c r="D139" s="196">
        <v>19</v>
      </c>
      <c r="E139" s="193" t="s">
        <v>258</v>
      </c>
      <c r="F139" s="189">
        <v>0.50387156000000022</v>
      </c>
      <c r="G139" s="189">
        <v>-14.956071999999999</v>
      </c>
      <c r="H139" s="191">
        <v>290.3</v>
      </c>
      <c r="I139" s="191">
        <v>175.7</v>
      </c>
      <c r="J139" s="189">
        <v>7</v>
      </c>
      <c r="K139" s="189">
        <v>270.92928745597379</v>
      </c>
      <c r="L139" s="189">
        <v>30</v>
      </c>
      <c r="M139" s="189">
        <v>77.227058178163901</v>
      </c>
      <c r="N139" s="189">
        <v>53.847396478380524</v>
      </c>
      <c r="O139" s="189">
        <v>12.833036571222468</v>
      </c>
      <c r="P139" s="189">
        <v>7.2851799999999996E-3</v>
      </c>
      <c r="Q139" s="189">
        <f>(P139/S139)*1000000</f>
        <v>311.33247863247863</v>
      </c>
      <c r="R139" s="193">
        <v>1.2</v>
      </c>
      <c r="S139" s="189">
        <v>23.4</v>
      </c>
      <c r="T139" s="189">
        <v>3.2000000000000028</v>
      </c>
      <c r="U139" s="189">
        <v>63.117220000000003</v>
      </c>
      <c r="V139" s="189">
        <v>2.490000000000002</v>
      </c>
      <c r="W139" s="189">
        <v>75.849603999999985</v>
      </c>
      <c r="X139" s="191">
        <v>-64.599999999999994</v>
      </c>
      <c r="Y139" s="189">
        <v>6.4972913978494704</v>
      </c>
      <c r="Z139" s="189">
        <v>-40.344228000000008</v>
      </c>
    </row>
    <row r="140" spans="1:30" x14ac:dyDescent="0.3">
      <c r="A140" s="62"/>
      <c r="B140" s="53"/>
      <c r="C140" s="53"/>
      <c r="D140" s="61"/>
      <c r="E140" s="62"/>
      <c r="AC140" s="201"/>
      <c r="AD140" s="201"/>
    </row>
    <row r="141" spans="1:30" x14ac:dyDescent="0.3">
      <c r="D141" s="61"/>
      <c r="AC141" s="201"/>
      <c r="AD141" s="201"/>
    </row>
    <row r="142" spans="1:30" x14ac:dyDescent="0.3">
      <c r="AC142" s="201"/>
      <c r="AD142" s="201"/>
    </row>
    <row r="143" spans="1:30" x14ac:dyDescent="0.3">
      <c r="AC143" s="201"/>
      <c r="AD143" s="201"/>
    </row>
    <row r="144" spans="1:30" x14ac:dyDescent="0.3">
      <c r="AC144" s="201"/>
      <c r="AD144" s="201"/>
    </row>
    <row r="145" spans="4:30" x14ac:dyDescent="0.3">
      <c r="AC145" s="201"/>
      <c r="AD145" s="201"/>
    </row>
    <row r="146" spans="4:30" x14ac:dyDescent="0.3">
      <c r="AC146" s="201"/>
      <c r="AD146" s="201"/>
    </row>
    <row r="147" spans="4:30" x14ac:dyDescent="0.3">
      <c r="AC147" s="201"/>
      <c r="AD147" s="201"/>
    </row>
    <row r="148" spans="4:30" x14ac:dyDescent="0.3">
      <c r="AC148" s="201"/>
      <c r="AD148" s="201"/>
    </row>
    <row r="149" spans="4:30" x14ac:dyDescent="0.3">
      <c r="AC149" s="201"/>
      <c r="AD149" s="201"/>
    </row>
    <row r="150" spans="4:30" x14ac:dyDescent="0.3">
      <c r="AC150" s="201"/>
      <c r="AD150" s="201"/>
    </row>
    <row r="151" spans="4:30" x14ac:dyDescent="0.3">
      <c r="D151" s="53"/>
      <c r="E151" s="53"/>
      <c r="AC151" s="201"/>
      <c r="AD151" s="201"/>
    </row>
    <row r="152" spans="4:30" x14ac:dyDescent="0.3">
      <c r="D152" s="53"/>
      <c r="E152" s="53"/>
      <c r="AC152" s="201"/>
      <c r="AD152" s="201"/>
    </row>
    <row r="153" spans="4:30" x14ac:dyDescent="0.3">
      <c r="AC153" s="201"/>
      <c r="AD153" s="201"/>
    </row>
    <row r="154" spans="4:30" x14ac:dyDescent="0.3">
      <c r="AC154" s="201"/>
      <c r="AD154" s="201"/>
    </row>
    <row r="155" spans="4:30" x14ac:dyDescent="0.3">
      <c r="AC155" s="201"/>
      <c r="AD155" s="201"/>
    </row>
    <row r="156" spans="4:30" x14ac:dyDescent="0.3">
      <c r="AC156" s="201"/>
      <c r="AD156" s="201"/>
    </row>
    <row r="157" spans="4:30" x14ac:dyDescent="0.3">
      <c r="AC157" s="201"/>
      <c r="AD157" s="201"/>
    </row>
    <row r="158" spans="4:30" x14ac:dyDescent="0.3">
      <c r="AC158" s="201"/>
      <c r="AD158" s="201"/>
    </row>
    <row r="159" spans="4:30" x14ac:dyDescent="0.3">
      <c r="AC159" s="201"/>
      <c r="AD159" s="201"/>
    </row>
    <row r="160" spans="4:30" x14ac:dyDescent="0.3">
      <c r="AC160" s="201"/>
      <c r="AD160" s="201"/>
    </row>
    <row r="161" spans="29:30" x14ac:dyDescent="0.3">
      <c r="AC161" s="201"/>
      <c r="AD161" s="201"/>
    </row>
    <row r="162" spans="29:30" x14ac:dyDescent="0.3">
      <c r="AC162" s="201"/>
      <c r="AD162" s="201"/>
    </row>
    <row r="163" spans="29:30" x14ac:dyDescent="0.3">
      <c r="AC163" s="201"/>
      <c r="AD163" s="20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BT52"/>
  <sheetViews>
    <sheetView zoomScale="60" zoomScaleNormal="60" workbookViewId="0">
      <selection activeCell="AT29" activeCellId="1" sqref="Z29:Z36 AT29:AV36"/>
    </sheetView>
  </sheetViews>
  <sheetFormatPr defaultRowHeight="14.4" x14ac:dyDescent="0.3"/>
  <cols>
    <col min="3" max="3" width="15.44140625" customWidth="1"/>
    <col min="4" max="4" width="10.77734375" customWidth="1"/>
    <col min="5" max="5" width="15.44140625" customWidth="1"/>
    <col min="6" max="6" width="10.77734375" customWidth="1"/>
    <col min="7" max="7" width="15.44140625" customWidth="1"/>
    <col min="8" max="8" width="10.77734375" customWidth="1"/>
    <col min="9" max="9" width="15.44140625" customWidth="1"/>
    <col min="10" max="10" width="18.77734375" customWidth="1"/>
    <col min="11" max="11" width="19.33203125" customWidth="1"/>
    <col min="12" max="12" width="19.88671875" customWidth="1"/>
    <col min="13" max="13" width="15.88671875" customWidth="1"/>
    <col min="15" max="15" width="19.5546875" customWidth="1"/>
    <col min="16" max="16" width="20.77734375" customWidth="1"/>
  </cols>
  <sheetData>
    <row r="3" spans="1:67" ht="69" x14ac:dyDescent="0.3">
      <c r="A3" s="104" t="s">
        <v>234</v>
      </c>
      <c r="B3" s="104" t="s">
        <v>9</v>
      </c>
      <c r="C3" s="104" t="s">
        <v>280</v>
      </c>
      <c r="D3" s="104" t="s">
        <v>281</v>
      </c>
      <c r="E3" s="104" t="s">
        <v>282</v>
      </c>
      <c r="F3" s="104" t="s">
        <v>283</v>
      </c>
      <c r="G3" s="104" t="s">
        <v>2</v>
      </c>
      <c r="H3" s="104" t="s">
        <v>284</v>
      </c>
      <c r="I3" s="104" t="s">
        <v>285</v>
      </c>
      <c r="J3" s="104" t="s">
        <v>286</v>
      </c>
      <c r="K3" s="104" t="s">
        <v>287</v>
      </c>
      <c r="L3" s="104" t="s">
        <v>288</v>
      </c>
      <c r="M3" s="104" t="s">
        <v>289</v>
      </c>
      <c r="N3" s="104" t="s">
        <v>290</v>
      </c>
      <c r="O3" s="104" t="s">
        <v>291</v>
      </c>
      <c r="P3" s="104" t="s">
        <v>292</v>
      </c>
      <c r="Q3" s="104" t="s">
        <v>293</v>
      </c>
      <c r="R3" s="104" t="s">
        <v>294</v>
      </c>
      <c r="S3" s="104" t="s">
        <v>295</v>
      </c>
      <c r="T3" s="104" t="s">
        <v>296</v>
      </c>
      <c r="U3" s="104" t="s">
        <v>297</v>
      </c>
      <c r="V3" s="104" t="s">
        <v>298</v>
      </c>
      <c r="W3" s="104" t="s">
        <v>299</v>
      </c>
      <c r="X3" s="104" t="s">
        <v>280</v>
      </c>
      <c r="Y3" s="104" t="s">
        <v>281</v>
      </c>
      <c r="Z3" s="104" t="s">
        <v>282</v>
      </c>
      <c r="AA3" s="104" t="s">
        <v>283</v>
      </c>
      <c r="AB3" s="104" t="s">
        <v>2</v>
      </c>
      <c r="AC3" s="104" t="s">
        <v>284</v>
      </c>
      <c r="AD3" s="104" t="s">
        <v>285</v>
      </c>
      <c r="AE3" s="104" t="s">
        <v>286</v>
      </c>
      <c r="AF3" s="104" t="s">
        <v>287</v>
      </c>
      <c r="AG3" s="104" t="s">
        <v>288</v>
      </c>
      <c r="AH3" s="104" t="s">
        <v>289</v>
      </c>
      <c r="AI3" s="104" t="s">
        <v>290</v>
      </c>
      <c r="AJ3" s="104" t="s">
        <v>291</v>
      </c>
      <c r="AK3" s="104" t="s">
        <v>292</v>
      </c>
      <c r="AL3" s="104" t="s">
        <v>293</v>
      </c>
      <c r="AM3" s="104" t="s">
        <v>294</v>
      </c>
      <c r="AN3" s="104" t="s">
        <v>295</v>
      </c>
      <c r="AO3" s="104" t="s">
        <v>296</v>
      </c>
      <c r="AP3" s="104" t="s">
        <v>297</v>
      </c>
      <c r="AQ3" s="104" t="s">
        <v>298</v>
      </c>
      <c r="AR3" s="104" t="s">
        <v>299</v>
      </c>
      <c r="AS3" s="104" t="s">
        <v>280</v>
      </c>
      <c r="AT3" s="104" t="s">
        <v>281</v>
      </c>
      <c r="AU3" s="104" t="s">
        <v>282</v>
      </c>
      <c r="AV3" s="104" t="s">
        <v>283</v>
      </c>
      <c r="AW3" s="104" t="s">
        <v>2</v>
      </c>
      <c r="AX3" s="104" t="s">
        <v>284</v>
      </c>
      <c r="AY3" s="104" t="s">
        <v>285</v>
      </c>
      <c r="AZ3" s="104" t="s">
        <v>286</v>
      </c>
      <c r="BA3" s="104" t="s">
        <v>287</v>
      </c>
      <c r="BB3" s="104" t="s">
        <v>288</v>
      </c>
      <c r="BC3" s="104" t="s">
        <v>289</v>
      </c>
      <c r="BD3" s="104" t="s">
        <v>290</v>
      </c>
      <c r="BE3" s="104" t="s">
        <v>291</v>
      </c>
      <c r="BF3" s="104" t="s">
        <v>292</v>
      </c>
      <c r="BG3" s="104" t="s">
        <v>293</v>
      </c>
      <c r="BH3" s="104" t="s">
        <v>294</v>
      </c>
      <c r="BI3" s="104" t="s">
        <v>295</v>
      </c>
      <c r="BJ3" s="104" t="s">
        <v>296</v>
      </c>
      <c r="BK3" s="104" t="s">
        <v>297</v>
      </c>
      <c r="BL3" s="104" t="s">
        <v>298</v>
      </c>
      <c r="BM3" s="104" t="s">
        <v>299</v>
      </c>
      <c r="BN3" s="104"/>
      <c r="BO3" s="104"/>
    </row>
    <row r="4" spans="1:67" x14ac:dyDescent="0.3">
      <c r="A4" s="207">
        <v>3</v>
      </c>
      <c r="B4" s="104">
        <v>1</v>
      </c>
      <c r="C4" s="105">
        <v>0.51571100000000003</v>
      </c>
      <c r="D4" s="105">
        <v>1.179432</v>
      </c>
      <c r="E4" s="105">
        <v>151.19764699999999</v>
      </c>
      <c r="F4" s="105">
        <v>65.927059</v>
      </c>
      <c r="G4" s="105">
        <v>2.8235290000000002</v>
      </c>
      <c r="H4" s="105">
        <v>223.361921</v>
      </c>
      <c r="I4" s="105">
        <v>35.530130999999997</v>
      </c>
      <c r="J4" s="105">
        <v>113.13934500000001</v>
      </c>
      <c r="K4" s="105">
        <v>23.058824000000001</v>
      </c>
      <c r="L4" s="105">
        <v>43.445725000000003</v>
      </c>
      <c r="M4" s="105">
        <v>49.621716999999997</v>
      </c>
      <c r="N4" s="105">
        <v>114.111239</v>
      </c>
      <c r="O4" s="105">
        <v>42.313563000000002</v>
      </c>
      <c r="P4" s="105">
        <v>-64.887647000000001</v>
      </c>
      <c r="Q4" s="105">
        <v>78.812940999999995</v>
      </c>
      <c r="R4" s="105">
        <v>0.45</v>
      </c>
      <c r="S4" s="105">
        <v>6.6758940000000004</v>
      </c>
      <c r="T4" s="105">
        <v>21.702748</v>
      </c>
      <c r="U4" s="105">
        <v>1.6527E-2</v>
      </c>
      <c r="V4" s="105">
        <v>5.2703530000000001</v>
      </c>
      <c r="W4" s="105">
        <v>67.085294000000005</v>
      </c>
      <c r="X4" s="105">
        <v>0.75560099999999997</v>
      </c>
      <c r="Y4" s="105">
        <v>0.233541</v>
      </c>
      <c r="Z4" s="105">
        <v>32.791882999999999</v>
      </c>
      <c r="AA4" s="105">
        <v>13.698748</v>
      </c>
      <c r="AB4" s="105">
        <v>0.392953</v>
      </c>
      <c r="AC4" s="105">
        <v>70.751963000000003</v>
      </c>
      <c r="AD4" s="105">
        <v>11.966699</v>
      </c>
      <c r="AE4" s="105">
        <v>35.800767</v>
      </c>
      <c r="AF4" s="105">
        <v>4.2348350000000003</v>
      </c>
      <c r="AG4" s="105">
        <v>8.0516900000000007</v>
      </c>
      <c r="AH4" s="105">
        <v>10.207912</v>
      </c>
      <c r="AI4" s="105">
        <v>24.981643999999999</v>
      </c>
      <c r="AJ4" s="105">
        <v>14.768776000000001</v>
      </c>
      <c r="AK4" s="105">
        <v>4.4393940000000001</v>
      </c>
      <c r="AL4" s="105">
        <v>46.785609999999998</v>
      </c>
      <c r="AM4" s="105">
        <v>0.38272099999999998</v>
      </c>
      <c r="AN4" s="105">
        <v>5.185829</v>
      </c>
      <c r="AO4" s="105">
        <v>8.1696709999999992</v>
      </c>
      <c r="AP4" s="105">
        <v>6.6930000000000002E-3</v>
      </c>
      <c r="AQ4" s="105">
        <v>2.3910369999999999</v>
      </c>
      <c r="AR4" s="105">
        <v>21.448481999999998</v>
      </c>
      <c r="AS4" s="105">
        <v>17</v>
      </c>
      <c r="AT4" s="105">
        <v>17</v>
      </c>
      <c r="AU4" s="105">
        <v>17</v>
      </c>
      <c r="AV4" s="105">
        <v>17</v>
      </c>
      <c r="AW4" s="105">
        <v>17</v>
      </c>
      <c r="AX4" s="105">
        <v>17</v>
      </c>
      <c r="AY4" s="105">
        <v>17</v>
      </c>
      <c r="AZ4" s="105">
        <v>17</v>
      </c>
      <c r="BA4" s="105">
        <v>17</v>
      </c>
      <c r="BB4" s="105">
        <v>17</v>
      </c>
      <c r="BC4" s="105">
        <v>17</v>
      </c>
      <c r="BD4" s="105">
        <v>17</v>
      </c>
      <c r="BE4" s="105">
        <v>17</v>
      </c>
      <c r="BF4" s="105">
        <v>17</v>
      </c>
      <c r="BG4" s="105">
        <v>17</v>
      </c>
      <c r="BH4" s="105">
        <v>17</v>
      </c>
      <c r="BI4" s="105">
        <v>17</v>
      </c>
      <c r="BJ4" s="105">
        <v>17</v>
      </c>
      <c r="BK4" s="105">
        <v>17</v>
      </c>
      <c r="BL4" s="105">
        <v>17</v>
      </c>
      <c r="BM4" s="105">
        <v>17</v>
      </c>
    </row>
    <row r="5" spans="1:67" x14ac:dyDescent="0.3">
      <c r="A5" s="208"/>
      <c r="B5" s="104">
        <v>2</v>
      </c>
      <c r="C5" s="105">
        <v>0.26947700000000002</v>
      </c>
      <c r="D5" s="105">
        <v>1.058802</v>
      </c>
      <c r="E5" s="105">
        <v>149.66764699999999</v>
      </c>
      <c r="F5" s="105">
        <v>77.421176000000003</v>
      </c>
      <c r="G5" s="105">
        <v>2.6470590000000001</v>
      </c>
      <c r="H5" s="105">
        <v>212.21718300000001</v>
      </c>
      <c r="I5" s="105">
        <v>42.854987999999999</v>
      </c>
      <c r="J5" s="105">
        <v>115.922026</v>
      </c>
      <c r="K5" s="105">
        <v>24.529412000000001</v>
      </c>
      <c r="L5" s="105">
        <v>46.749234999999999</v>
      </c>
      <c r="M5" s="105">
        <v>50.141086999999999</v>
      </c>
      <c r="N5" s="105">
        <v>106.04534700000001</v>
      </c>
      <c r="O5" s="105">
        <v>46.611376999999997</v>
      </c>
      <c r="P5" s="105">
        <v>-66.622208999999998</v>
      </c>
      <c r="Q5" s="105">
        <v>73.550588000000005</v>
      </c>
      <c r="R5" s="105">
        <v>0.37047099999999999</v>
      </c>
      <c r="S5" s="105">
        <v>7.0394240000000003</v>
      </c>
      <c r="T5" s="105">
        <v>23.328109000000001</v>
      </c>
      <c r="U5" s="105">
        <v>1.4782E-2</v>
      </c>
      <c r="V5" s="105">
        <v>5.3472350000000004</v>
      </c>
      <c r="W5" s="105">
        <v>77.659803999999994</v>
      </c>
      <c r="X5" s="105">
        <v>0.44611600000000001</v>
      </c>
      <c r="Y5" s="105">
        <v>0.243091</v>
      </c>
      <c r="Z5" s="105">
        <v>51.156919000000002</v>
      </c>
      <c r="AA5" s="105">
        <v>21.998843999999998</v>
      </c>
      <c r="AB5" s="105">
        <v>0.49259199999999997</v>
      </c>
      <c r="AC5" s="105">
        <v>58.855092999999997</v>
      </c>
      <c r="AD5" s="105">
        <v>14.725279</v>
      </c>
      <c r="AE5" s="105">
        <v>43.198180999999998</v>
      </c>
      <c r="AF5" s="105">
        <v>5.8107410000000002</v>
      </c>
      <c r="AG5" s="105">
        <v>9.8780459999999994</v>
      </c>
      <c r="AH5" s="105">
        <v>10.760285</v>
      </c>
      <c r="AI5" s="105">
        <v>25.044557000000001</v>
      </c>
      <c r="AJ5" s="105">
        <v>15.074871</v>
      </c>
      <c r="AK5" s="105">
        <v>3.1207980000000002</v>
      </c>
      <c r="AL5" s="105">
        <v>30.635612999999999</v>
      </c>
      <c r="AM5" s="105">
        <v>0.202739</v>
      </c>
      <c r="AN5" s="105">
        <v>5.9669059999999998</v>
      </c>
      <c r="AO5" s="105">
        <v>7.2014060000000004</v>
      </c>
      <c r="AP5" s="105">
        <v>4.6569999999999997E-3</v>
      </c>
      <c r="AQ5" s="105">
        <v>1.9086179999999999</v>
      </c>
      <c r="AR5" s="105">
        <v>20.242187000000001</v>
      </c>
      <c r="AS5" s="105">
        <v>17</v>
      </c>
      <c r="AT5" s="105">
        <v>17</v>
      </c>
      <c r="AU5" s="105">
        <v>17</v>
      </c>
      <c r="AV5" s="105">
        <v>17</v>
      </c>
      <c r="AW5" s="105">
        <v>17</v>
      </c>
      <c r="AX5" s="105">
        <v>17</v>
      </c>
      <c r="AY5" s="105">
        <v>17</v>
      </c>
      <c r="AZ5" s="105">
        <v>17</v>
      </c>
      <c r="BA5" s="105">
        <v>17</v>
      </c>
      <c r="BB5" s="105">
        <v>17</v>
      </c>
      <c r="BC5" s="105">
        <v>17</v>
      </c>
      <c r="BD5" s="105">
        <v>17</v>
      </c>
      <c r="BE5" s="105">
        <v>17</v>
      </c>
      <c r="BF5" s="105">
        <v>17</v>
      </c>
      <c r="BG5" s="105">
        <v>17</v>
      </c>
      <c r="BH5" s="105">
        <v>17</v>
      </c>
      <c r="BI5" s="105">
        <v>17</v>
      </c>
      <c r="BJ5" s="105">
        <v>17</v>
      </c>
      <c r="BK5" s="105">
        <v>17</v>
      </c>
      <c r="BL5" s="105">
        <v>17</v>
      </c>
      <c r="BM5" s="105">
        <v>17</v>
      </c>
    </row>
    <row r="6" spans="1:67" x14ac:dyDescent="0.3">
      <c r="A6" s="207">
        <v>7</v>
      </c>
      <c r="B6" s="104">
        <v>1</v>
      </c>
      <c r="C6" s="105">
        <v>0.67525800000000002</v>
      </c>
      <c r="D6" s="105">
        <v>0.99508600000000003</v>
      </c>
      <c r="E6" s="105">
        <v>166.47</v>
      </c>
      <c r="F6" s="105">
        <v>80.666667000000004</v>
      </c>
      <c r="G6" s="105">
        <v>6.6</v>
      </c>
      <c r="H6" s="105">
        <v>310.93996700000002</v>
      </c>
      <c r="I6" s="105">
        <v>29.061733</v>
      </c>
      <c r="J6" s="105">
        <v>96.105566999999994</v>
      </c>
      <c r="K6" s="105">
        <v>23.4</v>
      </c>
      <c r="L6" s="105">
        <v>46.439275000000002</v>
      </c>
      <c r="M6" s="105">
        <v>49.563251999999999</v>
      </c>
      <c r="N6" s="105">
        <v>123.825796</v>
      </c>
      <c r="O6" s="105">
        <v>36.964821000000001</v>
      </c>
      <c r="P6" s="105">
        <v>-65.248000000000005</v>
      </c>
      <c r="Q6" s="105">
        <v>52.096009000000002</v>
      </c>
      <c r="R6" s="105">
        <v>0.52359999999999995</v>
      </c>
      <c r="S6" s="105">
        <v>4.02346</v>
      </c>
      <c r="T6" s="105">
        <v>17.371486000000001</v>
      </c>
      <c r="U6" s="105">
        <v>1.35E-2</v>
      </c>
      <c r="V6" s="105">
        <v>4.1022999999999996</v>
      </c>
      <c r="W6" s="105">
        <v>74.027167000000006</v>
      </c>
      <c r="X6" s="105">
        <v>0.72429699999999997</v>
      </c>
      <c r="Y6" s="105">
        <v>0.17880199999999999</v>
      </c>
      <c r="Z6" s="105">
        <v>33.875321</v>
      </c>
      <c r="AA6" s="105">
        <v>15.271369</v>
      </c>
      <c r="AB6" s="105">
        <v>0.49827300000000002</v>
      </c>
      <c r="AC6" s="105">
        <v>139.93694300000001</v>
      </c>
      <c r="AD6" s="105">
        <v>8.3312930000000005</v>
      </c>
      <c r="AE6" s="105">
        <v>28.27336</v>
      </c>
      <c r="AF6" s="105">
        <v>6.4679580000000003</v>
      </c>
      <c r="AG6" s="105">
        <v>15.231173</v>
      </c>
      <c r="AH6" s="105">
        <v>12.935128000000001</v>
      </c>
      <c r="AI6" s="105">
        <v>34.015867999999998</v>
      </c>
      <c r="AJ6" s="105">
        <v>19.048173999999999</v>
      </c>
      <c r="AK6" s="105">
        <v>3.159116</v>
      </c>
      <c r="AL6" s="105">
        <v>31.988292999999999</v>
      </c>
      <c r="AM6" s="105">
        <v>0.274372</v>
      </c>
      <c r="AN6" s="105">
        <v>4.1818720000000003</v>
      </c>
      <c r="AO6" s="105">
        <v>5.7915049999999999</v>
      </c>
      <c r="AP6" s="105">
        <v>4.8919999999999996E-3</v>
      </c>
      <c r="AQ6" s="105">
        <v>1.9116109999999999</v>
      </c>
      <c r="AR6" s="105">
        <v>39.189293999999997</v>
      </c>
      <c r="AS6" s="105">
        <v>30</v>
      </c>
      <c r="AT6" s="105">
        <v>30</v>
      </c>
      <c r="AU6" s="105">
        <v>30</v>
      </c>
      <c r="AV6" s="105">
        <v>30</v>
      </c>
      <c r="AW6" s="105">
        <v>30</v>
      </c>
      <c r="AX6" s="105">
        <v>30</v>
      </c>
      <c r="AY6" s="105">
        <v>30</v>
      </c>
      <c r="AZ6" s="105">
        <v>30</v>
      </c>
      <c r="BA6" s="105">
        <v>30</v>
      </c>
      <c r="BB6" s="105">
        <v>30</v>
      </c>
      <c r="BC6" s="105">
        <v>30</v>
      </c>
      <c r="BD6" s="105">
        <v>30</v>
      </c>
      <c r="BE6" s="105">
        <v>30</v>
      </c>
      <c r="BF6" s="105">
        <v>30</v>
      </c>
      <c r="BG6" s="105">
        <v>30</v>
      </c>
      <c r="BH6" s="105">
        <v>30</v>
      </c>
      <c r="BI6" s="105">
        <v>30</v>
      </c>
      <c r="BJ6" s="105">
        <v>30</v>
      </c>
      <c r="BK6" s="105">
        <v>30</v>
      </c>
      <c r="BL6" s="105">
        <v>30</v>
      </c>
      <c r="BM6" s="105">
        <v>30</v>
      </c>
    </row>
    <row r="7" spans="1:67" x14ac:dyDescent="0.3">
      <c r="A7" s="208"/>
      <c r="B7" s="104">
        <v>2</v>
      </c>
      <c r="C7" s="105">
        <v>1.201632</v>
      </c>
      <c r="D7" s="105">
        <v>0.83047499999999996</v>
      </c>
      <c r="E7" s="105">
        <v>191.685</v>
      </c>
      <c r="F7" s="105">
        <v>100.212333</v>
      </c>
      <c r="G7" s="105">
        <v>6.7931030000000003</v>
      </c>
      <c r="H7" s="105">
        <v>353.06982799999997</v>
      </c>
      <c r="I7" s="105">
        <v>21.231624</v>
      </c>
      <c r="J7" s="105">
        <v>73.681295000000006</v>
      </c>
      <c r="K7" s="105">
        <v>32.033332999999999</v>
      </c>
      <c r="L7" s="105">
        <v>60.554924999999997</v>
      </c>
      <c r="M7" s="105">
        <v>66.197033000000005</v>
      </c>
      <c r="N7" s="105">
        <v>158.53525300000001</v>
      </c>
      <c r="O7" s="105">
        <v>24.992953</v>
      </c>
      <c r="P7" s="105">
        <v>-65.073333000000005</v>
      </c>
      <c r="Q7" s="105">
        <v>42.811528000000003</v>
      </c>
      <c r="R7" s="105">
        <v>0.81130000000000002</v>
      </c>
      <c r="S7" s="105">
        <v>2.3708010000000002</v>
      </c>
      <c r="T7" s="105">
        <v>13.108999000000001</v>
      </c>
      <c r="U7" s="105">
        <v>1.2881E-2</v>
      </c>
      <c r="V7" s="105">
        <v>4.4015789999999999</v>
      </c>
      <c r="W7" s="105">
        <v>56.786676999999997</v>
      </c>
      <c r="X7" s="105">
        <v>0.91116699999999995</v>
      </c>
      <c r="Y7" s="105">
        <v>0.22955</v>
      </c>
      <c r="Z7" s="105">
        <v>43.654439000000004</v>
      </c>
      <c r="AA7" s="105">
        <v>27.533728</v>
      </c>
      <c r="AB7" s="105">
        <v>0.41225099999999998</v>
      </c>
      <c r="AC7" s="105">
        <v>135.765176</v>
      </c>
      <c r="AD7" s="105">
        <v>6.1808769999999997</v>
      </c>
      <c r="AE7" s="105">
        <v>24.16816</v>
      </c>
      <c r="AF7" s="105">
        <v>8.7236630000000002</v>
      </c>
      <c r="AG7" s="105">
        <v>16.189032999999998</v>
      </c>
      <c r="AH7" s="105">
        <v>17.541418</v>
      </c>
      <c r="AI7" s="105">
        <v>35.298645999999998</v>
      </c>
      <c r="AJ7" s="105">
        <v>6.9331750000000003</v>
      </c>
      <c r="AK7" s="105">
        <v>2.7799680000000002</v>
      </c>
      <c r="AL7" s="105">
        <v>34.386034000000002</v>
      </c>
      <c r="AM7" s="105">
        <v>0.45455499999999999</v>
      </c>
      <c r="AN7" s="105">
        <v>1.922812</v>
      </c>
      <c r="AO7" s="105">
        <v>3.7673909999999999</v>
      </c>
      <c r="AP7" s="105">
        <v>5.9459999999999999E-3</v>
      </c>
      <c r="AQ7" s="105">
        <v>2.6122719999999999</v>
      </c>
      <c r="AR7" s="105">
        <v>24.060648</v>
      </c>
      <c r="AS7" s="105">
        <v>30</v>
      </c>
      <c r="AT7" s="105">
        <v>30</v>
      </c>
      <c r="AU7" s="105">
        <v>30</v>
      </c>
      <c r="AV7" s="105">
        <v>30</v>
      </c>
      <c r="AW7" s="105">
        <v>30</v>
      </c>
      <c r="AX7" s="105">
        <v>30</v>
      </c>
      <c r="AY7" s="105">
        <v>30</v>
      </c>
      <c r="AZ7" s="105">
        <v>30</v>
      </c>
      <c r="BA7" s="105">
        <v>30</v>
      </c>
      <c r="BB7" s="105">
        <v>30</v>
      </c>
      <c r="BC7" s="105">
        <v>30</v>
      </c>
      <c r="BD7" s="105">
        <v>30</v>
      </c>
      <c r="BE7" s="105">
        <v>30</v>
      </c>
      <c r="BF7" s="105">
        <v>30</v>
      </c>
      <c r="BG7" s="105">
        <v>30</v>
      </c>
      <c r="BH7" s="105">
        <v>30</v>
      </c>
      <c r="BI7" s="105">
        <v>30</v>
      </c>
      <c r="BJ7" s="105">
        <v>30</v>
      </c>
      <c r="BK7" s="105">
        <v>30</v>
      </c>
      <c r="BL7" s="105">
        <v>30</v>
      </c>
      <c r="BM7" s="105">
        <v>30</v>
      </c>
    </row>
    <row r="8" spans="1:67" x14ac:dyDescent="0.3">
      <c r="A8" s="207">
        <v>14</v>
      </c>
      <c r="B8" s="104">
        <v>1</v>
      </c>
      <c r="C8" s="105">
        <v>3.004556</v>
      </c>
      <c r="D8" s="105">
        <v>0.74870700000000001</v>
      </c>
      <c r="E8" s="105">
        <v>211.938333</v>
      </c>
      <c r="F8" s="105">
        <v>114.707222</v>
      </c>
      <c r="G8" s="105">
        <v>17.055555999999999</v>
      </c>
      <c r="H8" s="105">
        <v>404.59452499999998</v>
      </c>
      <c r="I8" s="105">
        <v>16.983381000000001</v>
      </c>
      <c r="J8" s="105">
        <v>58.065486999999997</v>
      </c>
      <c r="K8" s="105">
        <v>29.944444000000001</v>
      </c>
      <c r="L8" s="105">
        <v>55.541556</v>
      </c>
      <c r="M8" s="105">
        <v>68.180519000000004</v>
      </c>
      <c r="N8" s="105">
        <v>184.67912200000001</v>
      </c>
      <c r="O8" s="105">
        <v>18.413706000000001</v>
      </c>
      <c r="P8" s="105">
        <v>-67.408889000000002</v>
      </c>
      <c r="Q8" s="105">
        <v>30.822778</v>
      </c>
      <c r="R8" s="105">
        <v>1.5000560000000001</v>
      </c>
      <c r="S8" s="105">
        <v>7.7447059999999999</v>
      </c>
      <c r="T8" s="105">
        <v>9.9865600000000008</v>
      </c>
      <c r="U8" s="105">
        <v>9.5560000000000003E-3</v>
      </c>
      <c r="V8" s="105">
        <v>2.9728330000000001</v>
      </c>
      <c r="W8" s="105">
        <v>73.791246999999998</v>
      </c>
      <c r="X8" s="105">
        <v>1.6271629999999999</v>
      </c>
      <c r="Y8" s="105">
        <v>0.21065999999999999</v>
      </c>
      <c r="Z8" s="105">
        <v>52.512928000000002</v>
      </c>
      <c r="AA8" s="105">
        <v>34.137676999999996</v>
      </c>
      <c r="AB8" s="105">
        <v>1.984416</v>
      </c>
      <c r="AC8" s="105">
        <v>217.11147099999999</v>
      </c>
      <c r="AD8" s="105">
        <v>8.2586390000000005</v>
      </c>
      <c r="AE8" s="105">
        <v>22.334294</v>
      </c>
      <c r="AF8" s="105">
        <v>9.4025789999999994</v>
      </c>
      <c r="AG8" s="105">
        <v>16.613408</v>
      </c>
      <c r="AH8" s="105">
        <v>15.391591999999999</v>
      </c>
      <c r="AI8" s="105">
        <v>43.830694999999999</v>
      </c>
      <c r="AJ8" s="105">
        <v>9.2973429999999997</v>
      </c>
      <c r="AK8" s="105">
        <v>2.6623579999999998</v>
      </c>
      <c r="AL8" s="105">
        <v>22.579951000000001</v>
      </c>
      <c r="AM8" s="105">
        <v>1.115505</v>
      </c>
      <c r="AN8" s="105">
        <v>5.9396009999999997</v>
      </c>
      <c r="AO8" s="105">
        <v>3.9706999999999999</v>
      </c>
      <c r="AP8" s="105">
        <v>3.9439999999999996E-3</v>
      </c>
      <c r="AQ8" s="105">
        <v>1.631508</v>
      </c>
      <c r="AR8" s="105">
        <v>31.183803000000001</v>
      </c>
      <c r="AS8" s="105">
        <v>18</v>
      </c>
      <c r="AT8" s="105">
        <v>18</v>
      </c>
      <c r="AU8" s="105">
        <v>18</v>
      </c>
      <c r="AV8" s="105">
        <v>18</v>
      </c>
      <c r="AW8" s="105">
        <v>18</v>
      </c>
      <c r="AX8" s="105">
        <v>18</v>
      </c>
      <c r="AY8" s="105">
        <v>18</v>
      </c>
      <c r="AZ8" s="105">
        <v>18</v>
      </c>
      <c r="BA8" s="105">
        <v>18</v>
      </c>
      <c r="BB8" s="105">
        <v>18</v>
      </c>
      <c r="BC8" s="105">
        <v>18</v>
      </c>
      <c r="BD8" s="105">
        <v>18</v>
      </c>
      <c r="BE8" s="105">
        <v>18</v>
      </c>
      <c r="BF8" s="105">
        <v>18</v>
      </c>
      <c r="BG8" s="105">
        <v>18</v>
      </c>
      <c r="BH8" s="105">
        <v>18</v>
      </c>
      <c r="BI8" s="105">
        <v>18</v>
      </c>
      <c r="BJ8" s="105">
        <v>18</v>
      </c>
      <c r="BK8" s="105">
        <v>18</v>
      </c>
      <c r="BL8" s="105">
        <v>18</v>
      </c>
      <c r="BM8" s="105">
        <v>18</v>
      </c>
    </row>
    <row r="9" spans="1:67" x14ac:dyDescent="0.3">
      <c r="A9" s="208"/>
      <c r="B9" s="104">
        <v>2</v>
      </c>
      <c r="C9" s="105">
        <v>3.3743180000000002</v>
      </c>
      <c r="D9" s="105">
        <v>0.60534399999999999</v>
      </c>
      <c r="E9" s="105">
        <v>254.74818200000001</v>
      </c>
      <c r="F9" s="105">
        <v>148.562273</v>
      </c>
      <c r="G9" s="105">
        <v>16.227273</v>
      </c>
      <c r="H9" s="105">
        <v>340.05281200000002</v>
      </c>
      <c r="I9" s="105">
        <v>13.773054</v>
      </c>
      <c r="J9" s="105">
        <v>48.542274999999997</v>
      </c>
      <c r="K9" s="105">
        <v>38.272727000000003</v>
      </c>
      <c r="L9" s="105">
        <v>69.122639000000007</v>
      </c>
      <c r="M9" s="105">
        <v>80.923702000000006</v>
      </c>
      <c r="N9" s="105">
        <v>219.36217199999999</v>
      </c>
      <c r="O9" s="105">
        <v>16.114664000000001</v>
      </c>
      <c r="P9" s="105">
        <v>-66.188181999999998</v>
      </c>
      <c r="Q9" s="105">
        <v>25.520454999999998</v>
      </c>
      <c r="R9" s="105">
        <v>1.286545</v>
      </c>
      <c r="S9" s="105">
        <v>6.6409089999999997</v>
      </c>
      <c r="T9" s="105">
        <v>7.815779</v>
      </c>
      <c r="U9" s="105">
        <v>8.208E-3</v>
      </c>
      <c r="V9" s="105">
        <v>3.2627269999999999</v>
      </c>
      <c r="W9" s="105">
        <v>62.010036999999997</v>
      </c>
      <c r="X9" s="105">
        <v>1.261517</v>
      </c>
      <c r="Y9" s="105">
        <v>0.12245200000000001</v>
      </c>
      <c r="Z9" s="105">
        <v>45.998880999999997</v>
      </c>
      <c r="AA9" s="105">
        <v>34.680016999999999</v>
      </c>
      <c r="AB9" s="105">
        <v>1.6599429999999999</v>
      </c>
      <c r="AC9" s="105">
        <v>148.858225</v>
      </c>
      <c r="AD9" s="105">
        <v>6.2708050000000002</v>
      </c>
      <c r="AE9" s="105">
        <v>17.086950000000002</v>
      </c>
      <c r="AF9" s="105">
        <v>9.7793849999999996</v>
      </c>
      <c r="AG9" s="105">
        <v>18.552706000000001</v>
      </c>
      <c r="AH9" s="105">
        <v>18.122733</v>
      </c>
      <c r="AI9" s="105">
        <v>29.969010999999998</v>
      </c>
      <c r="AJ9" s="105">
        <v>5.8113200000000003</v>
      </c>
      <c r="AK9" s="105">
        <v>2.3931900000000002</v>
      </c>
      <c r="AL9" s="105">
        <v>7.5348819999999996</v>
      </c>
      <c r="AM9" s="105">
        <v>0.67161800000000005</v>
      </c>
      <c r="AN9" s="105">
        <v>3.2692649999999999</v>
      </c>
      <c r="AO9" s="105">
        <v>3.2906650000000002</v>
      </c>
      <c r="AP9" s="105">
        <v>3.3240000000000001E-3</v>
      </c>
      <c r="AQ9" s="105">
        <v>1.2689360000000001</v>
      </c>
      <c r="AR9" s="105">
        <v>23.657961</v>
      </c>
      <c r="AS9" s="105">
        <v>22</v>
      </c>
      <c r="AT9" s="105">
        <v>22</v>
      </c>
      <c r="AU9" s="105">
        <v>22</v>
      </c>
      <c r="AV9" s="105">
        <v>22</v>
      </c>
      <c r="AW9" s="105">
        <v>22</v>
      </c>
      <c r="AX9" s="105">
        <v>22</v>
      </c>
      <c r="AY9" s="105">
        <v>22</v>
      </c>
      <c r="AZ9" s="105">
        <v>22</v>
      </c>
      <c r="BA9" s="105">
        <v>22</v>
      </c>
      <c r="BB9" s="105">
        <v>22</v>
      </c>
      <c r="BC9" s="105">
        <v>22</v>
      </c>
      <c r="BD9" s="105">
        <v>22</v>
      </c>
      <c r="BE9" s="105">
        <v>22</v>
      </c>
      <c r="BF9" s="105">
        <v>22</v>
      </c>
      <c r="BG9" s="105">
        <v>22</v>
      </c>
      <c r="BH9" s="105">
        <v>22</v>
      </c>
      <c r="BI9" s="105">
        <v>22</v>
      </c>
      <c r="BJ9" s="105">
        <v>22</v>
      </c>
      <c r="BK9" s="105">
        <v>22</v>
      </c>
      <c r="BL9" s="105">
        <v>22</v>
      </c>
      <c r="BM9" s="105">
        <v>22</v>
      </c>
    </row>
    <row r="10" spans="1:67" x14ac:dyDescent="0.3">
      <c r="A10" s="106" t="s">
        <v>278</v>
      </c>
    </row>
    <row r="11" spans="1:67" ht="15" thickBot="1" x14ac:dyDescent="0.35">
      <c r="A11" s="107" t="s">
        <v>279</v>
      </c>
    </row>
    <row r="12" spans="1:67" ht="15" thickBot="1" x14ac:dyDescent="0.35">
      <c r="A12" s="108"/>
    </row>
    <row r="13" spans="1:67" ht="15" thickBot="1" x14ac:dyDescent="0.35">
      <c r="A13" s="108"/>
      <c r="L13" t="s">
        <v>308</v>
      </c>
    </row>
    <row r="14" spans="1:67" x14ac:dyDescent="0.3">
      <c r="L14" s="103"/>
      <c r="M14" s="103" t="s">
        <v>303</v>
      </c>
      <c r="N14" s="103" t="s">
        <v>302</v>
      </c>
      <c r="O14" s="103" t="s">
        <v>309</v>
      </c>
      <c r="P14" t="s">
        <v>310</v>
      </c>
    </row>
    <row r="15" spans="1:67" x14ac:dyDescent="0.3">
      <c r="L15" s="103" t="s">
        <v>269</v>
      </c>
      <c r="M15" s="103">
        <f>COUNTIF(allfinal!Z2:Z35,"&lt;=0.1")</f>
        <v>20</v>
      </c>
      <c r="N15" s="103">
        <f>COUNT(allfinal!Z2:Z35)</f>
        <v>34</v>
      </c>
      <c r="O15" s="103">
        <f>20/34*100</f>
        <v>58.82352941176471</v>
      </c>
      <c r="P15">
        <f>100-O15</f>
        <v>41.17647058823529</v>
      </c>
    </row>
    <row r="16" spans="1:67" x14ac:dyDescent="0.3">
      <c r="L16" s="103" t="s">
        <v>300</v>
      </c>
      <c r="M16" s="103">
        <f>COUNTIF(allfinal!Z2:Z18,"&lt;=0.1")</f>
        <v>9</v>
      </c>
      <c r="N16" s="103">
        <v>17</v>
      </c>
      <c r="O16" s="103">
        <f>9/17*100</f>
        <v>52.941176470588239</v>
      </c>
      <c r="P16" s="103">
        <f t="shared" ref="P16:P22" si="0">100-O16</f>
        <v>47.058823529411761</v>
      </c>
    </row>
    <row r="17" spans="1:72" x14ac:dyDescent="0.3">
      <c r="L17" s="103" t="s">
        <v>301</v>
      </c>
      <c r="M17" s="103">
        <f>COUNTIF(allfinal!Z18:Z35,"&lt;=0.1")</f>
        <v>11</v>
      </c>
      <c r="N17" s="103">
        <f>COUNT(allfinal!Z18:Z35)</f>
        <v>18</v>
      </c>
      <c r="O17" s="103">
        <f>11/18*100</f>
        <v>61.111111111111114</v>
      </c>
      <c r="P17" s="103">
        <f t="shared" si="0"/>
        <v>38.888888888888886</v>
      </c>
    </row>
    <row r="18" spans="1:72" x14ac:dyDescent="0.3">
      <c r="L18" s="103"/>
      <c r="M18" s="103"/>
      <c r="N18" s="103"/>
      <c r="O18" s="103"/>
      <c r="P18" s="103"/>
    </row>
    <row r="19" spans="1:72" x14ac:dyDescent="0.3">
      <c r="L19" s="103"/>
      <c r="M19" s="103" t="s">
        <v>303</v>
      </c>
      <c r="N19" s="103" t="s">
        <v>302</v>
      </c>
      <c r="O19" s="103"/>
      <c r="P19" s="103"/>
    </row>
    <row r="20" spans="1:72" x14ac:dyDescent="0.3">
      <c r="L20" s="103" t="s">
        <v>304</v>
      </c>
      <c r="M20" s="103">
        <f>COUNTIF(allfinal!Z46:Z95,"&lt;=0.1")</f>
        <v>9</v>
      </c>
      <c r="N20" s="103">
        <f>COUNT(allfinal!Z46:Z95)</f>
        <v>39</v>
      </c>
      <c r="O20" s="103">
        <f>9/39*100</f>
        <v>23.076923076923077</v>
      </c>
      <c r="P20" s="103">
        <f t="shared" si="0"/>
        <v>76.92307692307692</v>
      </c>
    </row>
    <row r="21" spans="1:72" x14ac:dyDescent="0.3">
      <c r="L21" s="103" t="s">
        <v>305</v>
      </c>
      <c r="M21" s="103">
        <f>COUNTIF(allfinal!Z36:Z65,"&lt;=0.1")</f>
        <v>7</v>
      </c>
      <c r="N21" s="103">
        <f>COUNT(allfinal!Z36:Z65)</f>
        <v>20</v>
      </c>
      <c r="O21" s="103">
        <f>7/20*100</f>
        <v>35</v>
      </c>
      <c r="P21" s="103">
        <f t="shared" si="0"/>
        <v>65</v>
      </c>
    </row>
    <row r="22" spans="1:72" x14ac:dyDescent="0.3">
      <c r="L22" s="103" t="s">
        <v>306</v>
      </c>
      <c r="M22" s="103">
        <f>COUNTIF(allfinal!Z66:Z95,"&lt;=0.1")</f>
        <v>2</v>
      </c>
      <c r="N22" s="103">
        <f>COUNT(allfinal!AA66:AA95)</f>
        <v>30</v>
      </c>
      <c r="O22" s="103">
        <f>2/30*100</f>
        <v>6.666666666666667</v>
      </c>
      <c r="P22" s="103">
        <f t="shared" si="0"/>
        <v>93.333333333333329</v>
      </c>
    </row>
    <row r="23" spans="1:72" x14ac:dyDescent="0.3">
      <c r="L23" s="103"/>
      <c r="M23" s="103"/>
      <c r="N23" s="103"/>
      <c r="O23" s="103"/>
      <c r="P23" s="103"/>
    </row>
    <row r="24" spans="1:72" x14ac:dyDescent="0.3">
      <c r="L24" s="103"/>
      <c r="M24" s="103" t="s">
        <v>303</v>
      </c>
      <c r="N24" s="103" t="s">
        <v>302</v>
      </c>
      <c r="O24" s="103"/>
      <c r="P24" s="103"/>
    </row>
    <row r="25" spans="1:72" x14ac:dyDescent="0.3">
      <c r="L25" s="103" t="s">
        <v>307</v>
      </c>
      <c r="M25" s="103">
        <f>COUNTIF(allfinal!Z96:Z139,"&lt;=0.1")</f>
        <v>0</v>
      </c>
      <c r="N25" s="103">
        <f>COUNT(allfinal!Z96:Z145)</f>
        <v>43</v>
      </c>
      <c r="O25" s="103">
        <v>0</v>
      </c>
      <c r="P25" s="103"/>
    </row>
    <row r="29" spans="1:72" x14ac:dyDescent="0.3">
      <c r="A29" s="103"/>
      <c r="C29" s="103" t="s">
        <v>311</v>
      </c>
      <c r="D29" s="103" t="s">
        <v>281</v>
      </c>
      <c r="E29" s="103" t="s">
        <v>312</v>
      </c>
      <c r="F29" s="103" t="s">
        <v>282</v>
      </c>
      <c r="G29" s="103" t="s">
        <v>313</v>
      </c>
      <c r="H29" s="103" t="s">
        <v>2</v>
      </c>
      <c r="I29" s="103" t="s">
        <v>284</v>
      </c>
      <c r="J29" s="103" t="s">
        <v>285</v>
      </c>
      <c r="K29" s="103" t="s">
        <v>286</v>
      </c>
      <c r="L29" s="103" t="s">
        <v>287</v>
      </c>
      <c r="M29" s="103" t="s">
        <v>288</v>
      </c>
      <c r="N29" s="103" t="s">
        <v>289</v>
      </c>
      <c r="O29" s="103" t="s">
        <v>290</v>
      </c>
      <c r="P29" s="103" t="s">
        <v>291</v>
      </c>
      <c r="Q29" s="103" t="s">
        <v>292</v>
      </c>
      <c r="R29" s="103" t="s">
        <v>293</v>
      </c>
      <c r="S29" s="103" t="s">
        <v>294</v>
      </c>
      <c r="T29" s="103" t="s">
        <v>295</v>
      </c>
      <c r="U29" s="103" t="s">
        <v>296</v>
      </c>
      <c r="V29" s="103" t="s">
        <v>297</v>
      </c>
      <c r="W29" s="103" t="s">
        <v>314</v>
      </c>
      <c r="X29" s="103" t="s">
        <v>315</v>
      </c>
      <c r="Y29" s="103" t="s">
        <v>316</v>
      </c>
      <c r="Z29" s="103" t="s">
        <v>311</v>
      </c>
      <c r="AA29" s="103" t="s">
        <v>281</v>
      </c>
      <c r="AB29" s="103" t="s">
        <v>312</v>
      </c>
      <c r="AC29" s="103" t="s">
        <v>282</v>
      </c>
      <c r="AD29" s="103" t="s">
        <v>313</v>
      </c>
      <c r="AE29" s="103" t="s">
        <v>2</v>
      </c>
      <c r="AF29" s="103" t="s">
        <v>284</v>
      </c>
      <c r="AG29" s="103" t="s">
        <v>285</v>
      </c>
      <c r="AH29" s="103" t="s">
        <v>286</v>
      </c>
      <c r="AI29" s="103" t="s">
        <v>287</v>
      </c>
      <c r="AJ29" s="103" t="s">
        <v>288</v>
      </c>
      <c r="AK29" s="103" t="s">
        <v>289</v>
      </c>
      <c r="AL29" s="103" t="s">
        <v>290</v>
      </c>
      <c r="AM29" s="103" t="s">
        <v>291</v>
      </c>
      <c r="AN29" s="103" t="s">
        <v>292</v>
      </c>
      <c r="AO29" s="103" t="s">
        <v>293</v>
      </c>
      <c r="AP29" s="103" t="s">
        <v>294</v>
      </c>
      <c r="AQ29" s="103" t="s">
        <v>295</v>
      </c>
      <c r="AR29" s="103" t="s">
        <v>296</v>
      </c>
      <c r="AS29" s="103" t="s">
        <v>297</v>
      </c>
      <c r="AT29" s="103" t="s">
        <v>314</v>
      </c>
      <c r="AU29" s="103" t="s">
        <v>315</v>
      </c>
      <c r="AV29" s="103" t="s">
        <v>316</v>
      </c>
      <c r="AW29" s="103" t="s">
        <v>311</v>
      </c>
      <c r="AX29" s="103" t="s">
        <v>281</v>
      </c>
      <c r="AY29" s="103" t="s">
        <v>312</v>
      </c>
      <c r="AZ29" s="103" t="s">
        <v>282</v>
      </c>
      <c r="BA29" s="103" t="s">
        <v>313</v>
      </c>
      <c r="BB29" s="103" t="s">
        <v>2</v>
      </c>
      <c r="BC29" s="103" t="s">
        <v>284</v>
      </c>
      <c r="BD29" s="103" t="s">
        <v>285</v>
      </c>
      <c r="BE29" s="103" t="s">
        <v>286</v>
      </c>
      <c r="BF29" s="103" t="s">
        <v>287</v>
      </c>
      <c r="BG29" s="103" t="s">
        <v>288</v>
      </c>
      <c r="BH29" s="103" t="s">
        <v>289</v>
      </c>
      <c r="BI29" s="103" t="s">
        <v>290</v>
      </c>
      <c r="BJ29" s="103" t="s">
        <v>291</v>
      </c>
      <c r="BK29" s="103" t="s">
        <v>292</v>
      </c>
      <c r="BL29" s="103" t="s">
        <v>293</v>
      </c>
      <c r="BM29" s="103" t="s">
        <v>294</v>
      </c>
      <c r="BN29" s="103" t="s">
        <v>295</v>
      </c>
      <c r="BO29" s="103" t="s">
        <v>296</v>
      </c>
      <c r="BP29" s="103" t="s">
        <v>297</v>
      </c>
      <c r="BQ29" s="103" t="s">
        <v>314</v>
      </c>
      <c r="BR29" s="103" t="s">
        <v>315</v>
      </c>
      <c r="BS29" s="103" t="s">
        <v>316</v>
      </c>
      <c r="BT29" s="103"/>
    </row>
    <row r="30" spans="1:72" x14ac:dyDescent="0.3">
      <c r="A30" s="103" t="s">
        <v>234</v>
      </c>
      <c r="B30" s="103" t="s">
        <v>9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</row>
    <row r="31" spans="1:72" x14ac:dyDescent="0.3">
      <c r="A31" s="103">
        <v>3</v>
      </c>
      <c r="B31" s="103">
        <v>1</v>
      </c>
      <c r="C31" s="103">
        <v>0.51571100000000003</v>
      </c>
      <c r="D31" s="103">
        <v>1.179432</v>
      </c>
      <c r="E31" s="103">
        <v>69.232415000000003</v>
      </c>
      <c r="F31" s="103">
        <v>151.19764699999999</v>
      </c>
      <c r="G31" s="103">
        <v>65.927059</v>
      </c>
      <c r="H31" s="103">
        <v>2.8235290000000002</v>
      </c>
      <c r="I31" s="103">
        <v>223.361921</v>
      </c>
      <c r="J31" s="103">
        <v>51.144323</v>
      </c>
      <c r="K31" s="103">
        <v>149.26995500000001</v>
      </c>
      <c r="L31" s="103">
        <v>23.058824000000001</v>
      </c>
      <c r="M31" s="103">
        <v>43.445725000000003</v>
      </c>
      <c r="N31" s="103">
        <v>49.621716999999997</v>
      </c>
      <c r="O31" s="103">
        <v>114.111239</v>
      </c>
      <c r="P31" s="103">
        <v>60.525618999999999</v>
      </c>
      <c r="Q31" s="103">
        <v>-64.887647000000001</v>
      </c>
      <c r="R31" s="103">
        <v>78.812940999999995</v>
      </c>
      <c r="S31" s="103">
        <v>0.45</v>
      </c>
      <c r="T31" s="103">
        <v>6.6758940000000004</v>
      </c>
      <c r="U31" s="103">
        <v>29.189039000000001</v>
      </c>
      <c r="V31" s="103">
        <v>1.6527E-2</v>
      </c>
      <c r="W31" s="103">
        <v>-8.6333280000000006</v>
      </c>
      <c r="X31" s="103">
        <v>67.085294000000005</v>
      </c>
      <c r="Y31" s="103">
        <v>5.2703530000000001</v>
      </c>
      <c r="Z31" s="103">
        <v>0.75560099999999997</v>
      </c>
      <c r="AA31" s="103">
        <v>0.233541</v>
      </c>
      <c r="AB31" s="103">
        <v>7.829879</v>
      </c>
      <c r="AC31" s="103">
        <v>32.791882999999999</v>
      </c>
      <c r="AD31" s="103">
        <v>13.698748</v>
      </c>
      <c r="AE31" s="103">
        <v>0.392953</v>
      </c>
      <c r="AF31" s="103">
        <v>70.751963000000003</v>
      </c>
      <c r="AG31" s="103">
        <v>29.039477999999999</v>
      </c>
      <c r="AH31" s="103">
        <v>83.468445000000003</v>
      </c>
      <c r="AI31" s="103">
        <v>4.2348350000000003</v>
      </c>
      <c r="AJ31" s="103">
        <v>8.0516900000000007</v>
      </c>
      <c r="AK31" s="103">
        <v>10.207912</v>
      </c>
      <c r="AL31" s="103">
        <v>24.981643999999999</v>
      </c>
      <c r="AM31" s="103">
        <v>31.217352000000002</v>
      </c>
      <c r="AN31" s="103">
        <v>4.4393940000000001</v>
      </c>
      <c r="AO31" s="103">
        <v>46.785609999999998</v>
      </c>
      <c r="AP31" s="103">
        <v>0.38272099999999998</v>
      </c>
      <c r="AQ31" s="103">
        <v>5.185829</v>
      </c>
      <c r="AR31" s="103">
        <v>14.572819000000001</v>
      </c>
      <c r="AS31" s="103">
        <v>6.6930000000000002E-3</v>
      </c>
      <c r="AT31" s="103">
        <v>7.4621680000000001</v>
      </c>
      <c r="AU31" s="103">
        <v>21.448481999999998</v>
      </c>
      <c r="AV31" s="103">
        <v>2.3910369999999999</v>
      </c>
      <c r="AW31" s="103">
        <v>17</v>
      </c>
      <c r="AX31" s="103">
        <v>17</v>
      </c>
      <c r="AY31" s="103">
        <v>17</v>
      </c>
      <c r="AZ31" s="103">
        <v>17</v>
      </c>
      <c r="BA31" s="103">
        <v>17</v>
      </c>
      <c r="BB31" s="103">
        <v>17</v>
      </c>
      <c r="BC31" s="103">
        <v>17</v>
      </c>
      <c r="BD31" s="103">
        <v>17</v>
      </c>
      <c r="BE31" s="103">
        <v>17</v>
      </c>
      <c r="BF31" s="103">
        <v>17</v>
      </c>
      <c r="BG31" s="103">
        <v>17</v>
      </c>
      <c r="BH31" s="103">
        <v>17</v>
      </c>
      <c r="BI31" s="103">
        <v>17</v>
      </c>
      <c r="BJ31" s="103">
        <v>17</v>
      </c>
      <c r="BK31" s="103">
        <v>17</v>
      </c>
      <c r="BL31" s="103">
        <v>17</v>
      </c>
      <c r="BM31" s="103">
        <v>17</v>
      </c>
      <c r="BN31" s="103">
        <v>17</v>
      </c>
      <c r="BO31" s="103">
        <v>17</v>
      </c>
      <c r="BP31" s="103">
        <v>17</v>
      </c>
      <c r="BQ31" s="103">
        <v>17</v>
      </c>
      <c r="BR31" s="103">
        <v>17</v>
      </c>
      <c r="BS31" s="103">
        <v>17</v>
      </c>
    </row>
    <row r="32" spans="1:72" x14ac:dyDescent="0.3">
      <c r="A32" s="103"/>
      <c r="B32" s="103">
        <v>2</v>
      </c>
      <c r="C32" s="103">
        <v>0.26947700000000002</v>
      </c>
      <c r="D32" s="103">
        <v>1.058802</v>
      </c>
      <c r="E32" s="103">
        <v>63.194471999999998</v>
      </c>
      <c r="F32" s="103">
        <v>149.66764699999999</v>
      </c>
      <c r="G32" s="103">
        <v>77.421176000000003</v>
      </c>
      <c r="H32" s="103">
        <v>2.6470590000000001</v>
      </c>
      <c r="I32" s="103">
        <v>212.21718300000001</v>
      </c>
      <c r="J32" s="103">
        <v>51.251823000000002</v>
      </c>
      <c r="K32" s="103">
        <v>136.59606099999999</v>
      </c>
      <c r="L32" s="103">
        <v>24.529412000000001</v>
      </c>
      <c r="M32" s="103">
        <v>46.749234999999999</v>
      </c>
      <c r="N32" s="103">
        <v>50.141086999999999</v>
      </c>
      <c r="O32" s="103">
        <v>106.04534700000001</v>
      </c>
      <c r="P32" s="103">
        <v>55.686686000000002</v>
      </c>
      <c r="Q32" s="103">
        <v>-66.622208999999998</v>
      </c>
      <c r="R32" s="103">
        <v>73.550588000000005</v>
      </c>
      <c r="S32" s="103">
        <v>0.37047099999999999</v>
      </c>
      <c r="T32" s="103">
        <v>7.0394240000000003</v>
      </c>
      <c r="U32" s="103">
        <v>27.738420000000001</v>
      </c>
      <c r="V32" s="103">
        <v>1.4782E-2</v>
      </c>
      <c r="W32" s="103">
        <v>-10.976646000000001</v>
      </c>
      <c r="X32" s="103">
        <v>77.659803999999994</v>
      </c>
      <c r="Y32" s="103">
        <v>5.3472350000000004</v>
      </c>
      <c r="Z32" s="103">
        <v>0.44611600000000001</v>
      </c>
      <c r="AA32" s="103">
        <v>0.243091</v>
      </c>
      <c r="AB32" s="103">
        <v>9.1600669999999997</v>
      </c>
      <c r="AC32" s="103">
        <v>51.156919000000002</v>
      </c>
      <c r="AD32" s="103">
        <v>21.998843999999998</v>
      </c>
      <c r="AE32" s="103">
        <v>0.49259199999999997</v>
      </c>
      <c r="AF32" s="103">
        <v>58.855092999999997</v>
      </c>
      <c r="AG32" s="103">
        <v>15.913769</v>
      </c>
      <c r="AH32" s="103">
        <v>52.807284000000003</v>
      </c>
      <c r="AI32" s="103">
        <v>5.8107410000000002</v>
      </c>
      <c r="AJ32" s="103">
        <v>9.8780459999999994</v>
      </c>
      <c r="AK32" s="103">
        <v>10.760285</v>
      </c>
      <c r="AL32" s="103">
        <v>25.044557000000001</v>
      </c>
      <c r="AM32" s="103">
        <v>16.903155999999999</v>
      </c>
      <c r="AN32" s="103">
        <v>3.1207980000000002</v>
      </c>
      <c r="AO32" s="103">
        <v>30.635612999999999</v>
      </c>
      <c r="AP32" s="103">
        <v>0.202739</v>
      </c>
      <c r="AQ32" s="103">
        <v>5.9669059999999998</v>
      </c>
      <c r="AR32" s="103">
        <v>9.9453530000000008</v>
      </c>
      <c r="AS32" s="103">
        <v>4.6569999999999997E-3</v>
      </c>
      <c r="AT32" s="103">
        <v>4.07958</v>
      </c>
      <c r="AU32" s="103">
        <v>20.242187000000001</v>
      </c>
      <c r="AV32" s="103">
        <v>1.9086179999999999</v>
      </c>
      <c r="AW32" s="103">
        <v>17</v>
      </c>
      <c r="AX32" s="103">
        <v>17</v>
      </c>
      <c r="AY32" s="103">
        <v>17</v>
      </c>
      <c r="AZ32" s="103">
        <v>17</v>
      </c>
      <c r="BA32" s="103">
        <v>17</v>
      </c>
      <c r="BB32" s="103">
        <v>17</v>
      </c>
      <c r="BC32" s="103">
        <v>17</v>
      </c>
      <c r="BD32" s="103">
        <v>17</v>
      </c>
      <c r="BE32" s="103">
        <v>17</v>
      </c>
      <c r="BF32" s="103">
        <v>17</v>
      </c>
      <c r="BG32" s="103">
        <v>17</v>
      </c>
      <c r="BH32" s="103">
        <v>17</v>
      </c>
      <c r="BI32" s="103">
        <v>17</v>
      </c>
      <c r="BJ32" s="103">
        <v>17</v>
      </c>
      <c r="BK32" s="103">
        <v>17</v>
      </c>
      <c r="BL32" s="103">
        <v>17</v>
      </c>
      <c r="BM32" s="103">
        <v>17</v>
      </c>
      <c r="BN32" s="103">
        <v>17</v>
      </c>
      <c r="BO32" s="103">
        <v>17</v>
      </c>
      <c r="BP32" s="103">
        <v>17</v>
      </c>
      <c r="BQ32" s="103">
        <v>17</v>
      </c>
      <c r="BR32" s="103">
        <v>17</v>
      </c>
      <c r="BS32" s="103">
        <v>17</v>
      </c>
    </row>
    <row r="33" spans="1:71" x14ac:dyDescent="0.3">
      <c r="A33" s="103">
        <v>7</v>
      </c>
      <c r="B33" s="103">
        <v>1</v>
      </c>
      <c r="C33" s="103">
        <v>0.67525800000000002</v>
      </c>
      <c r="D33" s="103">
        <v>0.99508600000000003</v>
      </c>
      <c r="E33" s="103">
        <v>67.781531999999999</v>
      </c>
      <c r="F33" s="103">
        <v>166.47</v>
      </c>
      <c r="G33" s="103">
        <v>80.666667000000004</v>
      </c>
      <c r="H33" s="103">
        <v>6.6</v>
      </c>
      <c r="I33" s="103">
        <v>310.93996700000002</v>
      </c>
      <c r="J33" s="103">
        <v>39.915011999999997</v>
      </c>
      <c r="K33" s="103">
        <v>139.28492</v>
      </c>
      <c r="L33" s="103">
        <v>23.4</v>
      </c>
      <c r="M33" s="103">
        <v>46.439275000000002</v>
      </c>
      <c r="N33" s="103">
        <v>49.563251999999999</v>
      </c>
      <c r="O33" s="103">
        <v>123.825796</v>
      </c>
      <c r="P33" s="103">
        <v>50.603327</v>
      </c>
      <c r="Q33" s="103">
        <v>-65.248000000000005</v>
      </c>
      <c r="R33" s="103">
        <v>52.096009000000002</v>
      </c>
      <c r="S33" s="103">
        <v>0.52359999999999995</v>
      </c>
      <c r="T33" s="103">
        <v>4.02346</v>
      </c>
      <c r="U33" s="103">
        <v>25.075462999999999</v>
      </c>
      <c r="V33" s="103">
        <v>1.35E-2</v>
      </c>
      <c r="W33" s="103">
        <v>-9.8920049999999993</v>
      </c>
      <c r="X33" s="103">
        <v>74.027167000000006</v>
      </c>
      <c r="Y33" s="103">
        <v>4.1022999999999996</v>
      </c>
      <c r="Z33" s="103">
        <v>0.72429699999999997</v>
      </c>
      <c r="AA33" s="103">
        <v>0.17880199999999999</v>
      </c>
      <c r="AB33" s="103">
        <v>6.0553039999999996</v>
      </c>
      <c r="AC33" s="103">
        <v>33.875321</v>
      </c>
      <c r="AD33" s="103">
        <v>15.271369</v>
      </c>
      <c r="AE33" s="103">
        <v>0.49827300000000002</v>
      </c>
      <c r="AF33" s="103">
        <v>139.93694300000001</v>
      </c>
      <c r="AG33" s="103">
        <v>18.684453000000001</v>
      </c>
      <c r="AH33" s="103">
        <v>101.556645</v>
      </c>
      <c r="AI33" s="103">
        <v>6.4679580000000003</v>
      </c>
      <c r="AJ33" s="103">
        <v>15.231173</v>
      </c>
      <c r="AK33" s="103">
        <v>12.935128000000001</v>
      </c>
      <c r="AL33" s="103">
        <v>34.015867999999998</v>
      </c>
      <c r="AM33" s="103">
        <v>23.599731999999999</v>
      </c>
      <c r="AN33" s="103">
        <v>3.159116</v>
      </c>
      <c r="AO33" s="103">
        <v>31.988292999999999</v>
      </c>
      <c r="AP33" s="103">
        <v>0.274372</v>
      </c>
      <c r="AQ33" s="103">
        <v>4.1818720000000003</v>
      </c>
      <c r="AR33" s="103">
        <v>12.446313999999999</v>
      </c>
      <c r="AS33" s="103">
        <v>4.8919999999999996E-3</v>
      </c>
      <c r="AT33" s="103">
        <v>3.5213260000000002</v>
      </c>
      <c r="AU33" s="103">
        <v>39.189293999999997</v>
      </c>
      <c r="AV33" s="103">
        <v>1.9116109999999999</v>
      </c>
      <c r="AW33" s="103">
        <v>30</v>
      </c>
      <c r="AX33" s="103">
        <v>30</v>
      </c>
      <c r="AY33" s="103">
        <v>30</v>
      </c>
      <c r="AZ33" s="103">
        <v>30</v>
      </c>
      <c r="BA33" s="103">
        <v>30</v>
      </c>
      <c r="BB33" s="103">
        <v>30</v>
      </c>
      <c r="BC33" s="103">
        <v>30</v>
      </c>
      <c r="BD33" s="103">
        <v>30</v>
      </c>
      <c r="BE33" s="103">
        <v>30</v>
      </c>
      <c r="BF33" s="103">
        <v>30</v>
      </c>
      <c r="BG33" s="103">
        <v>30</v>
      </c>
      <c r="BH33" s="103">
        <v>30</v>
      </c>
      <c r="BI33" s="103">
        <v>30</v>
      </c>
      <c r="BJ33" s="103">
        <v>30</v>
      </c>
      <c r="BK33" s="103">
        <v>30</v>
      </c>
      <c r="BL33" s="103">
        <v>30</v>
      </c>
      <c r="BM33" s="103">
        <v>30</v>
      </c>
      <c r="BN33" s="103">
        <v>30</v>
      </c>
      <c r="BO33" s="103">
        <v>30</v>
      </c>
      <c r="BP33" s="103">
        <v>30</v>
      </c>
      <c r="BQ33" s="103">
        <v>30</v>
      </c>
      <c r="BR33" s="103">
        <v>30</v>
      </c>
      <c r="BS33" s="103">
        <v>30</v>
      </c>
    </row>
    <row r="34" spans="1:71" x14ac:dyDescent="0.3">
      <c r="A34" s="103"/>
      <c r="B34" s="103">
        <v>2</v>
      </c>
      <c r="C34" s="103">
        <v>1.201632</v>
      </c>
      <c r="D34" s="103">
        <v>0.83047499999999996</v>
      </c>
      <c r="E34" s="103">
        <v>68.710329000000002</v>
      </c>
      <c r="F34" s="103">
        <v>191.685</v>
      </c>
      <c r="G34" s="103">
        <v>100.212333</v>
      </c>
      <c r="H34" s="103">
        <v>6.7931030000000003</v>
      </c>
      <c r="I34" s="103">
        <v>353.06982799999997</v>
      </c>
      <c r="J34" s="103">
        <v>27.811799000000001</v>
      </c>
      <c r="K34" s="103">
        <v>86.271175999999997</v>
      </c>
      <c r="L34" s="103">
        <v>32.033332999999999</v>
      </c>
      <c r="M34" s="103">
        <v>60.554924999999997</v>
      </c>
      <c r="N34" s="103">
        <v>66.197033000000005</v>
      </c>
      <c r="O34" s="103">
        <v>158.53525300000001</v>
      </c>
      <c r="P34" s="103">
        <v>32.440576999999998</v>
      </c>
      <c r="Q34" s="103">
        <v>-65.073333000000005</v>
      </c>
      <c r="R34" s="103">
        <v>42.811528000000003</v>
      </c>
      <c r="S34" s="103">
        <v>0.81130000000000002</v>
      </c>
      <c r="T34" s="103">
        <v>2.3708010000000002</v>
      </c>
      <c r="U34" s="103">
        <v>16.459081999999999</v>
      </c>
      <c r="V34" s="103">
        <v>1.2881E-2</v>
      </c>
      <c r="W34" s="103">
        <v>-14.265699</v>
      </c>
      <c r="X34" s="103">
        <v>56.786676999999997</v>
      </c>
      <c r="Y34" s="103">
        <v>4.4015789999999999</v>
      </c>
      <c r="Z34" s="103">
        <v>0.91116699999999995</v>
      </c>
      <c r="AA34" s="103">
        <v>0.22955</v>
      </c>
      <c r="AB34" s="103">
        <v>7.3804879999999997</v>
      </c>
      <c r="AC34" s="103">
        <v>43.654439000000004</v>
      </c>
      <c r="AD34" s="103">
        <v>27.533728</v>
      </c>
      <c r="AE34" s="103">
        <v>0.41225099999999998</v>
      </c>
      <c r="AF34" s="103">
        <v>135.765176</v>
      </c>
      <c r="AG34" s="103">
        <v>12.223851</v>
      </c>
      <c r="AH34" s="103">
        <v>37.401111</v>
      </c>
      <c r="AI34" s="103">
        <v>8.7236630000000002</v>
      </c>
      <c r="AJ34" s="103">
        <v>16.189032999999998</v>
      </c>
      <c r="AK34" s="103">
        <v>17.541418</v>
      </c>
      <c r="AL34" s="103">
        <v>35.298645999999998</v>
      </c>
      <c r="AM34" s="103">
        <v>13.53675</v>
      </c>
      <c r="AN34" s="103">
        <v>2.7799680000000002</v>
      </c>
      <c r="AO34" s="103">
        <v>34.386034000000002</v>
      </c>
      <c r="AP34" s="103">
        <v>0.45455499999999999</v>
      </c>
      <c r="AQ34" s="103">
        <v>1.922812</v>
      </c>
      <c r="AR34" s="103">
        <v>6.8431189999999997</v>
      </c>
      <c r="AS34" s="103">
        <v>5.9459999999999999E-3</v>
      </c>
      <c r="AT34" s="103">
        <v>4.8015840000000001</v>
      </c>
      <c r="AU34" s="103">
        <v>24.060648</v>
      </c>
      <c r="AV34" s="103">
        <v>2.6122719999999999</v>
      </c>
      <c r="AW34" s="103">
        <v>30</v>
      </c>
      <c r="AX34" s="103">
        <v>30</v>
      </c>
      <c r="AY34" s="103">
        <v>30</v>
      </c>
      <c r="AZ34" s="103">
        <v>30</v>
      </c>
      <c r="BA34" s="103">
        <v>30</v>
      </c>
      <c r="BB34" s="103">
        <v>30</v>
      </c>
      <c r="BC34" s="103">
        <v>30</v>
      </c>
      <c r="BD34" s="103">
        <v>30</v>
      </c>
      <c r="BE34" s="103">
        <v>30</v>
      </c>
      <c r="BF34" s="103">
        <v>30</v>
      </c>
      <c r="BG34" s="103">
        <v>30</v>
      </c>
      <c r="BH34" s="103">
        <v>30</v>
      </c>
      <c r="BI34" s="103">
        <v>30</v>
      </c>
      <c r="BJ34" s="103">
        <v>30</v>
      </c>
      <c r="BK34" s="103">
        <v>30</v>
      </c>
      <c r="BL34" s="103">
        <v>30</v>
      </c>
      <c r="BM34" s="103">
        <v>30</v>
      </c>
      <c r="BN34" s="103">
        <v>30</v>
      </c>
      <c r="BO34" s="103">
        <v>30</v>
      </c>
      <c r="BP34" s="103">
        <v>30</v>
      </c>
      <c r="BQ34" s="103">
        <v>30</v>
      </c>
      <c r="BR34" s="103">
        <v>30</v>
      </c>
      <c r="BS34" s="103">
        <v>30</v>
      </c>
    </row>
    <row r="35" spans="1:71" x14ac:dyDescent="0.3">
      <c r="A35" s="103">
        <v>14</v>
      </c>
      <c r="B35" s="103">
        <v>1</v>
      </c>
      <c r="C35" s="103">
        <v>3.004556</v>
      </c>
      <c r="D35" s="103">
        <v>0.74870700000000001</v>
      </c>
      <c r="E35" s="103">
        <v>70.357588000000007</v>
      </c>
      <c r="F35" s="103">
        <v>211.938333</v>
      </c>
      <c r="G35" s="103">
        <v>114.707222</v>
      </c>
      <c r="H35" s="103">
        <v>17.055555999999999</v>
      </c>
      <c r="I35" s="103">
        <v>404.59452499999998</v>
      </c>
      <c r="J35" s="103">
        <v>18.945592000000001</v>
      </c>
      <c r="K35" s="103">
        <v>72.115538999999998</v>
      </c>
      <c r="L35" s="103">
        <v>29.944444000000001</v>
      </c>
      <c r="M35" s="103">
        <v>55.541556</v>
      </c>
      <c r="N35" s="103">
        <v>68.180519000000004</v>
      </c>
      <c r="O35" s="103">
        <v>184.67912200000001</v>
      </c>
      <c r="P35" s="103">
        <v>20.896028999999999</v>
      </c>
      <c r="Q35" s="103">
        <v>-67.408889000000002</v>
      </c>
      <c r="R35" s="103">
        <v>30.822778</v>
      </c>
      <c r="S35" s="103">
        <v>1.5000560000000001</v>
      </c>
      <c r="T35" s="103">
        <v>7.7447059999999999</v>
      </c>
      <c r="U35" s="103">
        <v>10.670227000000001</v>
      </c>
      <c r="V35" s="103">
        <v>9.5560000000000003E-3</v>
      </c>
      <c r="W35" s="103">
        <v>-15.997678000000001</v>
      </c>
      <c r="X35" s="103">
        <v>73.791246999999998</v>
      </c>
      <c r="Y35" s="103">
        <v>2.9728330000000001</v>
      </c>
      <c r="Z35" s="103">
        <v>1.6271629999999999</v>
      </c>
      <c r="AA35" s="103">
        <v>0.21065999999999999</v>
      </c>
      <c r="AB35" s="103">
        <v>8.4728270000000006</v>
      </c>
      <c r="AC35" s="103">
        <v>52.512928000000002</v>
      </c>
      <c r="AD35" s="103">
        <v>34.137676999999996</v>
      </c>
      <c r="AE35" s="103">
        <v>1.984416</v>
      </c>
      <c r="AF35" s="103">
        <v>217.11147099999999</v>
      </c>
      <c r="AG35" s="103">
        <v>7.9051349999999996</v>
      </c>
      <c r="AH35" s="103">
        <v>29.858846</v>
      </c>
      <c r="AI35" s="103">
        <v>9.4025789999999994</v>
      </c>
      <c r="AJ35" s="103">
        <v>16.613408</v>
      </c>
      <c r="AK35" s="103">
        <v>15.391591999999999</v>
      </c>
      <c r="AL35" s="103">
        <v>43.830694999999999</v>
      </c>
      <c r="AM35" s="103">
        <v>9.5532810000000001</v>
      </c>
      <c r="AN35" s="103">
        <v>2.6623579999999998</v>
      </c>
      <c r="AO35" s="103">
        <v>22.579951000000001</v>
      </c>
      <c r="AP35" s="103">
        <v>1.115505</v>
      </c>
      <c r="AQ35" s="103">
        <v>5.9396009999999997</v>
      </c>
      <c r="AR35" s="103">
        <v>4.0528399999999998</v>
      </c>
      <c r="AS35" s="103">
        <v>3.9439999999999996E-3</v>
      </c>
      <c r="AT35" s="103">
        <v>3.6151529999999998</v>
      </c>
      <c r="AU35" s="103">
        <v>31.183803000000001</v>
      </c>
      <c r="AV35" s="103">
        <v>1.631508</v>
      </c>
      <c r="AW35" s="103">
        <v>18</v>
      </c>
      <c r="AX35" s="103">
        <v>18</v>
      </c>
      <c r="AY35" s="103">
        <v>18</v>
      </c>
      <c r="AZ35" s="103">
        <v>18</v>
      </c>
      <c r="BA35" s="103">
        <v>18</v>
      </c>
      <c r="BB35" s="103">
        <v>18</v>
      </c>
      <c r="BC35" s="103">
        <v>18</v>
      </c>
      <c r="BD35" s="103">
        <v>18</v>
      </c>
      <c r="BE35" s="103">
        <v>18</v>
      </c>
      <c r="BF35" s="103">
        <v>18</v>
      </c>
      <c r="BG35" s="103">
        <v>18</v>
      </c>
      <c r="BH35" s="103">
        <v>18</v>
      </c>
      <c r="BI35" s="103">
        <v>18</v>
      </c>
      <c r="BJ35" s="103">
        <v>18</v>
      </c>
      <c r="BK35" s="103">
        <v>18</v>
      </c>
      <c r="BL35" s="103">
        <v>18</v>
      </c>
      <c r="BM35" s="103">
        <v>18</v>
      </c>
      <c r="BN35" s="103">
        <v>18</v>
      </c>
      <c r="BO35" s="103">
        <v>18</v>
      </c>
      <c r="BP35" s="103">
        <v>18</v>
      </c>
      <c r="BQ35" s="103">
        <v>18</v>
      </c>
      <c r="BR35" s="103">
        <v>18</v>
      </c>
      <c r="BS35" s="103">
        <v>18</v>
      </c>
    </row>
    <row r="36" spans="1:71" x14ac:dyDescent="0.3">
      <c r="A36" s="103"/>
      <c r="B36" s="103">
        <v>2</v>
      </c>
      <c r="C36" s="103">
        <v>3.3743180000000002</v>
      </c>
      <c r="D36" s="103">
        <v>0.60534399999999999</v>
      </c>
      <c r="E36" s="103">
        <v>73.078148999999996</v>
      </c>
      <c r="F36" s="103">
        <v>254.74818200000001</v>
      </c>
      <c r="G36" s="103">
        <v>148.562273</v>
      </c>
      <c r="H36" s="103">
        <v>16.227273</v>
      </c>
      <c r="I36" s="103">
        <v>340.05281200000002</v>
      </c>
      <c r="J36" s="103">
        <v>17.631612000000001</v>
      </c>
      <c r="K36" s="103">
        <v>74.545456000000001</v>
      </c>
      <c r="L36" s="103">
        <v>38.272727000000003</v>
      </c>
      <c r="M36" s="103">
        <v>69.122639000000007</v>
      </c>
      <c r="N36" s="103">
        <v>80.923702000000006</v>
      </c>
      <c r="O36" s="103">
        <v>219.36217199999999</v>
      </c>
      <c r="P36" s="103">
        <v>20.846017</v>
      </c>
      <c r="Q36" s="103">
        <v>-66.188181999999998</v>
      </c>
      <c r="R36" s="103">
        <v>25.520454999999998</v>
      </c>
      <c r="S36" s="103">
        <v>1.286545</v>
      </c>
      <c r="T36" s="103">
        <v>6.6409089999999997</v>
      </c>
      <c r="U36" s="103">
        <v>10.471952</v>
      </c>
      <c r="V36" s="103">
        <v>8.208E-3</v>
      </c>
      <c r="W36" s="103">
        <v>-18.467175000000001</v>
      </c>
      <c r="X36" s="103">
        <v>62.010036999999997</v>
      </c>
      <c r="Y36" s="103">
        <v>3.2627269999999999</v>
      </c>
      <c r="Z36" s="103">
        <v>1.261517</v>
      </c>
      <c r="AA36" s="103">
        <v>0.12245200000000001</v>
      </c>
      <c r="AB36" s="103">
        <v>7.6762189999999997</v>
      </c>
      <c r="AC36" s="103">
        <v>45.998880999999997</v>
      </c>
      <c r="AD36" s="103">
        <v>34.680016999999999</v>
      </c>
      <c r="AE36" s="103">
        <v>1.6599429999999999</v>
      </c>
      <c r="AF36" s="103">
        <v>148.858225</v>
      </c>
      <c r="AG36" s="103">
        <v>5.1008680000000002</v>
      </c>
      <c r="AH36" s="103">
        <v>29.020771</v>
      </c>
      <c r="AI36" s="103">
        <v>9.7793849999999996</v>
      </c>
      <c r="AJ36" s="103">
        <v>18.552706000000001</v>
      </c>
      <c r="AK36" s="103">
        <v>18.122733</v>
      </c>
      <c r="AL36" s="103">
        <v>29.969010999999998</v>
      </c>
      <c r="AM36" s="103">
        <v>5.5921329999999996</v>
      </c>
      <c r="AN36" s="103">
        <v>2.3931900000000002</v>
      </c>
      <c r="AO36" s="103">
        <v>7.5348819999999996</v>
      </c>
      <c r="AP36" s="103">
        <v>0.67161800000000005</v>
      </c>
      <c r="AQ36" s="103">
        <v>3.2692649999999999</v>
      </c>
      <c r="AR36" s="103">
        <v>3.6078420000000002</v>
      </c>
      <c r="AS36" s="103">
        <v>3.3240000000000001E-3</v>
      </c>
      <c r="AT36" s="103">
        <v>5.4481950000000001</v>
      </c>
      <c r="AU36" s="103">
        <v>23.657961</v>
      </c>
      <c r="AV36" s="103">
        <v>1.2689360000000001</v>
      </c>
      <c r="AW36" s="103">
        <v>22</v>
      </c>
      <c r="AX36" s="103">
        <v>22</v>
      </c>
      <c r="AY36" s="103">
        <v>22</v>
      </c>
      <c r="AZ36" s="103">
        <v>22</v>
      </c>
      <c r="BA36" s="103">
        <v>22</v>
      </c>
      <c r="BB36" s="103">
        <v>22</v>
      </c>
      <c r="BC36" s="103">
        <v>22</v>
      </c>
      <c r="BD36" s="103">
        <v>22</v>
      </c>
      <c r="BE36" s="103">
        <v>22</v>
      </c>
      <c r="BF36" s="103">
        <v>22</v>
      </c>
      <c r="BG36" s="103">
        <v>22</v>
      </c>
      <c r="BH36" s="103">
        <v>22</v>
      </c>
      <c r="BI36" s="103">
        <v>22</v>
      </c>
      <c r="BJ36" s="103">
        <v>22</v>
      </c>
      <c r="BK36" s="103">
        <v>22</v>
      </c>
      <c r="BL36" s="103">
        <v>22</v>
      </c>
      <c r="BM36" s="103">
        <v>22</v>
      </c>
      <c r="BN36" s="103">
        <v>22</v>
      </c>
      <c r="BO36" s="103">
        <v>22</v>
      </c>
      <c r="BP36" s="103">
        <v>22</v>
      </c>
      <c r="BQ36" s="103">
        <v>22</v>
      </c>
      <c r="BR36" s="103">
        <v>22</v>
      </c>
      <c r="BS36" s="103">
        <v>22</v>
      </c>
    </row>
    <row r="37" spans="1:71" x14ac:dyDescent="0.3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</row>
    <row r="38" spans="1:71" ht="15" thickBot="1" x14ac:dyDescent="0.35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  <c r="BN38" s="103"/>
      <c r="BO38" s="103"/>
      <c r="BP38" s="103"/>
      <c r="BQ38" s="103"/>
      <c r="BR38" s="103"/>
      <c r="BS38" s="103"/>
    </row>
    <row r="39" spans="1:71" ht="15" thickBot="1" x14ac:dyDescent="0.35">
      <c r="A39" s="99"/>
      <c r="B39" s="95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115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</row>
    <row r="40" spans="1:71" ht="15" thickBot="1" x14ac:dyDescent="0.35">
      <c r="A40" s="114"/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/>
      <c r="BO40" s="103"/>
      <c r="BP40" s="103"/>
      <c r="BQ40" s="103"/>
      <c r="BR40" s="103"/>
      <c r="BS40" s="103"/>
    </row>
    <row r="41" spans="1:71" ht="15" thickBot="1" x14ac:dyDescent="0.35">
      <c r="A41" s="99"/>
      <c r="B41" s="117"/>
      <c r="C41" s="118"/>
      <c r="D41" s="118"/>
      <c r="E41" s="118"/>
      <c r="F41" s="119"/>
      <c r="G41" s="118"/>
      <c r="H41" s="118"/>
      <c r="I41" s="118"/>
      <c r="J41" s="118"/>
      <c r="K41" s="118"/>
      <c r="L41" s="118"/>
      <c r="M41" s="120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103"/>
      <c r="BQ41" s="103"/>
      <c r="BR41" s="103"/>
      <c r="BS41" s="103"/>
    </row>
    <row r="42" spans="1:71" ht="15" thickBot="1" x14ac:dyDescent="0.35">
      <c r="A42" s="116"/>
      <c r="B42" s="97"/>
      <c r="C42" s="54"/>
      <c r="D42" s="54"/>
      <c r="E42" s="54"/>
      <c r="F42" s="8"/>
      <c r="G42" s="54"/>
      <c r="H42" s="54"/>
      <c r="I42" s="54"/>
      <c r="J42" s="54"/>
      <c r="K42" s="54"/>
      <c r="L42" s="54"/>
      <c r="M42" s="112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</row>
    <row r="43" spans="1:71" ht="15" thickBot="1" x14ac:dyDescent="0.35">
      <c r="A43" s="99"/>
      <c r="B43" s="121"/>
      <c r="C43" s="122"/>
      <c r="D43" s="122"/>
      <c r="E43" s="122"/>
      <c r="F43" s="123"/>
      <c r="G43" s="122"/>
      <c r="H43" s="122"/>
      <c r="I43" s="122"/>
      <c r="J43" s="122"/>
      <c r="K43" s="122"/>
      <c r="L43" s="122"/>
      <c r="M43" s="124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</row>
    <row r="44" spans="1:71" ht="15" thickBot="1" x14ac:dyDescent="0.35">
      <c r="A44" s="116"/>
      <c r="B44" s="97"/>
      <c r="C44" s="54"/>
      <c r="D44" s="54"/>
      <c r="E44" s="54"/>
      <c r="F44" s="8"/>
      <c r="G44" s="54"/>
      <c r="H44" s="54"/>
      <c r="I44" s="54"/>
      <c r="J44" s="54"/>
      <c r="K44" s="54"/>
      <c r="L44" s="54"/>
      <c r="M44" s="112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103"/>
      <c r="BQ44" s="103"/>
      <c r="BR44" s="103"/>
      <c r="BS44" s="103"/>
    </row>
    <row r="45" spans="1:71" ht="15" thickBot="1" x14ac:dyDescent="0.35">
      <c r="A45" s="99"/>
      <c r="B45" s="121"/>
      <c r="C45" s="122"/>
      <c r="D45" s="122"/>
      <c r="E45" s="122"/>
      <c r="F45" s="123"/>
      <c r="G45" s="122"/>
      <c r="H45" s="122"/>
      <c r="I45" s="122"/>
      <c r="J45" s="122"/>
      <c r="K45" s="122"/>
      <c r="L45" s="122"/>
      <c r="M45" s="124"/>
    </row>
    <row r="46" spans="1:71" ht="15" thickBot="1" x14ac:dyDescent="0.35">
      <c r="A46" s="114"/>
      <c r="B46" s="98"/>
      <c r="C46" s="71"/>
      <c r="D46" s="71"/>
      <c r="E46" s="71"/>
      <c r="F46" s="25"/>
      <c r="G46" s="71"/>
      <c r="H46" s="71"/>
      <c r="I46" s="71"/>
      <c r="J46" s="71"/>
      <c r="K46" s="71"/>
      <c r="L46" s="71"/>
      <c r="M46" s="113"/>
    </row>
    <row r="47" spans="1:71" x14ac:dyDescent="0.3">
      <c r="C47" s="53"/>
    </row>
    <row r="51" spans="9:13" x14ac:dyDescent="0.3">
      <c r="I51" s="103"/>
      <c r="J51" s="103"/>
      <c r="K51" s="103"/>
      <c r="L51" s="103"/>
      <c r="M51" s="103"/>
    </row>
    <row r="52" spans="9:13" x14ac:dyDescent="0.3">
      <c r="I52" s="103"/>
      <c r="J52" s="103"/>
      <c r="K52" s="103"/>
      <c r="L52" s="103"/>
      <c r="M52" s="103"/>
    </row>
  </sheetData>
  <mergeCells count="3">
    <mergeCell ref="A4:A5"/>
    <mergeCell ref="A6:A7"/>
    <mergeCell ref="A8:A9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Control 1">
          <controlPr defaultSize="0" r:id="rId5">
            <anchor moveWithCells="1">
              <from>
                <xdr:col>0</xdr:col>
                <xdr:colOff>0</xdr:colOff>
                <xdr:row>16</xdr:row>
                <xdr:rowOff>60960</xdr:rowOff>
              </from>
              <to>
                <xdr:col>2</xdr:col>
                <xdr:colOff>205740</xdr:colOff>
                <xdr:row>18</xdr:row>
                <xdr:rowOff>38100</xdr:rowOff>
              </to>
            </anchor>
          </controlPr>
        </control>
      </mc:Choice>
      <mc:Fallback>
        <control shapeId="7169" r:id="rId4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1" ma:contentTypeDescription="Create a new document." ma:contentTypeScope="" ma:versionID="1911bed06c6b50121d4833827ac94b73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ab56a7ef294c15237fe0ea5c04d4ee3e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FCACC5-FBED-41EA-A963-324D02DD5E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E84F6C-9BAA-456F-992D-EACE0848F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F75FA7-E290-462D-B741-B8BC6F172792}">
  <ds:schemaRefs>
    <ds:schemaRef ds:uri="e2618ca4-2ecb-42df-b8bc-67d524ebe9b1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5ebb0841-8891-48b7-997c-b14e45f2686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cells</vt:lpstr>
      <vt:lpstr>Sheet1</vt:lpstr>
      <vt:lpstr>no1ms</vt:lpstr>
      <vt:lpstr>Sheet2</vt:lpstr>
      <vt:lpstr>allfinal</vt:lpstr>
      <vt:lpstr>Sheet3</vt:lpstr>
      <vt:lpstr>sag</vt:lpstr>
      <vt:lpstr>finalpca</vt:lpstr>
      <vt:lpstr>Sheet4</vt:lpstr>
      <vt:lpstr>Sheet6</vt:lpstr>
      <vt:lpstr>dev_lumbar</vt:lpstr>
      <vt:lpstr>dev_cervical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Calvin Smith</dc:creator>
  <cp:keywords/>
  <dc:description/>
  <cp:lastModifiedBy>Calvin Smith</cp:lastModifiedBy>
  <cp:revision/>
  <cp:lastPrinted>2019-09-24T06:06:58Z</cp:lastPrinted>
  <dcterms:created xsi:type="dcterms:W3CDTF">2018-09-12T14:39:34Z</dcterms:created>
  <dcterms:modified xsi:type="dcterms:W3CDTF">2020-05-13T14:58:02Z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