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defaultThemeVersion="124226"/>
  <mc:AlternateContent xmlns:mc="http://schemas.openxmlformats.org/markup-compatibility/2006">
    <mc:Choice Requires="x15">
      <x15ac:absPath xmlns:x15ac="http://schemas.microsoft.com/office/spreadsheetml/2010/11/ac" url="C:\Users\sgaleanoc\Downloads\"/>
    </mc:Choice>
  </mc:AlternateContent>
  <xr:revisionPtr revIDLastSave="0" documentId="13_ncr:1_{B2754545-851B-437E-A3D7-79A293923613}" xr6:coauthVersionLast="47" xr6:coauthVersionMax="47" xr10:uidLastSave="{00000000-0000-0000-0000-000000000000}"/>
  <bookViews>
    <workbookView showSheetTabs="0" xWindow="-28920" yWindow="-120" windowWidth="29040" windowHeight="15840" xr2:uid="{00000000-000D-0000-FFFF-FFFF00000000}"/>
  </bookViews>
  <sheets>
    <sheet name="CALCULADORA TARIFAS" sheetId="3" r:id="rId1"/>
    <sheet name="Conciliación" sheetId="2" r:id="rId2"/>
    <sheet name="TARIFAS CONCILIACION" sheetId="14" state="hidden" r:id="rId3"/>
    <sheet name="Arbitraje" sheetId="1" r:id="rId4"/>
    <sheet name="TARIFA ARBITRAJE" sheetId="10" state="hidden" r:id="rId5"/>
    <sheet name="Amigable Composición" sheetId="5" r:id="rId6"/>
    <sheet name="Insolvencia PN no CTE" sheetId="7" r:id="rId7"/>
    <sheet name="TARIFAS INSOLVENCIA 2022" sheetId="15" state="hidden" r:id="rId8"/>
    <sheet name="Recuperación Empresarial – PRES" sheetId="13"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C15" i="2"/>
  <c r="A24" i="14"/>
  <c r="B23" i="14"/>
  <c r="A23" i="14"/>
  <c r="B22" i="14"/>
  <c r="A22" i="14"/>
  <c r="B21" i="14"/>
  <c r="A21" i="14"/>
  <c r="B20" i="14"/>
  <c r="A20" i="14"/>
  <c r="B19" i="14"/>
  <c r="A19" i="14"/>
  <c r="B18" i="14"/>
  <c r="A18" i="14"/>
  <c r="B17" i="14"/>
  <c r="A17" i="14"/>
  <c r="B16" i="14"/>
  <c r="A16" i="14"/>
  <c r="B15" i="14"/>
  <c r="A15" i="14"/>
  <c r="B14" i="14"/>
  <c r="A14" i="14"/>
  <c r="D13" i="14"/>
  <c r="B13" i="14"/>
  <c r="E12" i="14"/>
  <c r="D12" i="14"/>
  <c r="E11" i="14"/>
  <c r="D11" i="14"/>
  <c r="E10" i="14"/>
  <c r="D10" i="14"/>
  <c r="E9" i="14"/>
  <c r="D9" i="14"/>
  <c r="E8" i="14"/>
  <c r="C14" i="7"/>
  <c r="D6" i="15"/>
  <c r="D7" i="15"/>
  <c r="D8" i="15"/>
  <c r="D9" i="15"/>
  <c r="D10" i="15"/>
  <c r="D11" i="15"/>
  <c r="D12" i="15"/>
  <c r="D13" i="15"/>
  <c r="D14" i="15"/>
  <c r="D15" i="15"/>
  <c r="D16" i="15"/>
  <c r="D17" i="15"/>
  <c r="D18" i="15"/>
  <c r="D19" i="15"/>
  <c r="D20" i="15"/>
  <c r="D21" i="15"/>
  <c r="D22" i="15"/>
  <c r="E6" i="15"/>
  <c r="E7" i="15"/>
  <c r="E8" i="15"/>
  <c r="E9" i="15"/>
  <c r="E10" i="15"/>
  <c r="E11" i="15"/>
  <c r="E12" i="15"/>
  <c r="E13" i="15"/>
  <c r="E14" i="15"/>
  <c r="E15" i="15"/>
  <c r="E16" i="15"/>
  <c r="E17" i="15"/>
  <c r="E18" i="15"/>
  <c r="E19" i="15"/>
  <c r="E20" i="15"/>
  <c r="E21" i="15"/>
  <c r="C15" i="1"/>
  <c r="C17" i="1" l="1"/>
  <c r="C18" i="1" s="1"/>
  <c r="D11" i="1"/>
  <c r="C13" i="1" s="1"/>
  <c r="C16" i="7" l="1"/>
  <c r="D5" i="10" l="1"/>
  <c r="D6" i="10"/>
  <c r="D7" i="10"/>
  <c r="D8" i="10"/>
  <c r="D9" i="10"/>
  <c r="C5" i="10"/>
  <c r="C6" i="10"/>
  <c r="C7" i="10"/>
  <c r="C8" i="10"/>
  <c r="C9" i="10"/>
  <c r="C10" i="10"/>
  <c r="F22" i="15"/>
  <c r="F21" i="15"/>
  <c r="F20" i="15"/>
  <c r="F19" i="15"/>
  <c r="F18" i="15"/>
  <c r="F17" i="15"/>
  <c r="F16" i="15"/>
  <c r="F15" i="15"/>
  <c r="F14" i="15"/>
  <c r="F13" i="15"/>
  <c r="F12" i="15"/>
  <c r="F11" i="15"/>
  <c r="F10" i="15"/>
  <c r="F9" i="15"/>
  <c r="F8" i="15"/>
  <c r="F7" i="15"/>
  <c r="F6" i="15"/>
  <c r="C19" i="2"/>
  <c r="C17" i="2" l="1"/>
  <c r="C18" i="2"/>
  <c r="C13" i="5"/>
  <c r="C21" i="2" l="1"/>
  <c r="C14" i="13"/>
  <c r="C19" i="13" l="1"/>
  <c r="C18" i="13"/>
  <c r="C17" i="13"/>
  <c r="C16" i="13"/>
  <c r="C21" i="13" l="1"/>
  <c r="C15" i="5" l="1"/>
  <c r="C17" i="5" l="1"/>
  <c r="C19" i="5" s="1"/>
  <c r="C22" i="5" l="1"/>
  <c r="C20" i="5"/>
  <c r="D11" i="5" l="1"/>
  <c r="C23" i="1"/>
  <c r="E15" i="2"/>
  <c r="E19" i="2" l="1"/>
  <c r="E17" i="2"/>
  <c r="C20" i="1"/>
  <c r="C25" i="1" s="1"/>
  <c r="E18" i="2"/>
  <c r="E21" i="2" l="1"/>
  <c r="C22" i="1"/>
  <c r="C24" i="1"/>
  <c r="C2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SANTIAGO JOSE GALEANO CADAVID</author>
    <author>cvasquezg</author>
  </authors>
  <commentList>
    <comment ref="D11" authorId="0" shapeId="0" xr:uid="{FD3D068F-85D2-4C89-A991-4984B800A4B3}">
      <text>
        <r>
          <rPr>
            <sz val="9"/>
            <color indexed="81"/>
            <rFont val="Tahoma"/>
            <family val="2"/>
          </rPr>
          <t>Clasificación de la cuantía</t>
        </r>
      </text>
    </comment>
    <comment ref="C13" authorId="1" shapeId="0" xr:uid="{2FACA37A-498D-4F2E-B01B-034DF0FB557A}">
      <text>
        <r>
          <rPr>
            <b/>
            <sz val="9"/>
            <color indexed="81"/>
            <rFont val="Tahoma"/>
            <family val="2"/>
          </rPr>
          <t>Los gastos administrativos  iniciales se pagan al momento de presentar la demanda</t>
        </r>
        <r>
          <rPr>
            <sz val="9"/>
            <color indexed="81"/>
            <rFont val="Tahoma"/>
            <family val="2"/>
          </rPr>
          <t xml:space="preserve">
</t>
        </r>
      </text>
    </comment>
    <comment ref="C15" authorId="1" shapeId="0" xr:uid="{00000000-0006-0000-0300-000002000000}">
      <text>
        <r>
          <rPr>
            <b/>
            <sz val="9"/>
            <color indexed="81"/>
            <rFont val="Tahoma"/>
            <family val="2"/>
          </rPr>
          <t>En los trámites de cuantía indeterminada los árbitros tendrán como tope máximo para fijar los honorarios de cada uno la suma de 12.511,37 UVT, en los trámites con cuantía tendrán un tope de 25.022,75 UVT.</t>
        </r>
      </text>
    </comment>
    <comment ref="C17" authorId="1" shapeId="0" xr:uid="{00000000-0006-0000-0300-000003000000}">
      <text>
        <r>
          <rPr>
            <b/>
            <sz val="9"/>
            <color indexed="81"/>
            <rFont val="Tahoma"/>
            <family val="2"/>
          </rPr>
          <t>En caso de ser Árbito único, los mencionados topes de las tarifas podrán incrementarse hasta en un cincuenta por ciento (50%).</t>
        </r>
      </text>
    </comment>
    <comment ref="C23" authorId="1" shapeId="0" xr:uid="{00000000-0006-0000-0300-000004000000}">
      <text>
        <r>
          <rPr>
            <b/>
            <sz val="9"/>
            <color indexed="81"/>
            <rFont val="Tahoma"/>
            <family val="2"/>
          </rPr>
          <t>El cobro del IVA dependerá del régimen tributario del profesional. (0% - 2,4% - 8% - 19%)</t>
        </r>
      </text>
    </comment>
    <comment ref="C24" authorId="0" shapeId="0" xr:uid="{58D77F9F-FE04-4E2A-85A7-1550A2C84CA7}">
      <text>
        <r>
          <rPr>
            <b/>
            <sz val="9"/>
            <color indexed="81"/>
            <rFont val="Tahoma"/>
            <family val="2"/>
          </rPr>
          <t>El cobro del IVA dependerá del régimen tributario del profesional. (0% - 2,4% - 8% - 19%)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cvasquezg</author>
  </authors>
  <commentList>
    <comment ref="C13" authorId="0" shapeId="0" xr:uid="{00000000-0006-0000-0500-000001000000}">
      <text>
        <r>
          <rPr>
            <b/>
            <sz val="9"/>
            <color indexed="81"/>
            <rFont val="Tahoma"/>
            <family val="2"/>
          </rPr>
          <t>Los gastos administrativos  iniciales se pagan al momento de presentar la demanda</t>
        </r>
        <r>
          <rPr>
            <sz val="9"/>
            <color indexed="81"/>
            <rFont val="Tahoma"/>
            <family val="2"/>
          </rPr>
          <t xml:space="preserve">
</t>
        </r>
      </text>
    </comment>
  </commentList>
</comments>
</file>

<file path=xl/sharedStrings.xml><?xml version="1.0" encoding="utf-8"?>
<sst xmlns="http://schemas.openxmlformats.org/spreadsheetml/2006/main" count="100" uniqueCount="74">
  <si>
    <t>Calculadora de tarifas</t>
  </si>
  <si>
    <t>Centro de Conciliación, Arbitraje y Amigable Composición</t>
  </si>
  <si>
    <t>Cámara de Comercio de Medellín para Antioquia</t>
  </si>
  <si>
    <t>Seleccione el tipo de servicio que desea cotizar:</t>
  </si>
  <si>
    <t>Calculadora de tarifas - Conciliación</t>
  </si>
  <si>
    <t>* Ingrese solo la información de las casillas rojas:</t>
  </si>
  <si>
    <t>CUANTÍA DEL CASO:</t>
  </si>
  <si>
    <t>Encuentro adicional:</t>
  </si>
  <si>
    <t>Después del 4° encuentro</t>
  </si>
  <si>
    <t>TARIFA INICIAL</t>
  </si>
  <si>
    <r>
      <t xml:space="preserve">* HONORARIOS CONCILIADOR 
    </t>
    </r>
    <r>
      <rPr>
        <sz val="10"/>
        <color indexed="8"/>
        <rFont val="Calibri"/>
        <family val="2"/>
      </rPr>
      <t>(45% del total de la tarifa inicial)</t>
    </r>
  </si>
  <si>
    <r>
      <t xml:space="preserve">* GASTOS ADMINISTRATIVOS 
    </t>
    </r>
    <r>
      <rPr>
        <sz val="10"/>
        <color indexed="8"/>
        <rFont val="Calibri"/>
        <family val="2"/>
      </rPr>
      <t>(55% del total de la tarifa inicial)</t>
    </r>
  </si>
  <si>
    <t>* IVA (19%)</t>
  </si>
  <si>
    <t>TOTAL A PAGAR</t>
  </si>
  <si>
    <t>NOTAS:</t>
  </si>
  <si>
    <r>
      <t xml:space="preserve">Si el caso es de cuantía indeterminada o sin cuantía, poner </t>
    </r>
    <r>
      <rPr>
        <i/>
        <sz val="14"/>
        <color indexed="10"/>
        <rFont val="Calibri"/>
        <family val="2"/>
      </rPr>
      <t xml:space="preserve">cero (0) </t>
    </r>
    <r>
      <rPr>
        <i/>
        <sz val="14"/>
        <color indexed="8"/>
        <rFont val="Calibri"/>
        <family val="2"/>
      </rPr>
      <t xml:space="preserve">en la casilla </t>
    </r>
  </si>
  <si>
    <t>de la cuantía del caso.</t>
  </si>
  <si>
    <t>* Según el artículo 27 del Decreto 1829 de 2013, la tarifa deberá ser liquidada y cobrada al solicitante al momento de presentar la solicitud de conciliación. Las tarifas de conciliación no dependen del resultado de la misma. Con todo, en el evento en que la parte convocada no asista a la audiencia de conciliación, el Centro devolverá al convocante como mínimo el 70% de la tarifa cancelada, de acuerdo con lo establecido en el respectivo Reglamento Interno.
En caso de segunda convocatoria, el porcentaje mínimo de devolución será del 60% de la tarifa cancelada, según lo disponga el Reglamento.</t>
  </si>
  <si>
    <t>Valor UVT 2022</t>
  </si>
  <si>
    <t>Marco tarifario ajustado al Decreto 1885/21</t>
  </si>
  <si>
    <t>CUANTIA PRETENSIONES EN UVT</t>
  </si>
  <si>
    <t>CUANTIA PRETENSIONES EN PESOS 2022</t>
  </si>
  <si>
    <t>DESDE</t>
  </si>
  <si>
    <t>HASTA</t>
  </si>
  <si>
    <t>TARIFA UVT</t>
  </si>
  <si>
    <t>TARIFA EN PESOS SIN IVA</t>
  </si>
  <si>
    <t>En adelante</t>
  </si>
  <si>
    <t>Sin exceder</t>
  </si>
  <si>
    <t>Calculadora de tarifas - ARBITRAJE</t>
  </si>
  <si>
    <t>Ingrese solo la información de las casillas rojas:</t>
  </si>
  <si>
    <t>GASTOS DE ADMINISTRACIÓN INICIALES (IVA Incluido)</t>
  </si>
  <si>
    <t>HONORARIOS DE UN ÁRBITRO</t>
  </si>
  <si>
    <t xml:space="preserve"># de Árbitros </t>
  </si>
  <si>
    <t>TOTAL HONORARIOS ÁRBITROS</t>
  </si>
  <si>
    <t>HONORARIOS DEL SECRETARIO</t>
  </si>
  <si>
    <t>GASTOS ADMINISTRATIVOS FINALES (IVA Incluido)</t>
  </si>
  <si>
    <t>TOTAL GASTOS Y HONORARIOS (Antes de IVA)</t>
  </si>
  <si>
    <t>IVA (19%) DE ARBITROS</t>
  </si>
  <si>
    <t>IVA (19%) DE SECRETARIO</t>
  </si>
  <si>
    <t>IVA (19%) DE GASTOS ADMINISTRATIVOS</t>
  </si>
  <si>
    <t>NOTAS IMPORTANTES:</t>
  </si>
  <si>
    <t xml:space="preserve">* En el caso de cuantía indeterminada, el valor lo define el Tribunal arbitral de conformidad con un análisis de fondo de la demanda y el proceso.
De conformidad con lo establecido por el artículo 2.2.4.2.6.2.5. del Decreto 1885 de 2021: “Cuando no fuere posible determinar la cuantía de las pretensiones, los árbitros tendrán como suma límite para fijar los honorarios de cada uno, la cuantía de doce mil quinientos once con treinta y siete Unidades de Valor Unitario (12.511,37 UVT)."
De conformidad con el parágrafo 1 del artículo 2.2.4.2.6.2.1. del Decreto 1885 de 2021 “En caso de árbitro único, los mencionados topes podrán incrementarse hasta en un cincuenta por ciento (50%).”
Los gastos procesales (pruebas, notificaciones, protocolización del expediente, fotocopias, etc.), serán calculados por cada tribunal, según sea el caso dentro de los gastos administrativos del proceso y son determinados exclusivamente por los árbitros después de tener el conocimiento del asunto.
Con la presentación de cualquier convocatoria a Tribunal de Arbitral, la parte convocante deberá cancelar a favor del centro, los siguientes valores:
- Si es un trámite de menor cuantía el equivalente a 25,02 UVT más IVA.
- Si es un trámite de mayor cuantía o cuantía indeterminada, el equivalente A 50.05 UVT  más IVA.
Los anteriores gastos iniciales se imputarán a los gastos administrativos que decrete el tribunal. En los casos donde el Tribunal no pueda instalarse para asumir sus funciones se reembolsarán dichos recursos.          </t>
  </si>
  <si>
    <t>UVT</t>
  </si>
  <si>
    <t>PESOS [$]</t>
  </si>
  <si>
    <t>ARBITRO</t>
  </si>
  <si>
    <t>Desde</t>
  </si>
  <si>
    <t>Hasta</t>
  </si>
  <si>
    <t>HONORARIOS</t>
  </si>
  <si>
    <t>8,34 UVT</t>
  </si>
  <si>
    <t>Calculadora de tarifas - AMIGABLE COMPOSICIÓN</t>
  </si>
  <si>
    <t>GASTOS INICIALES (IVA Incluido)</t>
  </si>
  <si>
    <t xml:space="preserve">                                                                         </t>
  </si>
  <si>
    <t>HONORARIOS DE UN AMIGABLE COMPONEDOR</t>
  </si>
  <si>
    <t>GASTOS ADMINISTRATIVOS</t>
  </si>
  <si>
    <t>IVA (19%)</t>
  </si>
  <si>
    <t>TOTAL A PAGAR AL FINAL (IVA incluido)</t>
  </si>
  <si>
    <r>
      <t xml:space="preserve">* Si el caso es de </t>
    </r>
    <r>
      <rPr>
        <b/>
        <i/>
        <sz val="14"/>
        <color indexed="10"/>
        <rFont val="Calibri"/>
        <family val="2"/>
      </rPr>
      <t>cuantía indeterminada</t>
    </r>
    <r>
      <rPr>
        <i/>
        <sz val="14"/>
        <color indexed="8"/>
        <rFont val="Calibri"/>
        <family val="2"/>
      </rPr>
      <t xml:space="preserve">, poner </t>
    </r>
    <r>
      <rPr>
        <b/>
        <i/>
        <sz val="14"/>
        <color indexed="10"/>
        <rFont val="Calibri"/>
        <family val="2"/>
      </rPr>
      <t>cero (0)</t>
    </r>
    <r>
      <rPr>
        <i/>
        <sz val="14"/>
        <color indexed="8"/>
        <rFont val="Calibri"/>
        <family val="2"/>
      </rPr>
      <t xml:space="preserve"> en la casilla de la cuantía del caso.
</t>
    </r>
    <r>
      <rPr>
        <i/>
        <sz val="12"/>
        <color indexed="8"/>
        <rFont val="Calibri"/>
        <family val="2"/>
      </rPr>
      <t xml:space="preserve">
Cuando la cuantía sea indeterminada o el asunto a resolver no sea de contenido económico, el amigable componedor tendrá la facultad para fijar los honorarios y gastos de administración de la amigable composición, teniendo en cuenta las circunstancias particulares del caso, la cuantía del contrato o negocio jurídico, sin que sumados dichos honorarios y gastos excedan la suma de 650 SMLMV.</t>
    </r>
  </si>
  <si>
    <r>
      <rPr>
        <b/>
        <i/>
        <sz val="10"/>
        <color indexed="8"/>
        <rFont val="Trebuchet MS"/>
        <family val="2"/>
      </rPr>
      <t>ARTÍCULO 159. TARIFAS:</t>
    </r>
    <r>
      <rPr>
        <i/>
        <sz val="10"/>
        <color indexed="8"/>
        <rFont val="Trebuchet MS"/>
        <family val="2"/>
      </rPr>
      <t xml:space="preserve">
PARÁGRAFO 1.- Los gastos del Centro corresponderán al 50% de los honorarios de un amigable componedor. 
PARÁGRAFO 2.- En relación con las tarifas, se seguirán las siguientes reglas:
1. Cuando la cuantía sea indeterminada o el asunto a resolver no sea de contenido económico, el amigable componedor tendrá la facultad para fijar los honorarios y gastos de administración de la amigable composición, teniendo en cuenta las circunstancias particulares del caso, la cuantía del contrato o negocio jurídico, sin que sumados dichos honorarios y gastos excedan la suma de 650 SMLMV.
2. El valor total fijado deberá ser pagado por las partes en proporciones iguales, cada una del 50%, en la oportunidad establecida por el amigable componedor.
3. Cuando exista pluralidad de convocantes o convocados, los integrantes de cada parte actuarán conjuntamente, en su condición de convocantes o convocados y, en todo caso, deberán estarse a lo dispuesto por el amigable componedor respecto de los pagos a cargo de cada uno. Para los efectos del pago, existirá solidaridad entre los miembros que integren una parte, llámense convocantes o convocados.
4. Los gastos iniciales que se pagan al momento de la presentación de la solicitud no serán reintegrados por ningún motivo.
5.  El amigable componedor establecerá los casos en que haya lugar a la devolución de la tarifa y su porcentaje, dependiendo de la etapa y de las actuaciones que se hayan realizado en el transcurso de la amigable composición sin incluir lo correspondiente a los gastos iniciales.
</t>
    </r>
    <r>
      <rPr>
        <b/>
        <i/>
        <sz val="10"/>
        <color indexed="8"/>
        <rFont val="Trebuchet MS"/>
        <family val="2"/>
      </rPr>
      <t>ARTÍCULO  160.-  DISTRIBUCIÓN  TARIFARIA: Las  anteriores  tarifas  se  distribuirán  de la siguiente forma:</t>
    </r>
    <r>
      <rPr>
        <i/>
        <sz val="10"/>
        <color indexed="8"/>
        <rFont val="Trebuchet MS"/>
        <family val="2"/>
      </rPr>
      <t xml:space="preserve">
En caso que el amigable componedor decida designar un secretario la proporción tarifaria será de:
80% Por concepto de honorarios del amigable componedor.
20% Por concepto de gastos  secretariales. De acuerdo con el artículo 12, numeral 2 del presente Reglamento, si se escoge como secretario a uno de los abogados vinculados laboralmente al Centro, este porcentaje será para el Centro. 
En caso que el panel de amigables componedores, esté integrado por dos o más amigables componedores el valor total de los honorarios fijados para los amigables componedores será dividido en partes iguales entre ellos.
PARÁGRAFO 1.- Los porcentajes y las oportunidades de causación de los honorarios y gastos de administración se fijarán por el amigable componedor en la reunión de apertura prevista este reglamento.
PARÁGRAFO 2.- Corresponde al amigable componedor pagar al Centro las sumas relacionadas con los gastos administrativos y secretariales, dentro de los 10 días calendario, contados desde el momento en que se realice por las partes el pago total de los honorarios y gastos de la amigable composición.
</t>
    </r>
  </si>
  <si>
    <t>Calculadora de tarifas - INSOLVENCIA PERSONA NATURAL NO COMERCIANTE</t>
  </si>
  <si>
    <t>TOTAL A PAGAR ANTES DE IVA</t>
  </si>
  <si>
    <t>TOTAL A PAGAR CON IVA</t>
  </si>
  <si>
    <t>MONTO DEL CAPITAL DE CRÉDITOS (Ajustado conforme Decreto 1885 de 2021)</t>
  </si>
  <si>
    <t>CUANTIA EN UVT</t>
  </si>
  <si>
    <t>CUANTIA EN PESOS 2022</t>
  </si>
  <si>
    <t>Valor máximo</t>
  </si>
  <si>
    <t>MONTO DE LOS PASIVOS:</t>
  </si>
  <si>
    <r>
      <t xml:space="preserve">* HONORARIOS CONCILIADOR 
    </t>
    </r>
    <r>
      <rPr>
        <sz val="10"/>
        <color indexed="8"/>
        <rFont val="Calibri"/>
        <family val="2"/>
      </rPr>
      <t>(40% del total de la tarifa inicial)</t>
    </r>
  </si>
  <si>
    <r>
      <t xml:space="preserve">* GASTOS ADMINISTRATIVOS 
    </t>
    </r>
    <r>
      <rPr>
        <sz val="10"/>
        <color indexed="8"/>
        <rFont val="Calibri"/>
        <family val="2"/>
      </rPr>
      <t>(50% del total de la tarifa inicial)</t>
    </r>
  </si>
  <si>
    <r>
      <t xml:space="preserve">* RESULTADO DE ACUERDO
    </t>
    </r>
    <r>
      <rPr>
        <sz val="10"/>
        <color indexed="8"/>
        <rFont val="Calibri"/>
        <family val="2"/>
      </rPr>
      <t>(10% del total de la tarifa inicial, en caso 
     de no acuerdo será devolución)</t>
    </r>
  </si>
  <si>
    <t>UVT 2023</t>
  </si>
  <si>
    <t>SMMLV 2023</t>
  </si>
  <si>
    <t>Valor UVT 2023</t>
  </si>
  <si>
    <t>SMLMV 2023</t>
  </si>
  <si>
    <t>$18.972.160 (mas 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</si>
</sst>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 #,##0_-;\-&quot;$&quot;\ * #,##0_-;_-&quot;$&quot;\ * &quot;-&quot;_-;_-@_-"/>
    <numFmt numFmtId="165" formatCode="_(&quot;$&quot;\ * #,##0.00_);_(&quot;$&quot;\ * \(#,##0.00\);_(&quot;$&quot;\ * &quot;-&quot;??_);_(@_)"/>
    <numFmt numFmtId="166" formatCode="_(* #,##0.00_);_(* \(#,##0.00\);_(* &quot;-&quot;??_);_(@_)"/>
    <numFmt numFmtId="167" formatCode="_(&quot;$&quot;\ * #,##0_);_(&quot;$&quot;\ * \(#,##0\);_(&quot;$&quot;\ * &quot;-&quot;??_);_(@_)"/>
    <numFmt numFmtId="168" formatCode="_(&quot;$&quot;\ * #,##0.0_);_(&quot;$&quot;\ * \(#,##0.0\);_(&quot;$&quot;\ * &quot;-&quot;??_);_(@_)"/>
    <numFmt numFmtId="169" formatCode="0.000000000000"/>
    <numFmt numFmtId="170" formatCode="0.0"/>
    <numFmt numFmtId="171" formatCode="_-&quot;$&quot;\ * #,##0_-;\-&quot;$&quot;\ * #,##0_-;_-&quot;$&quot;\ * &quot;-&quot;??_-;_-@_-"/>
    <numFmt numFmtId="172" formatCode="_-&quot;$&quot;\ * #,##0.00_-;\-&quot;$&quot;\ * #,##0.00_-;_-&quot;$&quot;\ * &quot;-&quot;_-;_-@_-"/>
    <numFmt numFmtId="173" formatCode="0.00_ ;\-0.00\ "/>
  </numFmts>
  <fonts count="28" x14ac:knownFonts="1">
    <font>
      <sz val="11"/>
      <color theme="1"/>
      <name val="Calibri"/>
      <family val="2"/>
      <scheme val="minor"/>
    </font>
    <font>
      <i/>
      <sz val="14"/>
      <color indexed="8"/>
      <name val="Calibri"/>
      <family val="2"/>
    </font>
    <font>
      <b/>
      <i/>
      <sz val="14"/>
      <color indexed="10"/>
      <name val="Calibri"/>
      <family val="2"/>
    </font>
    <font>
      <i/>
      <sz val="14"/>
      <color indexed="10"/>
      <name val="Calibri"/>
      <family val="2"/>
    </font>
    <font>
      <sz val="9"/>
      <color indexed="81"/>
      <name val="Tahoma"/>
      <family val="2"/>
    </font>
    <font>
      <b/>
      <sz val="9"/>
      <color indexed="81"/>
      <name val="Tahoma"/>
      <family val="2"/>
    </font>
    <font>
      <i/>
      <sz val="10"/>
      <color indexed="8"/>
      <name val="Trebuchet MS"/>
      <family val="2"/>
    </font>
    <font>
      <sz val="10"/>
      <color indexed="8"/>
      <name val="Calibri"/>
      <family val="2"/>
    </font>
    <font>
      <b/>
      <i/>
      <sz val="10"/>
      <color indexed="8"/>
      <name val="Trebuchet MS"/>
      <family val="2"/>
    </font>
    <font>
      <i/>
      <sz val="12"/>
      <color indexed="8"/>
      <name val="Calibri"/>
      <family val="2"/>
    </font>
    <font>
      <sz val="11"/>
      <color theme="1"/>
      <name val="Calibri"/>
      <family val="2"/>
      <scheme val="minor"/>
    </font>
    <font>
      <b/>
      <sz val="11"/>
      <color theme="0"/>
      <name val="Calibri"/>
      <family val="2"/>
      <scheme val="minor"/>
    </font>
    <font>
      <b/>
      <sz val="11"/>
      <color theme="1"/>
      <name val="Calibri"/>
      <family val="2"/>
      <scheme val="minor"/>
    </font>
    <font>
      <b/>
      <i/>
      <sz val="14"/>
      <color theme="1"/>
      <name val="Calibri"/>
      <family val="2"/>
      <scheme val="minor"/>
    </font>
    <font>
      <i/>
      <sz val="11"/>
      <color theme="1"/>
      <name val="Calibri"/>
      <family val="2"/>
      <scheme val="minor"/>
    </font>
    <font>
      <i/>
      <sz val="11"/>
      <color rgb="FFED1C24"/>
      <name val="Calibri"/>
      <family val="2"/>
      <scheme val="minor"/>
    </font>
    <font>
      <b/>
      <i/>
      <sz val="11"/>
      <color theme="1"/>
      <name val="Calibri"/>
      <family val="2"/>
      <scheme val="minor"/>
    </font>
    <font>
      <i/>
      <sz val="14"/>
      <color theme="1"/>
      <name val="Calibri"/>
      <family val="2"/>
      <scheme val="minor"/>
    </font>
    <font>
      <b/>
      <i/>
      <sz val="11"/>
      <color rgb="FFED1C24"/>
      <name val="Calibri"/>
      <family val="2"/>
      <scheme val="minor"/>
    </font>
    <font>
      <i/>
      <sz val="11"/>
      <color rgb="FFFF0000"/>
      <name val="Calibri"/>
      <family val="2"/>
      <scheme val="minor"/>
    </font>
    <font>
      <b/>
      <i/>
      <sz val="12"/>
      <color rgb="FFFF0000"/>
      <name val="Calibri"/>
      <family val="2"/>
      <scheme val="minor"/>
    </font>
    <font>
      <b/>
      <i/>
      <sz val="16"/>
      <color theme="1"/>
      <name val="Calibri"/>
      <family val="2"/>
      <scheme val="minor"/>
    </font>
    <font>
      <b/>
      <i/>
      <sz val="16"/>
      <color rgb="FFED1C24"/>
      <name val="Calibri"/>
      <family val="2"/>
      <scheme val="minor"/>
    </font>
    <font>
      <b/>
      <i/>
      <sz val="18"/>
      <color rgb="FFED1C24"/>
      <name val="Calibri"/>
      <family val="2"/>
      <scheme val="minor"/>
    </font>
    <font>
      <b/>
      <sz val="16"/>
      <color rgb="FFBCBEC0"/>
      <name val="Calibri"/>
      <family val="2"/>
      <scheme val="minor"/>
    </font>
    <font>
      <i/>
      <sz val="10"/>
      <color theme="1"/>
      <name val="Trebuchet MS"/>
      <family val="2"/>
    </font>
    <font>
      <b/>
      <i/>
      <sz val="11"/>
      <color rgb="FFFF0000"/>
      <name val="Calibri"/>
      <family val="2"/>
      <scheme val="minor"/>
    </font>
    <font>
      <i/>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BCBEC0"/>
        <bgColor indexed="64"/>
      </patternFill>
    </fill>
    <fill>
      <patternFill patternType="solid">
        <fgColor rgb="FFED1C24"/>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
    <xf numFmtId="0" fontId="0" fillId="0" borderId="0"/>
    <xf numFmtId="166" fontId="10" fillId="0" borderId="0" applyFont="0" applyFill="0" applyBorder="0" applyAlignment="0" applyProtection="0"/>
    <xf numFmtId="165" fontId="10" fillId="0" borderId="0" applyFont="0" applyFill="0" applyBorder="0" applyAlignment="0" applyProtection="0"/>
    <xf numFmtId="164" fontId="10" fillId="0" borderId="0" applyFont="0" applyFill="0" applyBorder="0" applyAlignment="0" applyProtection="0"/>
    <xf numFmtId="9" fontId="10" fillId="0" borderId="0" applyFont="0" applyFill="0" applyBorder="0" applyAlignment="0" applyProtection="0"/>
  </cellStyleXfs>
  <cellXfs count="109">
    <xf numFmtId="0" fontId="0" fillId="0" borderId="0" xfId="0"/>
    <xf numFmtId="0" fontId="0" fillId="2" borderId="0" xfId="0" applyFill="1"/>
    <xf numFmtId="0" fontId="0" fillId="2" borderId="0" xfId="0" applyFill="1" applyProtection="1">
      <protection locked="0"/>
    </xf>
    <xf numFmtId="0" fontId="12" fillId="2" borderId="0" xfId="0" applyFont="1" applyFill="1" applyProtection="1">
      <protection locked="0"/>
    </xf>
    <xf numFmtId="167" fontId="10" fillId="3" borderId="0" xfId="2" applyNumberFormat="1" applyFont="1" applyFill="1" applyProtection="1"/>
    <xf numFmtId="167" fontId="12" fillId="3" borderId="0" xfId="2" applyNumberFormat="1" applyFont="1" applyFill="1" applyProtection="1"/>
    <xf numFmtId="0" fontId="13" fillId="2" borderId="0" xfId="0" applyFont="1" applyFill="1" applyAlignment="1" applyProtection="1">
      <alignment horizontal="center"/>
      <protection locked="0"/>
    </xf>
    <xf numFmtId="0" fontId="14" fillId="2" borderId="0" xfId="0" applyFont="1" applyFill="1" applyProtection="1">
      <protection locked="0"/>
    </xf>
    <xf numFmtId="0" fontId="0" fillId="0" borderId="0" xfId="0" applyProtection="1">
      <protection locked="0"/>
    </xf>
    <xf numFmtId="167" fontId="11" fillId="4" borderId="0" xfId="2" applyNumberFormat="1" applyFont="1" applyFill="1" applyProtection="1">
      <protection locked="0"/>
    </xf>
    <xf numFmtId="0" fontId="0" fillId="2" borderId="0" xfId="0" applyFill="1" applyAlignment="1" applyProtection="1">
      <alignment horizontal="center"/>
      <protection locked="0"/>
    </xf>
    <xf numFmtId="0" fontId="15" fillId="2" borderId="0" xfId="0" applyFont="1" applyFill="1"/>
    <xf numFmtId="0" fontId="12" fillId="2" borderId="0" xfId="0" applyFont="1" applyFill="1"/>
    <xf numFmtId="0" fontId="16" fillId="2" borderId="0" xfId="0" applyFont="1" applyFill="1"/>
    <xf numFmtId="0" fontId="17" fillId="2" borderId="0" xfId="0" applyFont="1" applyFill="1"/>
    <xf numFmtId="167" fontId="0" fillId="2" borderId="0" xfId="0" applyNumberFormat="1" applyFill="1" applyProtection="1">
      <protection locked="0"/>
    </xf>
    <xf numFmtId="0" fontId="18" fillId="3" borderId="0" xfId="0" applyFont="1" applyFill="1" applyAlignment="1">
      <alignment horizontal="center"/>
    </xf>
    <xf numFmtId="0" fontId="19" fillId="2" borderId="0" xfId="0" applyFont="1" applyFill="1"/>
    <xf numFmtId="168" fontId="10" fillId="2" borderId="0" xfId="2" applyNumberFormat="1" applyFont="1" applyFill="1" applyProtection="1">
      <protection locked="0"/>
    </xf>
    <xf numFmtId="0" fontId="16" fillId="2" borderId="0" xfId="0" applyFont="1" applyFill="1" applyAlignment="1">
      <alignment wrapText="1"/>
    </xf>
    <xf numFmtId="167" fontId="0" fillId="2" borderId="0" xfId="0" applyNumberFormat="1" applyFill="1"/>
    <xf numFmtId="0" fontId="0" fillId="2" borderId="0" xfId="0" applyFill="1" applyAlignment="1">
      <alignment vertical="center" wrapText="1"/>
    </xf>
    <xf numFmtId="167" fontId="10" fillId="3" borderId="0" xfId="2" applyNumberFormat="1" applyFont="1" applyFill="1" applyAlignment="1" applyProtection="1">
      <alignment vertical="center"/>
    </xf>
    <xf numFmtId="0" fontId="0" fillId="2" borderId="0" xfId="0" applyFill="1" applyAlignment="1" applyProtection="1">
      <alignment vertical="center"/>
      <protection locked="0"/>
    </xf>
    <xf numFmtId="169" fontId="0" fillId="2" borderId="0" xfId="0" applyNumberFormat="1" applyFill="1" applyProtection="1">
      <protection locked="0"/>
    </xf>
    <xf numFmtId="167" fontId="10" fillId="5" borderId="0" xfId="2" applyNumberFormat="1" applyFont="1" applyFill="1" applyAlignment="1" applyProtection="1">
      <alignment horizontal="center" vertical="center"/>
    </xf>
    <xf numFmtId="0" fontId="0" fillId="2" borderId="0" xfId="0" applyFill="1" applyAlignment="1">
      <alignment vertical="center"/>
    </xf>
    <xf numFmtId="0" fontId="20" fillId="2" borderId="0" xfId="0" applyFont="1" applyFill="1"/>
    <xf numFmtId="0" fontId="16" fillId="0" borderId="0" xfId="0" applyFont="1" applyAlignment="1">
      <alignment wrapText="1"/>
    </xf>
    <xf numFmtId="167" fontId="10" fillId="2" borderId="0" xfId="2" applyNumberFormat="1" applyFont="1" applyFill="1" applyBorder="1" applyProtection="1"/>
    <xf numFmtId="0" fontId="21" fillId="2" borderId="0" xfId="0" applyFont="1" applyFill="1"/>
    <xf numFmtId="9" fontId="0" fillId="0" borderId="0" xfId="0" applyNumberFormat="1"/>
    <xf numFmtId="0" fontId="12" fillId="7" borderId="8"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167" fontId="12" fillId="3" borderId="0" xfId="2" applyNumberFormat="1" applyFont="1" applyFill="1" applyAlignment="1" applyProtection="1"/>
    <xf numFmtId="0" fontId="23" fillId="2" borderId="0" xfId="0" applyFont="1" applyFill="1" applyProtection="1">
      <protection locked="0"/>
    </xf>
    <xf numFmtId="0" fontId="22" fillId="2" borderId="0" xfId="0" applyFont="1" applyFill="1" applyProtection="1">
      <protection locked="0"/>
    </xf>
    <xf numFmtId="0" fontId="24" fillId="2" borderId="0" xfId="0" applyFont="1" applyFill="1" applyProtection="1">
      <protection locked="0"/>
    </xf>
    <xf numFmtId="0" fontId="12" fillId="6" borderId="2" xfId="0" applyFont="1" applyFill="1" applyBorder="1" applyAlignment="1">
      <alignment horizontal="center" vertical="center" wrapText="1"/>
    </xf>
    <xf numFmtId="0" fontId="12" fillId="6" borderId="5" xfId="0" applyFont="1" applyFill="1" applyBorder="1" applyAlignment="1">
      <alignment horizontal="center" vertical="center" wrapText="1"/>
    </xf>
    <xf numFmtId="164" fontId="0" fillId="0" borderId="0" xfId="3" applyFont="1"/>
    <xf numFmtId="0" fontId="12" fillId="7" borderId="10" xfId="0" applyFont="1" applyFill="1" applyBorder="1" applyAlignment="1">
      <alignment horizontal="center" vertical="center" wrapText="1"/>
    </xf>
    <xf numFmtId="0" fontId="12" fillId="7" borderId="11" xfId="0" applyFont="1" applyFill="1" applyBorder="1" applyAlignment="1">
      <alignment horizontal="center" vertical="center" wrapText="1"/>
    </xf>
    <xf numFmtId="0" fontId="12" fillId="9" borderId="1" xfId="0" applyFont="1" applyFill="1" applyBorder="1" applyAlignment="1">
      <alignment horizontal="center" vertical="center"/>
    </xf>
    <xf numFmtId="164" fontId="0" fillId="0" borderId="1" xfId="3" applyFont="1" applyBorder="1"/>
    <xf numFmtId="164" fontId="0" fillId="0" borderId="1" xfId="0" applyNumberFormat="1" applyBorder="1"/>
    <xf numFmtId="170" fontId="0" fillId="0" borderId="0" xfId="0" applyNumberFormat="1"/>
    <xf numFmtId="0" fontId="0" fillId="0" borderId="0" xfId="0" applyAlignment="1">
      <alignment horizontal="center"/>
    </xf>
    <xf numFmtId="2" fontId="0" fillId="0" borderId="1" xfId="0" applyNumberFormat="1" applyBorder="1" applyAlignment="1">
      <alignment horizontal="center"/>
    </xf>
    <xf numFmtId="2" fontId="0" fillId="2" borderId="1" xfId="0" applyNumberFormat="1" applyFill="1" applyBorder="1" applyAlignment="1">
      <alignment horizontal="center"/>
    </xf>
    <xf numFmtId="164" fontId="0" fillId="2" borderId="1" xfId="3" applyFont="1" applyFill="1" applyBorder="1"/>
    <xf numFmtId="170" fontId="0" fillId="2" borderId="0" xfId="0" applyNumberFormat="1" applyFill="1"/>
    <xf numFmtId="2" fontId="0" fillId="0" borderId="0" xfId="0" applyNumberFormat="1"/>
    <xf numFmtId="2" fontId="0" fillId="0" borderId="1" xfId="0" applyNumberFormat="1" applyBorder="1"/>
    <xf numFmtId="171" fontId="0" fillId="0" borderId="1" xfId="0" applyNumberFormat="1" applyBorder="1"/>
    <xf numFmtId="0" fontId="0" fillId="2" borderId="1" xfId="0" applyFill="1" applyBorder="1"/>
    <xf numFmtId="164" fontId="0" fillId="2" borderId="1" xfId="0" applyNumberFormat="1" applyFill="1" applyBorder="1"/>
    <xf numFmtId="3" fontId="0" fillId="0" borderId="1" xfId="0" applyNumberFormat="1" applyBorder="1"/>
    <xf numFmtId="0" fontId="0" fillId="0" borderId="1" xfId="0" applyBorder="1" applyAlignment="1">
      <alignment horizontal="right"/>
    </xf>
    <xf numFmtId="10" fontId="0" fillId="0" borderId="1" xfId="0" applyNumberFormat="1" applyBorder="1" applyAlignment="1">
      <alignment horizontal="right"/>
    </xf>
    <xf numFmtId="9" fontId="0" fillId="0" borderId="1" xfId="0" applyNumberFormat="1" applyBorder="1" applyAlignment="1">
      <alignment horizontal="right"/>
    </xf>
    <xf numFmtId="0" fontId="12" fillId="5" borderId="1" xfId="0" applyFont="1" applyFill="1" applyBorder="1" applyAlignment="1">
      <alignment horizontal="center"/>
    </xf>
    <xf numFmtId="0" fontId="12" fillId="5" borderId="1" xfId="0" applyFont="1" applyFill="1" applyBorder="1"/>
    <xf numFmtId="0" fontId="16" fillId="2" borderId="0" xfId="0" applyFont="1" applyFill="1" applyAlignment="1">
      <alignment horizontal="center"/>
    </xf>
    <xf numFmtId="4" fontId="0" fillId="0" borderId="1" xfId="0" applyNumberFormat="1" applyBorder="1"/>
    <xf numFmtId="172" fontId="0" fillId="0" borderId="1" xfId="3" applyNumberFormat="1" applyFont="1" applyBorder="1"/>
    <xf numFmtId="165" fontId="10" fillId="3" borderId="0" xfId="2" applyFont="1" applyFill="1" applyProtection="1"/>
    <xf numFmtId="165" fontId="10" fillId="5" borderId="0" xfId="2" applyFont="1" applyFill="1" applyProtection="1"/>
    <xf numFmtId="165" fontId="12" fillId="3" borderId="0" xfId="2" applyFont="1" applyFill="1" applyProtection="1"/>
    <xf numFmtId="0" fontId="11" fillId="4" borderId="0" xfId="1" applyNumberFormat="1" applyFont="1" applyFill="1" applyProtection="1">
      <protection locked="0"/>
    </xf>
    <xf numFmtId="173" fontId="0" fillId="2" borderId="1" xfId="0" applyNumberFormat="1" applyFill="1" applyBorder="1" applyAlignment="1">
      <alignment horizontal="center"/>
    </xf>
    <xf numFmtId="10" fontId="0" fillId="2" borderId="0" xfId="4" applyNumberFormat="1" applyFont="1" applyFill="1"/>
    <xf numFmtId="0" fontId="17" fillId="2" borderId="0" xfId="0" applyFont="1" applyFill="1" applyAlignment="1" applyProtection="1">
      <alignment horizontal="center"/>
      <protection locked="0"/>
    </xf>
    <xf numFmtId="0" fontId="23" fillId="2" borderId="0" xfId="0" applyFont="1" applyFill="1" applyAlignment="1" applyProtection="1">
      <alignment horizontal="center"/>
      <protection locked="0"/>
    </xf>
    <xf numFmtId="0" fontId="22" fillId="2" borderId="0" xfId="0" applyFont="1" applyFill="1" applyAlignment="1" applyProtection="1">
      <alignment horizontal="center"/>
      <protection locked="0"/>
    </xf>
    <xf numFmtId="0" fontId="24" fillId="2" borderId="0" xfId="0" applyFont="1" applyFill="1" applyAlignment="1" applyProtection="1">
      <alignment horizontal="center"/>
      <protection locked="0"/>
    </xf>
    <xf numFmtId="0" fontId="16" fillId="2" borderId="0" xfId="0" applyFont="1" applyFill="1" applyAlignment="1" applyProtection="1">
      <alignment horizontal="center"/>
      <protection locked="0"/>
    </xf>
    <xf numFmtId="0" fontId="21" fillId="2" borderId="0" xfId="0" applyFont="1" applyFill="1" applyAlignment="1">
      <alignment horizontal="center"/>
    </xf>
    <xf numFmtId="0" fontId="17" fillId="2" borderId="0" xfId="0" applyFont="1" applyFill="1" applyAlignment="1">
      <alignment horizontal="center"/>
    </xf>
    <xf numFmtId="0" fontId="14" fillId="2" borderId="0" xfId="0" applyFont="1" applyFill="1" applyAlignment="1">
      <alignment horizontal="left" wrapText="1"/>
    </xf>
    <xf numFmtId="0" fontId="0" fillId="2" borderId="0" xfId="0" applyFill="1" applyAlignment="1">
      <alignment horizontal="left" wrapText="1"/>
    </xf>
    <xf numFmtId="0" fontId="12" fillId="8" borderId="0" xfId="0" applyFont="1" applyFill="1" applyAlignment="1">
      <alignment horizontal="center"/>
    </xf>
    <xf numFmtId="0" fontId="12" fillId="7" borderId="3"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9" borderId="3"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1" xfId="0" applyFont="1" applyFill="1" applyBorder="1" applyAlignment="1">
      <alignment horizontal="center" vertical="center"/>
    </xf>
    <xf numFmtId="0" fontId="17" fillId="2" borderId="0" xfId="0" applyFont="1" applyFill="1" applyAlignment="1">
      <alignment horizontal="left"/>
    </xf>
    <xf numFmtId="0" fontId="27" fillId="0" borderId="0" xfId="0" applyFont="1" applyAlignment="1">
      <alignment horizontal="left" vertical="top" wrapText="1"/>
    </xf>
    <xf numFmtId="0" fontId="12" fillId="5" borderId="1" xfId="0" applyFont="1" applyFill="1" applyBorder="1" applyAlignment="1">
      <alignment horizontal="center"/>
    </xf>
    <xf numFmtId="0" fontId="17" fillId="2" borderId="0" xfId="0" applyFont="1" applyFill="1" applyAlignment="1">
      <alignment horizontal="left" wrapText="1"/>
    </xf>
    <xf numFmtId="0" fontId="25" fillId="0" borderId="0" xfId="0" applyFont="1" applyAlignment="1">
      <alignment horizontal="left" vertical="center" wrapText="1"/>
    </xf>
    <xf numFmtId="0" fontId="26" fillId="2" borderId="0" xfId="0" applyFont="1" applyFill="1" applyAlignment="1">
      <alignment horizontal="left" vertical="top" wrapText="1"/>
    </xf>
    <xf numFmtId="0" fontId="12" fillId="6" borderId="1" xfId="0" applyFont="1" applyFill="1" applyBorder="1" applyAlignment="1">
      <alignment horizontal="center" vertical="center" wrapText="1"/>
    </xf>
    <xf numFmtId="0" fontId="0" fillId="0" borderId="1" xfId="0" applyBorder="1"/>
    <xf numFmtId="0" fontId="0" fillId="0" borderId="2" xfId="0" applyBorder="1"/>
    <xf numFmtId="0" fontId="12" fillId="7" borderId="1"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9" borderId="9" xfId="0" applyFont="1" applyFill="1" applyBorder="1" applyAlignment="1">
      <alignment horizontal="center" vertical="center"/>
    </xf>
    <xf numFmtId="0" fontId="12" fillId="9" borderId="1"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5" xfId="0" applyFont="1" applyFill="1" applyBorder="1" applyAlignment="1">
      <alignment horizontal="center" vertical="center" wrapText="1"/>
    </xf>
  </cellXfs>
  <cellStyles count="5">
    <cellStyle name="Millares" xfId="1" builtinId="3"/>
    <cellStyle name="Moneda" xfId="2" builtinId="4"/>
    <cellStyle name="Moneda [0] 2" xfId="3" xr:uid="{5BFC8FF6-2E17-435E-B8FE-99E9C9AE529F}"/>
    <cellStyle name="Normal" xfId="0" builtinId="0"/>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hyperlink" Target="#Arbitraje!A1"/><Relationship Id="rId2" Type="http://schemas.openxmlformats.org/officeDocument/2006/relationships/hyperlink" Target="#Conciliaci&#243;n!A1"/><Relationship Id="rId1" Type="http://schemas.openxmlformats.org/officeDocument/2006/relationships/image" Target="../media/image1.jpeg"/><Relationship Id="rId6" Type="http://schemas.openxmlformats.org/officeDocument/2006/relationships/hyperlink" Target="#'Recuperaci&#243;n Empresarial &#8211; PRES'!A1"/><Relationship Id="rId5" Type="http://schemas.openxmlformats.org/officeDocument/2006/relationships/hyperlink" Target="#'Insolvencia PN no CTE'!A1"/><Relationship Id="rId4" Type="http://schemas.openxmlformats.org/officeDocument/2006/relationships/hyperlink" Target="#'Amigable Composici&#243;n'!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LCULADORA TARIFAS'!A1"/><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LCULADORA TARIFAS'!A1"/><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LCULADORA TARIFAS'!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LCULADORA TARIFAS'!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LCULADORA TARIFAS'!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358775</xdr:colOff>
      <xdr:row>0</xdr:row>
      <xdr:rowOff>92075</xdr:rowOff>
    </xdr:from>
    <xdr:to>
      <xdr:col>15</xdr:col>
      <xdr:colOff>130175</xdr:colOff>
      <xdr:row>3</xdr:row>
      <xdr:rowOff>288925</xdr:rowOff>
    </xdr:to>
    <xdr:pic>
      <xdr:nvPicPr>
        <xdr:cNvPr id="1037" name="1 Imagen">
          <a:extLst>
            <a:ext uri="{FF2B5EF4-FFF2-40B4-BE49-F238E27FC236}">
              <a16:creationId xmlns:a16="http://schemas.microsoft.com/office/drawing/2014/main" id="{00000000-0008-0000-0000-00000D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92425" y="92075"/>
          <a:ext cx="2667000" cy="153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41275</xdr:colOff>
      <xdr:row>11</xdr:row>
      <xdr:rowOff>85725</xdr:rowOff>
    </xdr:from>
    <xdr:to>
      <xdr:col>8</xdr:col>
      <xdr:colOff>336475</xdr:colOff>
      <xdr:row>15</xdr:row>
      <xdr:rowOff>115725</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1489075" y="3368675"/>
          <a:ext cx="1743000" cy="766600"/>
        </a:xfrm>
        <a:prstGeom prst="roundRect">
          <a:avLst/>
        </a:prstGeom>
        <a:solidFill>
          <a:srgbClr val="ED1C24"/>
        </a:solid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ln>
                <a:solidFill>
                  <a:srgbClr val="BCBEC0"/>
                </a:solidFill>
              </a:ln>
              <a:solidFill>
                <a:schemeClr val="bg1"/>
              </a:solidFill>
              <a:latin typeface="Futura Bk BT" panose="020B0502020204020303" pitchFamily="34" charset="0"/>
            </a:rPr>
            <a:t>CONCILIACIÓN</a:t>
          </a:r>
        </a:p>
      </xdr:txBody>
    </xdr:sp>
    <xdr:clientData/>
  </xdr:twoCellAnchor>
  <xdr:twoCellAnchor>
    <xdr:from>
      <xdr:col>9</xdr:col>
      <xdr:colOff>107950</xdr:colOff>
      <xdr:row>11</xdr:row>
      <xdr:rowOff>76199</xdr:rowOff>
    </xdr:from>
    <xdr:to>
      <xdr:col>14</xdr:col>
      <xdr:colOff>60250</xdr:colOff>
      <xdr:row>15</xdr:row>
      <xdr:rowOff>106199</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365500" y="3359149"/>
          <a:ext cx="1762050" cy="766600"/>
        </a:xfrm>
        <a:prstGeom prst="roundRect">
          <a:avLst/>
        </a:prstGeom>
        <a:solidFill>
          <a:srgbClr val="ED1C24"/>
        </a:solid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ln>
                <a:solidFill>
                  <a:srgbClr val="BCBEC0"/>
                </a:solidFill>
              </a:ln>
              <a:solidFill>
                <a:schemeClr val="bg1"/>
              </a:solidFill>
              <a:latin typeface="Futura Bk BT" panose="020B0502020204020303" pitchFamily="34" charset="0"/>
            </a:rPr>
            <a:t>ARBITRAJE</a:t>
          </a:r>
        </a:p>
      </xdr:txBody>
    </xdr:sp>
    <xdr:clientData/>
  </xdr:twoCellAnchor>
  <xdr:twoCellAnchor>
    <xdr:from>
      <xdr:col>2</xdr:col>
      <xdr:colOff>209551</xdr:colOff>
      <xdr:row>0</xdr:row>
      <xdr:rowOff>114300</xdr:rowOff>
    </xdr:from>
    <xdr:to>
      <xdr:col>20</xdr:col>
      <xdr:colOff>234951</xdr:colOff>
      <xdr:row>24</xdr:row>
      <xdr:rowOff>152399</xdr:rowOff>
    </xdr:to>
    <xdr:sp macro="" textlink="">
      <xdr:nvSpPr>
        <xdr:cNvPr id="5" name="4 Rectángulo redondeado">
          <a:extLst>
            <a:ext uri="{FF2B5EF4-FFF2-40B4-BE49-F238E27FC236}">
              <a16:creationId xmlns:a16="http://schemas.microsoft.com/office/drawing/2014/main" id="{00000000-0008-0000-0000-000005000000}"/>
            </a:ext>
          </a:extLst>
        </xdr:cNvPr>
        <xdr:cNvSpPr/>
      </xdr:nvSpPr>
      <xdr:spPr>
        <a:xfrm>
          <a:off x="933451" y="114300"/>
          <a:ext cx="6540500" cy="5714999"/>
        </a:xfrm>
        <a:prstGeom prst="roundRect">
          <a:avLst/>
        </a:prstGeom>
        <a:no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xdr:from>
      <xdr:col>14</xdr:col>
      <xdr:colOff>155575</xdr:colOff>
      <xdr:row>11</xdr:row>
      <xdr:rowOff>66676</xdr:rowOff>
    </xdr:from>
    <xdr:to>
      <xdr:col>19</xdr:col>
      <xdr:colOff>107875</xdr:colOff>
      <xdr:row>15</xdr:row>
      <xdr:rowOff>96676</xdr:rowOff>
    </xdr:to>
    <xdr:sp macro="" textlink="">
      <xdr:nvSpPr>
        <xdr:cNvPr id="7" name="3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5222875" y="3349626"/>
          <a:ext cx="1762050" cy="766600"/>
        </a:xfrm>
        <a:prstGeom prst="roundRect">
          <a:avLst/>
        </a:prstGeom>
        <a:solidFill>
          <a:srgbClr val="ED1C24"/>
        </a:solid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ln>
                <a:solidFill>
                  <a:srgbClr val="BCBEC0"/>
                </a:solidFill>
              </a:ln>
              <a:solidFill>
                <a:schemeClr val="bg1"/>
              </a:solidFill>
              <a:latin typeface="Futura Bk BT" panose="020B0502020204020303" pitchFamily="34" charset="0"/>
            </a:rPr>
            <a:t>AMIGABLE COMPOSICIÓN</a:t>
          </a:r>
        </a:p>
      </xdr:txBody>
    </xdr:sp>
    <xdr:clientData/>
  </xdr:twoCellAnchor>
  <xdr:twoCellAnchor>
    <xdr:from>
      <xdr:col>6</xdr:col>
      <xdr:colOff>212725</xdr:colOff>
      <xdr:row>16</xdr:row>
      <xdr:rowOff>101601</xdr:rowOff>
    </xdr:from>
    <xdr:to>
      <xdr:col>11</xdr:col>
      <xdr:colOff>165100</xdr:colOff>
      <xdr:row>20</xdr:row>
      <xdr:rowOff>130175</xdr:rowOff>
    </xdr:to>
    <xdr:sp macro="" textlink="">
      <xdr:nvSpPr>
        <xdr:cNvPr id="8" name="3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2384425" y="4305301"/>
          <a:ext cx="1762125" cy="765174"/>
        </a:xfrm>
        <a:prstGeom prst="roundRect">
          <a:avLst/>
        </a:prstGeom>
        <a:solidFill>
          <a:srgbClr val="ED1C24"/>
        </a:solid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a:ln>
                <a:solidFill>
                  <a:srgbClr val="BCBEC0"/>
                </a:solidFill>
              </a:ln>
              <a:solidFill>
                <a:schemeClr val="bg1"/>
              </a:solidFill>
              <a:latin typeface="Futura Bk BT" panose="020B0502020204020303" pitchFamily="34" charset="0"/>
            </a:rPr>
            <a:t>INSOLVENCIA PERSONA NATURAL NO COMERCIANTE</a:t>
          </a:r>
        </a:p>
      </xdr:txBody>
    </xdr:sp>
    <xdr:clientData/>
  </xdr:twoCellAnchor>
  <xdr:twoCellAnchor>
    <xdr:from>
      <xdr:col>12</xdr:col>
      <xdr:colOff>13942</xdr:colOff>
      <xdr:row>16</xdr:row>
      <xdr:rowOff>114301</xdr:rowOff>
    </xdr:from>
    <xdr:to>
      <xdr:col>16</xdr:col>
      <xdr:colOff>328267</xdr:colOff>
      <xdr:row>20</xdr:row>
      <xdr:rowOff>142875</xdr:rowOff>
    </xdr:to>
    <xdr:sp macro="" textlink="">
      <xdr:nvSpPr>
        <xdr:cNvPr id="9" name="3 Rectángulo redondeado">
          <a:hlinkClick xmlns:r="http://schemas.openxmlformats.org/officeDocument/2006/relationships" r:id="rId6"/>
          <a:extLst>
            <a:ext uri="{FF2B5EF4-FFF2-40B4-BE49-F238E27FC236}">
              <a16:creationId xmlns:a16="http://schemas.microsoft.com/office/drawing/2014/main" id="{E52455B5-4A1C-49A6-9111-6D8B860E9307}"/>
            </a:ext>
          </a:extLst>
        </xdr:cNvPr>
        <xdr:cNvSpPr/>
      </xdr:nvSpPr>
      <xdr:spPr>
        <a:xfrm>
          <a:off x="4357342" y="4318001"/>
          <a:ext cx="1762125" cy="765174"/>
        </a:xfrm>
        <a:prstGeom prst="roundRect">
          <a:avLst/>
        </a:prstGeom>
        <a:solidFill>
          <a:srgbClr val="ED1C24"/>
        </a:solid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a:ln>
                <a:solidFill>
                  <a:srgbClr val="BCBEC0"/>
                </a:solidFill>
              </a:ln>
              <a:solidFill>
                <a:schemeClr val="bg1"/>
              </a:solidFill>
              <a:latin typeface="Futura Bk BT" panose="020B0502020204020303" pitchFamily="34" charset="0"/>
            </a:rPr>
            <a:t>RECUPERACIÓN</a:t>
          </a:r>
          <a:r>
            <a:rPr lang="es-CO" sz="1100" b="1" baseline="0">
              <a:ln>
                <a:solidFill>
                  <a:srgbClr val="BCBEC0"/>
                </a:solidFill>
              </a:ln>
              <a:solidFill>
                <a:schemeClr val="bg1"/>
              </a:solidFill>
              <a:latin typeface="Futura Bk BT" panose="020B0502020204020303" pitchFamily="34" charset="0"/>
            </a:rPr>
            <a:t> EMPRESARIAL - PRES</a:t>
          </a:r>
          <a:endParaRPr lang="es-CO" sz="1100" b="1">
            <a:ln>
              <a:solidFill>
                <a:srgbClr val="BCBEC0"/>
              </a:solidFill>
            </a:ln>
            <a:solidFill>
              <a:schemeClr val="bg1"/>
            </a:solidFill>
            <a:latin typeface="Futura Bk BT" panose="020B05020202040203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1752600</xdr:colOff>
      <xdr:row>1</xdr:row>
      <xdr:rowOff>0</xdr:rowOff>
    </xdr:from>
    <xdr:to>
      <xdr:col>2</xdr:col>
      <xdr:colOff>1257300</xdr:colOff>
      <xdr:row>7</xdr:row>
      <xdr:rowOff>25400</xdr:rowOff>
    </xdr:to>
    <xdr:pic>
      <xdr:nvPicPr>
        <xdr:cNvPr id="2057" name="1 Imagen">
          <a:extLst>
            <a:ext uri="{FF2B5EF4-FFF2-40B4-BE49-F238E27FC236}">
              <a16:creationId xmlns:a16="http://schemas.microsoft.com/office/drawing/2014/main" id="{00000000-0008-0000-0100-000009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62175" y="276225"/>
          <a:ext cx="17621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152400</xdr:colOff>
      <xdr:row>0</xdr:row>
      <xdr:rowOff>209550</xdr:rowOff>
    </xdr:from>
    <xdr:to>
      <xdr:col>5</xdr:col>
      <xdr:colOff>276225</xdr:colOff>
      <xdr:row>23</xdr:row>
      <xdr:rowOff>114300</xdr:rowOff>
    </xdr:to>
    <xdr:sp macro="" textlink="">
      <xdr:nvSpPr>
        <xdr:cNvPr id="3" name="2 Rectángulo redondeado">
          <a:extLst>
            <a:ext uri="{FF2B5EF4-FFF2-40B4-BE49-F238E27FC236}">
              <a16:creationId xmlns:a16="http://schemas.microsoft.com/office/drawing/2014/main" id="{00000000-0008-0000-0100-000003000000}"/>
            </a:ext>
          </a:extLst>
        </xdr:cNvPr>
        <xdr:cNvSpPr/>
      </xdr:nvSpPr>
      <xdr:spPr>
        <a:xfrm>
          <a:off x="152400" y="209550"/>
          <a:ext cx="7019925" cy="4543425"/>
        </a:xfrm>
        <a:prstGeom prst="roundRect">
          <a:avLst/>
        </a:prstGeom>
        <a:no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xdr:from>
      <xdr:col>3</xdr:col>
      <xdr:colOff>171449</xdr:colOff>
      <xdr:row>11</xdr:row>
      <xdr:rowOff>114300</xdr:rowOff>
    </xdr:from>
    <xdr:to>
      <xdr:col>5</xdr:col>
      <xdr:colOff>123825</xdr:colOff>
      <xdr:row>22</xdr:row>
      <xdr:rowOff>19050</xdr:rowOff>
    </xdr:to>
    <xdr:sp macro="" textlink="">
      <xdr:nvSpPr>
        <xdr:cNvPr id="5" name="4 Rectángulo redondeado">
          <a:extLst>
            <a:ext uri="{FF2B5EF4-FFF2-40B4-BE49-F238E27FC236}">
              <a16:creationId xmlns:a16="http://schemas.microsoft.com/office/drawing/2014/main" id="{00000000-0008-0000-0100-000005000000}"/>
            </a:ext>
          </a:extLst>
        </xdr:cNvPr>
        <xdr:cNvSpPr/>
      </xdr:nvSpPr>
      <xdr:spPr>
        <a:xfrm>
          <a:off x="5210174" y="2276475"/>
          <a:ext cx="1809751" cy="2190750"/>
        </a:xfrm>
        <a:prstGeom prst="roundRect">
          <a:avLst/>
        </a:prstGeom>
        <a:noFill/>
        <a:ln w="1270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editAs="oneCell">
    <xdr:from>
      <xdr:col>4</xdr:col>
      <xdr:colOff>371475</xdr:colOff>
      <xdr:row>2</xdr:row>
      <xdr:rowOff>76200</xdr:rowOff>
    </xdr:from>
    <xdr:to>
      <xdr:col>4</xdr:col>
      <xdr:colOff>1054100</xdr:colOff>
      <xdr:row>6</xdr:row>
      <xdr:rowOff>95250</xdr:rowOff>
    </xdr:to>
    <xdr:pic>
      <xdr:nvPicPr>
        <xdr:cNvPr id="2060" name="8 Imagen" descr="C:\Users\cvasquezg\AppData\Local\Microsoft\Windows\Temporary Internet Files\Content.IE5\BKXVIUQP\MC900432680[1].png">
          <a:hlinkClick xmlns:r="http://schemas.openxmlformats.org/officeDocument/2006/relationships" r:id="rId2"/>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10100" y="5429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2162175</xdr:colOff>
      <xdr:row>0</xdr:row>
      <xdr:rowOff>133350</xdr:rowOff>
    </xdr:from>
    <xdr:to>
      <xdr:col>2</xdr:col>
      <xdr:colOff>577850</xdr:colOff>
      <xdr:row>5</xdr:row>
      <xdr:rowOff>63500</xdr:rowOff>
    </xdr:to>
    <xdr:pic>
      <xdr:nvPicPr>
        <xdr:cNvPr id="3089" name="1 Imagen">
          <a:extLst>
            <a:ext uri="{FF2B5EF4-FFF2-40B4-BE49-F238E27FC236}">
              <a16:creationId xmlns:a16="http://schemas.microsoft.com/office/drawing/2014/main" id="{00000000-0008-0000-0300-000011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33675" y="133350"/>
          <a:ext cx="19240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323851</xdr:colOff>
      <xdr:row>0</xdr:row>
      <xdr:rowOff>95249</xdr:rowOff>
    </xdr:from>
    <xdr:to>
      <xdr:col>4</xdr:col>
      <xdr:colOff>114301</xdr:colOff>
      <xdr:row>29</xdr:row>
      <xdr:rowOff>3174</xdr:rowOff>
    </xdr:to>
    <xdr:sp macro="" textlink="">
      <xdr:nvSpPr>
        <xdr:cNvPr id="4" name="3 Rectángulo redondeado">
          <a:extLst>
            <a:ext uri="{FF2B5EF4-FFF2-40B4-BE49-F238E27FC236}">
              <a16:creationId xmlns:a16="http://schemas.microsoft.com/office/drawing/2014/main" id="{00000000-0008-0000-0300-000004000000}"/>
            </a:ext>
          </a:extLst>
        </xdr:cNvPr>
        <xdr:cNvSpPr/>
      </xdr:nvSpPr>
      <xdr:spPr>
        <a:xfrm>
          <a:off x="323851" y="95249"/>
          <a:ext cx="7077075" cy="5499100"/>
        </a:xfrm>
        <a:prstGeom prst="roundRect">
          <a:avLst/>
        </a:prstGeom>
        <a:no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editAs="oneCell">
    <xdr:from>
      <xdr:col>3</xdr:col>
      <xdr:colOff>657225</xdr:colOff>
      <xdr:row>1</xdr:row>
      <xdr:rowOff>161925</xdr:rowOff>
    </xdr:from>
    <xdr:to>
      <xdr:col>3</xdr:col>
      <xdr:colOff>1339850</xdr:colOff>
      <xdr:row>4</xdr:row>
      <xdr:rowOff>215900</xdr:rowOff>
    </xdr:to>
    <xdr:pic>
      <xdr:nvPicPr>
        <xdr:cNvPr id="3091" name="4 Imagen" descr="C:\Users\cvasquezg\AppData\Local\Microsoft\Windows\Temporary Internet Files\Content.IE5\BKXVIUQP\MC900432680[1].png">
          <a:hlinkClick xmlns:r="http://schemas.openxmlformats.org/officeDocument/2006/relationships" r:id="rId2"/>
          <a:extLst>
            <a:ext uri="{FF2B5EF4-FFF2-40B4-BE49-F238E27FC236}">
              <a16:creationId xmlns:a16="http://schemas.microsoft.com/office/drawing/2014/main" id="{00000000-0008-0000-0300-0000130C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24550" y="466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2114550</xdr:colOff>
      <xdr:row>0</xdr:row>
      <xdr:rowOff>95250</xdr:rowOff>
    </xdr:from>
    <xdr:to>
      <xdr:col>2</xdr:col>
      <xdr:colOff>425450</xdr:colOff>
      <xdr:row>5</xdr:row>
      <xdr:rowOff>44450</xdr:rowOff>
    </xdr:to>
    <xdr:pic>
      <xdr:nvPicPr>
        <xdr:cNvPr id="4105" name="1 Imagen">
          <a:extLst>
            <a:ext uri="{FF2B5EF4-FFF2-40B4-BE49-F238E27FC236}">
              <a16:creationId xmlns:a16="http://schemas.microsoft.com/office/drawing/2014/main" id="{00000000-0008-0000-0500-000009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6050" y="95250"/>
          <a:ext cx="18573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209550</xdr:colOff>
      <xdr:row>0</xdr:row>
      <xdr:rowOff>95250</xdr:rowOff>
    </xdr:from>
    <xdr:to>
      <xdr:col>4</xdr:col>
      <xdr:colOff>0</xdr:colOff>
      <xdr:row>23</xdr:row>
      <xdr:rowOff>95250</xdr:rowOff>
    </xdr:to>
    <xdr:sp macro="" textlink="">
      <xdr:nvSpPr>
        <xdr:cNvPr id="4" name="3 Rectángulo redondeado">
          <a:extLst>
            <a:ext uri="{FF2B5EF4-FFF2-40B4-BE49-F238E27FC236}">
              <a16:creationId xmlns:a16="http://schemas.microsoft.com/office/drawing/2014/main" id="{00000000-0008-0000-0500-000004000000}"/>
            </a:ext>
          </a:extLst>
        </xdr:cNvPr>
        <xdr:cNvSpPr/>
      </xdr:nvSpPr>
      <xdr:spPr>
        <a:xfrm>
          <a:off x="209550" y="95250"/>
          <a:ext cx="6467475" cy="5200650"/>
        </a:xfrm>
        <a:prstGeom prst="roundRect">
          <a:avLst/>
        </a:prstGeom>
        <a:no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editAs="oneCell">
    <xdr:from>
      <xdr:col>3</xdr:col>
      <xdr:colOff>238125</xdr:colOff>
      <xdr:row>1</xdr:row>
      <xdr:rowOff>38100</xdr:rowOff>
    </xdr:from>
    <xdr:to>
      <xdr:col>3</xdr:col>
      <xdr:colOff>920750</xdr:colOff>
      <xdr:row>4</xdr:row>
      <xdr:rowOff>95250</xdr:rowOff>
    </xdr:to>
    <xdr:pic>
      <xdr:nvPicPr>
        <xdr:cNvPr id="4107" name="4 Imagen" descr="C:\Users\cvasquezg\AppData\Local\Microsoft\Windows\Temporary Internet Files\Content.IE5\BKXVIUQP\MC900432680[1].png">
          <a:hlinkClick xmlns:r="http://schemas.openxmlformats.org/officeDocument/2006/relationships" r:id="rId2"/>
          <a:extLst>
            <a:ext uri="{FF2B5EF4-FFF2-40B4-BE49-F238E27FC236}">
              <a16:creationId xmlns:a16="http://schemas.microsoft.com/office/drawing/2014/main" id="{00000000-0008-0000-0500-00000B1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43550" y="3429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1752600</xdr:colOff>
      <xdr:row>1</xdr:row>
      <xdr:rowOff>0</xdr:rowOff>
    </xdr:from>
    <xdr:to>
      <xdr:col>2</xdr:col>
      <xdr:colOff>1257300</xdr:colOff>
      <xdr:row>7</xdr:row>
      <xdr:rowOff>28575</xdr:rowOff>
    </xdr:to>
    <xdr:pic>
      <xdr:nvPicPr>
        <xdr:cNvPr id="5127" name="1 Imagen">
          <a:extLst>
            <a:ext uri="{FF2B5EF4-FFF2-40B4-BE49-F238E27FC236}">
              <a16:creationId xmlns:a16="http://schemas.microsoft.com/office/drawing/2014/main" id="{00000000-0008-0000-0600-000007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62175" y="276225"/>
          <a:ext cx="17621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152399</xdr:colOff>
      <xdr:row>0</xdr:row>
      <xdr:rowOff>209550</xdr:rowOff>
    </xdr:from>
    <xdr:to>
      <xdr:col>6</xdr:col>
      <xdr:colOff>590550</xdr:colOff>
      <xdr:row>18</xdr:row>
      <xdr:rowOff>85725</xdr:rowOff>
    </xdr:to>
    <xdr:sp macro="" textlink="">
      <xdr:nvSpPr>
        <xdr:cNvPr id="3" name="2 Rectángulo redondeado">
          <a:extLst>
            <a:ext uri="{FF2B5EF4-FFF2-40B4-BE49-F238E27FC236}">
              <a16:creationId xmlns:a16="http://schemas.microsoft.com/office/drawing/2014/main" id="{00000000-0008-0000-0600-000003000000}"/>
            </a:ext>
          </a:extLst>
        </xdr:cNvPr>
        <xdr:cNvSpPr/>
      </xdr:nvSpPr>
      <xdr:spPr>
        <a:xfrm>
          <a:off x="152399" y="209550"/>
          <a:ext cx="7019926" cy="3371850"/>
        </a:xfrm>
        <a:prstGeom prst="roundRect">
          <a:avLst/>
        </a:prstGeom>
        <a:no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editAs="oneCell">
    <xdr:from>
      <xdr:col>4</xdr:col>
      <xdr:colOff>371475</xdr:colOff>
      <xdr:row>2</xdr:row>
      <xdr:rowOff>76200</xdr:rowOff>
    </xdr:from>
    <xdr:to>
      <xdr:col>4</xdr:col>
      <xdr:colOff>1057275</xdr:colOff>
      <xdr:row>6</xdr:row>
      <xdr:rowOff>95250</xdr:rowOff>
    </xdr:to>
    <xdr:pic>
      <xdr:nvPicPr>
        <xdr:cNvPr id="5129" name="8 Imagen" descr="C:\Users\cvasquezg\AppData\Local\Microsoft\Windows\Temporary Internet Files\Content.IE5\BKXVIUQP\MC900432680[1].png">
          <a:hlinkClick xmlns:r="http://schemas.openxmlformats.org/officeDocument/2006/relationships" r:id="rId2"/>
          <a:extLst>
            <a:ext uri="{FF2B5EF4-FFF2-40B4-BE49-F238E27FC236}">
              <a16:creationId xmlns:a16="http://schemas.microsoft.com/office/drawing/2014/main" id="{00000000-0008-0000-0600-00000914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10100" y="5429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1752600</xdr:colOff>
      <xdr:row>1</xdr:row>
      <xdr:rowOff>0</xdr:rowOff>
    </xdr:from>
    <xdr:to>
      <xdr:col>2</xdr:col>
      <xdr:colOff>1257300</xdr:colOff>
      <xdr:row>7</xdr:row>
      <xdr:rowOff>25400</xdr:rowOff>
    </xdr:to>
    <xdr:pic>
      <xdr:nvPicPr>
        <xdr:cNvPr id="2" name="1 Imagen">
          <a:extLst>
            <a:ext uri="{FF2B5EF4-FFF2-40B4-BE49-F238E27FC236}">
              <a16:creationId xmlns:a16="http://schemas.microsoft.com/office/drawing/2014/main" id="{998E857B-7E2E-482D-916A-CEF6387604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1225" y="276225"/>
          <a:ext cx="1866900" cy="103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152400</xdr:colOff>
      <xdr:row>0</xdr:row>
      <xdr:rowOff>209551</xdr:rowOff>
    </xdr:from>
    <xdr:to>
      <xdr:col>5</xdr:col>
      <xdr:colOff>273050</xdr:colOff>
      <xdr:row>23</xdr:row>
      <xdr:rowOff>38101</xdr:rowOff>
    </xdr:to>
    <xdr:sp macro="" textlink="">
      <xdr:nvSpPr>
        <xdr:cNvPr id="3" name="2 Rectángulo redondeado">
          <a:extLst>
            <a:ext uri="{FF2B5EF4-FFF2-40B4-BE49-F238E27FC236}">
              <a16:creationId xmlns:a16="http://schemas.microsoft.com/office/drawing/2014/main" id="{B048D78B-4E0C-443E-A561-16887A27EAD7}"/>
            </a:ext>
          </a:extLst>
        </xdr:cNvPr>
        <xdr:cNvSpPr/>
      </xdr:nvSpPr>
      <xdr:spPr>
        <a:xfrm>
          <a:off x="152400" y="209551"/>
          <a:ext cx="6226175" cy="4838700"/>
        </a:xfrm>
        <a:prstGeom prst="roundRect">
          <a:avLst/>
        </a:prstGeom>
        <a:noFill/>
        <a:ln>
          <a:solidFill>
            <a:srgbClr val="ED1C2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editAs="oneCell">
    <xdr:from>
      <xdr:col>4</xdr:col>
      <xdr:colOff>371475</xdr:colOff>
      <xdr:row>2</xdr:row>
      <xdr:rowOff>76200</xdr:rowOff>
    </xdr:from>
    <xdr:to>
      <xdr:col>4</xdr:col>
      <xdr:colOff>1054100</xdr:colOff>
      <xdr:row>6</xdr:row>
      <xdr:rowOff>95250</xdr:rowOff>
    </xdr:to>
    <xdr:pic>
      <xdr:nvPicPr>
        <xdr:cNvPr id="5" name="8 Imagen" descr="C:\Users\cvasquezg\AppData\Local\Microsoft\Windows\Temporary Internet Files\Content.IE5\BKXVIUQP\MC900432680[1].png">
          <a:hlinkClick xmlns:r="http://schemas.openxmlformats.org/officeDocument/2006/relationships" r:id="rId2"/>
          <a:extLst>
            <a:ext uri="{FF2B5EF4-FFF2-40B4-BE49-F238E27FC236}">
              <a16:creationId xmlns:a16="http://schemas.microsoft.com/office/drawing/2014/main" id="{3EB5C91A-4A16-4333-B261-36864A8B478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816475" y="533400"/>
          <a:ext cx="6858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D1:X11"/>
  <sheetViews>
    <sheetView showGridLines="0" showRowColHeaders="0" tabSelected="1" zoomScaleNormal="100" workbookViewId="0"/>
  </sheetViews>
  <sheetFormatPr baseColWidth="10" defaultColWidth="5.1796875" defaultRowHeight="14.5" x14ac:dyDescent="0.35"/>
  <cols>
    <col min="1" max="16384" width="5.1796875" style="1"/>
  </cols>
  <sheetData>
    <row r="1" spans="4:24" ht="35.25" customHeight="1" x14ac:dyDescent="0.35"/>
    <row r="2" spans="4:24" ht="35.25" customHeight="1" x14ac:dyDescent="0.35"/>
    <row r="3" spans="4:24" ht="35.25" customHeight="1" x14ac:dyDescent="0.35"/>
    <row r="4" spans="4:24" ht="26.25" customHeight="1" x14ac:dyDescent="0.35"/>
    <row r="5" spans="4:24" ht="23.5" x14ac:dyDescent="0.55000000000000004">
      <c r="D5" s="75" t="s">
        <v>0</v>
      </c>
      <c r="E5" s="75"/>
      <c r="F5" s="75"/>
      <c r="G5" s="75"/>
      <c r="H5" s="75"/>
      <c r="I5" s="75"/>
      <c r="J5" s="75"/>
      <c r="K5" s="75"/>
      <c r="L5" s="75"/>
      <c r="M5" s="75"/>
      <c r="N5" s="75"/>
      <c r="O5" s="75"/>
      <c r="P5" s="75"/>
      <c r="Q5" s="75"/>
      <c r="R5" s="75"/>
      <c r="S5" s="75"/>
      <c r="T5" s="75"/>
      <c r="U5" s="37"/>
      <c r="V5" s="37"/>
      <c r="W5" s="37"/>
      <c r="X5" s="37"/>
    </row>
    <row r="6" spans="4:24" ht="21" x14ac:dyDescent="0.5">
      <c r="D6" s="76" t="s">
        <v>1</v>
      </c>
      <c r="E6" s="76"/>
      <c r="F6" s="76"/>
      <c r="G6" s="76"/>
      <c r="H6" s="76"/>
      <c r="I6" s="76"/>
      <c r="J6" s="76"/>
      <c r="K6" s="76"/>
      <c r="L6" s="76"/>
      <c r="M6" s="76"/>
      <c r="N6" s="76"/>
      <c r="O6" s="76"/>
      <c r="P6" s="76"/>
      <c r="Q6" s="76"/>
      <c r="R6" s="76"/>
      <c r="S6" s="76"/>
      <c r="T6" s="76"/>
      <c r="U6" s="38"/>
      <c r="V6" s="38"/>
      <c r="W6" s="38"/>
      <c r="X6" s="38"/>
    </row>
    <row r="7" spans="4:24" ht="21" x14ac:dyDescent="0.5">
      <c r="D7" s="77" t="s">
        <v>2</v>
      </c>
      <c r="E7" s="77"/>
      <c r="F7" s="77"/>
      <c r="G7" s="77"/>
      <c r="H7" s="77"/>
      <c r="I7" s="77"/>
      <c r="J7" s="77"/>
      <c r="K7" s="77"/>
      <c r="L7" s="77"/>
      <c r="M7" s="77"/>
      <c r="N7" s="77"/>
      <c r="O7" s="77"/>
      <c r="P7" s="77"/>
      <c r="Q7" s="77"/>
      <c r="R7" s="77"/>
      <c r="S7" s="77"/>
      <c r="T7" s="77"/>
      <c r="U7" s="39"/>
      <c r="V7" s="39"/>
      <c r="W7" s="39"/>
      <c r="X7" s="39"/>
    </row>
    <row r="8" spans="4:24" x14ac:dyDescent="0.35">
      <c r="D8" s="2"/>
      <c r="E8" s="2"/>
      <c r="F8" s="2"/>
      <c r="G8" s="2"/>
      <c r="H8" s="2"/>
      <c r="I8" s="2"/>
      <c r="J8" s="2"/>
      <c r="K8" s="2"/>
      <c r="L8" s="2"/>
      <c r="M8" s="2"/>
      <c r="N8" s="2"/>
      <c r="O8" s="2"/>
      <c r="P8" s="2"/>
      <c r="Q8" s="2"/>
      <c r="R8" s="2"/>
      <c r="S8" s="2"/>
      <c r="T8" s="2"/>
    </row>
    <row r="9" spans="4:24" x14ac:dyDescent="0.35">
      <c r="D9" s="2"/>
      <c r="E9" s="2"/>
      <c r="F9" s="2"/>
      <c r="G9" s="2"/>
      <c r="H9" s="2"/>
      <c r="I9" s="2"/>
      <c r="J9" s="2"/>
      <c r="K9" s="2"/>
      <c r="L9" s="2"/>
      <c r="M9" s="2"/>
      <c r="N9" s="2"/>
      <c r="O9" s="2"/>
      <c r="P9" s="2"/>
      <c r="Q9" s="2"/>
      <c r="R9" s="2"/>
      <c r="S9" s="2"/>
      <c r="T9" s="2"/>
    </row>
    <row r="10" spans="4:24" ht="18.5" x14ac:dyDescent="0.45">
      <c r="D10" s="2"/>
      <c r="E10" s="74" t="s">
        <v>3</v>
      </c>
      <c r="F10" s="74"/>
      <c r="G10" s="74"/>
      <c r="H10" s="74"/>
      <c r="I10" s="74"/>
      <c r="J10" s="74"/>
      <c r="K10" s="74"/>
      <c r="L10" s="74"/>
      <c r="M10" s="74"/>
      <c r="N10" s="74"/>
      <c r="O10" s="74"/>
      <c r="P10" s="74"/>
      <c r="Q10" s="74"/>
      <c r="R10" s="74"/>
      <c r="S10" s="74"/>
      <c r="T10" s="2"/>
    </row>
    <row r="11" spans="4:24" x14ac:dyDescent="0.35">
      <c r="D11" s="2"/>
      <c r="E11" s="2"/>
      <c r="F11" s="2"/>
      <c r="G11" s="2"/>
      <c r="H11" s="2"/>
      <c r="I11" s="2"/>
      <c r="J11" s="2"/>
      <c r="K11" s="2"/>
      <c r="L11" s="2"/>
      <c r="M11" s="2"/>
      <c r="N11" s="2"/>
      <c r="O11" s="2"/>
      <c r="P11" s="2"/>
      <c r="Q11" s="2"/>
      <c r="R11" s="2"/>
      <c r="S11" s="2"/>
      <c r="T11" s="2"/>
    </row>
  </sheetData>
  <sheetProtection algorithmName="SHA-512" hashValue="w2QtX7W8pBUqFRRPPqzqjKLMhBTuPcncRlekU0kzuEp2PsC3qq14351Wt69SzrqzE2VkSJ2barnPvaF88tm2gA==" saltValue="t0d/DHkeBEIIaaUo1hpAzA==" spinCount="100000" sheet="1" selectLockedCells="1" selectUnlockedCells="1"/>
  <mergeCells count="4">
    <mergeCell ref="E10:S10"/>
    <mergeCell ref="D5:T5"/>
    <mergeCell ref="D6:T6"/>
    <mergeCell ref="D7:T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1:K37"/>
  <sheetViews>
    <sheetView zoomScaleNormal="100" workbookViewId="0">
      <selection activeCell="H18" sqref="H18"/>
    </sheetView>
  </sheetViews>
  <sheetFormatPr baseColWidth="10" defaultColWidth="11.453125" defaultRowHeight="14.5" x14ac:dyDescent="0.35"/>
  <cols>
    <col min="1" max="1" width="6.1796875" style="2" customWidth="1"/>
    <col min="2" max="2" width="33.81640625" style="2" customWidth="1"/>
    <col min="3" max="3" width="19.453125" style="2" customWidth="1"/>
    <col min="4" max="4" width="4.1796875" style="2" customWidth="1"/>
    <col min="5" max="5" width="23.7265625" style="2" customWidth="1"/>
    <col min="6" max="6" width="11.453125" style="2"/>
    <col min="7" max="7" width="13" style="2" bestFit="1" customWidth="1"/>
    <col min="8" max="8" width="11.453125" style="2"/>
    <col min="9" max="9" width="12.6328125" style="2" bestFit="1" customWidth="1"/>
    <col min="10" max="10" width="11.453125" style="2"/>
    <col min="11" max="11" width="23.81640625" style="2" bestFit="1" customWidth="1"/>
    <col min="12" max="16384" width="11.453125" style="2"/>
  </cols>
  <sheetData>
    <row r="1" spans="2:7" ht="21.75" customHeight="1" x14ac:dyDescent="0.35"/>
    <row r="5" spans="2:7" ht="11.25" customHeight="1" x14ac:dyDescent="0.35"/>
    <row r="6" spans="2:7" ht="11.25" customHeight="1" x14ac:dyDescent="0.35"/>
    <row r="7" spans="2:7" x14ac:dyDescent="0.35">
      <c r="B7" s="78"/>
      <c r="C7" s="78"/>
    </row>
    <row r="8" spans="2:7" ht="21" x14ac:dyDescent="0.5">
      <c r="B8" s="79" t="s">
        <v>4</v>
      </c>
      <c r="C8" s="79"/>
      <c r="D8" s="79"/>
      <c r="E8" s="79"/>
    </row>
    <row r="9" spans="2:7" ht="15" customHeight="1" x14ac:dyDescent="0.45">
      <c r="B9" s="6"/>
      <c r="C9" s="6"/>
    </row>
    <row r="10" spans="2:7" x14ac:dyDescent="0.35">
      <c r="B10" s="11" t="s">
        <v>5</v>
      </c>
      <c r="F10" s="7"/>
    </row>
    <row r="11" spans="2:7" x14ac:dyDescent="0.35">
      <c r="B11" s="7"/>
      <c r="C11" s="8"/>
    </row>
    <row r="12" spans="2:7" x14ac:dyDescent="0.35">
      <c r="B12" s="12" t="s">
        <v>69</v>
      </c>
      <c r="C12" s="5">
        <v>42412</v>
      </c>
    </row>
    <row r="13" spans="2:7" x14ac:dyDescent="0.35">
      <c r="B13" s="1" t="s">
        <v>6</v>
      </c>
      <c r="C13" s="9">
        <v>4000000000</v>
      </c>
      <c r="D13" s="10"/>
      <c r="E13" s="19" t="s">
        <v>7</v>
      </c>
      <c r="G13" s="15"/>
    </row>
    <row r="14" spans="2:7" x14ac:dyDescent="0.35">
      <c r="C14" s="8"/>
      <c r="E14" s="1" t="s">
        <v>8</v>
      </c>
      <c r="G14" s="15"/>
    </row>
    <row r="15" spans="2:7" x14ac:dyDescent="0.35">
      <c r="B15" s="3" t="s">
        <v>9</v>
      </c>
      <c r="C15" s="36">
        <f>IF(C13="",0,IF(C13&lt;'TARIFAS CONCILIACION'!D8,'TARIFAS CONCILIACION'!F7,IF(C13&lt;='TARIFAS CONCILIACION'!E8,'TARIFAS CONCILIACION'!F8,IF(C13&lt;='TARIFAS CONCILIACION'!E9,'TARIFAS CONCILIACION'!F9,IF(C13&lt;='TARIFAS CONCILIACION'!E10,'TARIFAS CONCILIACION'!F10,IF(C13&lt;='TARIFAS CONCILIACION'!E11,'TARIFAS CONCILIACION'!F11,IF(C13&lt;='TARIFAS CONCILIACION'!E12,'TARIFAS CONCILIACION'!F12,IF(C13&lt;='TARIFAS CONCILIACION'!E13,'TARIFAS CONCILIACION'!F13,IF(C13&lt;='TARIFAS CONCILIACION'!E14,'TARIFAS CONCILIACION'!F14,IF(C13&lt;='TARIFAS CONCILIACION'!E15,'TARIFAS CONCILIACION'!F15,IF(C13&lt;='TARIFAS CONCILIACION'!E16,'TARIFAS CONCILIACION'!F16,IF(C13&lt;='TARIFAS CONCILIACION'!E17,'TARIFAS CONCILIACION'!F17,IF(C13&lt;='TARIFAS CONCILIACION'!E18,'TARIFAS CONCILIACION'!F18,IF(C13&lt;='TARIFAS CONCILIACION'!E19,'TARIFAS CONCILIACION'!F19,IF(C13&lt;='TARIFAS CONCILIACION'!E20,'TARIFAS CONCILIACION'!F20,IF(C13&lt;='TARIFAS CONCILIACION'!E21,'TARIFAS CONCILIACION'!F21,IF(C13&lt;='TARIFAS CONCILIACION'!E22,'TARIFAS CONCILIACION'!F22,IF(C13&lt;='TARIFAS CONCILIACION'!E23,'TARIFAS CONCILIACION'!F23,IF(C13*0.0029&lt;=18972160,C13*0.0029,18972160)))))))))))))))))))</f>
        <v>11600000</v>
      </c>
      <c r="E15" s="4">
        <f>+C15*0.1</f>
        <v>1160000</v>
      </c>
    </row>
    <row r="16" spans="2:7" x14ac:dyDescent="0.35">
      <c r="C16" s="8"/>
    </row>
    <row r="17" spans="2:11" ht="29" x14ac:dyDescent="0.35">
      <c r="B17" s="21" t="s">
        <v>10</v>
      </c>
      <c r="C17" s="22">
        <f>+C15*0.45</f>
        <v>5220000</v>
      </c>
      <c r="D17" s="23"/>
      <c r="E17" s="22">
        <f>+E15*0.45</f>
        <v>522000</v>
      </c>
    </row>
    <row r="18" spans="2:11" ht="29" x14ac:dyDescent="0.35">
      <c r="B18" s="21" t="s">
        <v>11</v>
      </c>
      <c r="C18" s="22">
        <f>+C15*0.55</f>
        <v>6380000.0000000009</v>
      </c>
      <c r="D18" s="23"/>
      <c r="E18" s="22">
        <f>+E15*0.55</f>
        <v>638000</v>
      </c>
      <c r="I18" s="15"/>
      <c r="K18" s="24"/>
    </row>
    <row r="19" spans="2:11" x14ac:dyDescent="0.35">
      <c r="B19" s="1" t="s">
        <v>12</v>
      </c>
      <c r="C19" s="4">
        <f>+C15*0.19</f>
        <v>2204000</v>
      </c>
      <c r="E19" s="4">
        <f>+E15*0.19</f>
        <v>220400</v>
      </c>
    </row>
    <row r="20" spans="2:11" x14ac:dyDescent="0.35">
      <c r="B20" s="1"/>
      <c r="C20" s="8"/>
    </row>
    <row r="21" spans="2:11" x14ac:dyDescent="0.35">
      <c r="B21" s="12" t="s">
        <v>13</v>
      </c>
      <c r="C21" s="5">
        <f>+C17+C18+C19</f>
        <v>13804000</v>
      </c>
      <c r="D21" s="3"/>
      <c r="E21" s="5">
        <f>+E17+E18+E19</f>
        <v>1380400</v>
      </c>
    </row>
    <row r="27" spans="2:11" x14ac:dyDescent="0.35">
      <c r="B27" s="13" t="s">
        <v>14</v>
      </c>
    </row>
    <row r="28" spans="2:11" ht="18.5" x14ac:dyDescent="0.45">
      <c r="B28" s="80" t="s">
        <v>15</v>
      </c>
      <c r="C28" s="80"/>
      <c r="D28" s="80"/>
      <c r="E28" s="80"/>
      <c r="F28" s="80"/>
    </row>
    <row r="29" spans="2:11" ht="18.5" x14ac:dyDescent="0.45">
      <c r="B29" s="14" t="s">
        <v>16</v>
      </c>
    </row>
    <row r="31" spans="2:11" ht="15" customHeight="1" x14ac:dyDescent="0.35">
      <c r="B31" s="81" t="s">
        <v>17</v>
      </c>
      <c r="C31" s="82"/>
      <c r="D31" s="82"/>
      <c r="E31" s="82"/>
      <c r="F31" s="82"/>
    </row>
    <row r="32" spans="2:11" x14ac:dyDescent="0.35">
      <c r="B32" s="82"/>
      <c r="C32" s="82"/>
      <c r="D32" s="82"/>
      <c r="E32" s="82"/>
      <c r="F32" s="82"/>
    </row>
    <row r="33" spans="2:6" x14ac:dyDescent="0.35">
      <c r="B33" s="82"/>
      <c r="C33" s="82"/>
      <c r="D33" s="82"/>
      <c r="E33" s="82"/>
      <c r="F33" s="82"/>
    </row>
    <row r="34" spans="2:6" x14ac:dyDescent="0.35">
      <c r="B34" s="82"/>
      <c r="C34" s="82"/>
      <c r="D34" s="82"/>
      <c r="E34" s="82"/>
      <c r="F34" s="82"/>
    </row>
    <row r="35" spans="2:6" x14ac:dyDescent="0.35">
      <c r="B35" s="82"/>
      <c r="C35" s="82"/>
      <c r="D35" s="82"/>
      <c r="E35" s="82"/>
      <c r="F35" s="82"/>
    </row>
    <row r="36" spans="2:6" x14ac:dyDescent="0.35">
      <c r="B36" s="82"/>
      <c r="C36" s="82"/>
      <c r="D36" s="82"/>
      <c r="E36" s="82"/>
      <c r="F36" s="82"/>
    </row>
    <row r="37" spans="2:6" x14ac:dyDescent="0.35">
      <c r="B37" s="82"/>
      <c r="C37" s="82"/>
      <c r="D37" s="82"/>
      <c r="E37" s="82"/>
      <c r="F37" s="82"/>
    </row>
  </sheetData>
  <sheetProtection algorithmName="SHA-512" hashValue="UqHrlLs4MHXE9+A7Rzg1d3CuRXkh1uIYKoRn+mqQaGnoFDpXy/QsR16xxS0AYZlEIFkfrjgC3jeycsBeC3MRiA==" saltValue="vfODYHlOAIOEzHf9lQUsbQ==" spinCount="100000" sheet="1" objects="1" scenarios="1"/>
  <mergeCells count="4">
    <mergeCell ref="B7:C7"/>
    <mergeCell ref="B8:E8"/>
    <mergeCell ref="B28:F28"/>
    <mergeCell ref="B31:F37"/>
  </mergeCells>
  <pageMargins left="0.7" right="0.7" top="0.75" bottom="0.75" header="0.3" footer="0.3"/>
  <pageSetup scale="89" orientation="landscape" r:id="rId1"/>
  <cellWatches>
    <cellWatch r="C12"/>
    <cellWatch r="D12"/>
    <cellWatch r="E12"/>
    <cellWatch r="C13"/>
    <cellWatch r="D13"/>
    <cellWatch r="E13"/>
    <cellWatch r="C14"/>
    <cellWatch r="D14"/>
    <cellWatch r="E14"/>
    <cellWatch r="C15"/>
    <cellWatch r="D15"/>
    <cellWatch r="E15"/>
    <cellWatch r="C16"/>
    <cellWatch r="D16"/>
    <cellWatch r="E16"/>
    <cellWatch r="C17"/>
    <cellWatch r="D17"/>
    <cellWatch r="E17"/>
    <cellWatch r="C18"/>
    <cellWatch r="D18"/>
    <cellWatch r="E18"/>
    <cellWatch r="C19"/>
    <cellWatch r="D19"/>
    <cellWatch r="E19"/>
    <cellWatch r="C20"/>
    <cellWatch r="D20"/>
    <cellWatch r="E20"/>
    <cellWatch r="C21"/>
    <cellWatch r="D21"/>
    <cellWatch r="E21"/>
  </cellWatch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FA92-498B-4B2C-9AF3-018969688E0A}">
  <dimension ref="A1:J26"/>
  <sheetViews>
    <sheetView workbookViewId="0">
      <selection activeCell="H25" sqref="H25"/>
    </sheetView>
  </sheetViews>
  <sheetFormatPr baseColWidth="10" defaultColWidth="11.453125" defaultRowHeight="14.5" x14ac:dyDescent="0.35"/>
  <cols>
    <col min="1" max="1" width="19.26953125" customWidth="1"/>
    <col min="3" max="3" width="17.54296875" customWidth="1"/>
    <col min="4" max="4" width="17.7265625" bestFit="1" customWidth="1"/>
    <col min="5" max="5" width="20.453125" bestFit="1" customWidth="1"/>
    <col min="6" max="6" width="16" bestFit="1" customWidth="1"/>
    <col min="7" max="7" width="17.1796875" customWidth="1"/>
  </cols>
  <sheetData>
    <row r="1" spans="1:10" x14ac:dyDescent="0.35">
      <c r="A1" t="s">
        <v>71</v>
      </c>
      <c r="B1" s="42">
        <v>42412</v>
      </c>
    </row>
    <row r="3" spans="1:10" x14ac:dyDescent="0.35">
      <c r="A3" s="83" t="s">
        <v>19</v>
      </c>
      <c r="B3" s="83"/>
      <c r="C3" s="83"/>
      <c r="D3" s="83"/>
      <c r="E3" s="83"/>
      <c r="F3" s="83"/>
    </row>
    <row r="4" spans="1:10" x14ac:dyDescent="0.35">
      <c r="A4" s="84" t="s">
        <v>20</v>
      </c>
      <c r="B4" s="85"/>
      <c r="C4" s="43"/>
      <c r="D4" s="88" t="s">
        <v>21</v>
      </c>
      <c r="E4" s="89"/>
      <c r="F4" s="40"/>
    </row>
    <row r="5" spans="1:10" x14ac:dyDescent="0.35">
      <c r="A5" s="86"/>
      <c r="B5" s="87"/>
      <c r="C5" s="44"/>
      <c r="D5" s="90"/>
      <c r="E5" s="91"/>
      <c r="F5" s="41"/>
    </row>
    <row r="6" spans="1:10" ht="29" x14ac:dyDescent="0.35">
      <c r="A6" s="32" t="s">
        <v>22</v>
      </c>
      <c r="B6" s="33" t="s">
        <v>23</v>
      </c>
      <c r="C6" s="33" t="s">
        <v>24</v>
      </c>
      <c r="D6" s="45" t="s">
        <v>22</v>
      </c>
      <c r="E6" s="45" t="s">
        <v>23</v>
      </c>
      <c r="F6" s="41" t="s">
        <v>25</v>
      </c>
    </row>
    <row r="7" spans="1:10" ht="18.75" customHeight="1" x14ac:dyDescent="0.35">
      <c r="A7" s="34">
        <v>0</v>
      </c>
      <c r="B7" s="34">
        <v>0</v>
      </c>
      <c r="C7" s="50">
        <v>11.68</v>
      </c>
      <c r="D7" s="46">
        <v>0</v>
      </c>
      <c r="E7" s="46">
        <v>0</v>
      </c>
      <c r="F7" s="47">
        <v>495372</v>
      </c>
      <c r="G7" s="48"/>
    </row>
    <row r="8" spans="1:10" x14ac:dyDescent="0.35">
      <c r="A8" s="49">
        <v>1</v>
      </c>
      <c r="B8" s="50">
        <v>200.18</v>
      </c>
      <c r="C8" s="50">
        <v>7.51</v>
      </c>
      <c r="D8" s="46">
        <v>1</v>
      </c>
      <c r="E8" s="46">
        <f t="shared" ref="E8:E12" si="0">B8*$B$1</f>
        <v>8490034.1600000001</v>
      </c>
      <c r="F8" s="47">
        <v>318514</v>
      </c>
      <c r="G8" s="48"/>
    </row>
    <row r="9" spans="1:10" x14ac:dyDescent="0.35">
      <c r="A9" s="50">
        <v>200.18</v>
      </c>
      <c r="B9" s="50">
        <v>325.3</v>
      </c>
      <c r="C9" s="50">
        <v>10.84</v>
      </c>
      <c r="D9" s="46">
        <f>A9*$B$1+1</f>
        <v>8490035.1600000001</v>
      </c>
      <c r="E9" s="46">
        <f t="shared" si="0"/>
        <v>13796623.6</v>
      </c>
      <c r="F9" s="47">
        <v>459746</v>
      </c>
    </row>
    <row r="10" spans="1:10" x14ac:dyDescent="0.35">
      <c r="A10" s="50">
        <v>325.3</v>
      </c>
      <c r="B10" s="34">
        <v>425.39</v>
      </c>
      <c r="C10" s="50">
        <v>12.75</v>
      </c>
      <c r="D10" s="46">
        <f>A10*$B$1+1</f>
        <v>13796624.6</v>
      </c>
      <c r="E10" s="46">
        <f t="shared" si="0"/>
        <v>18041640.68</v>
      </c>
      <c r="F10" s="47">
        <v>540753</v>
      </c>
      <c r="G10" s="48"/>
    </row>
    <row r="11" spans="1:10" x14ac:dyDescent="0.35">
      <c r="A11" s="50">
        <v>425.39</v>
      </c>
      <c r="B11" s="50">
        <v>875.8</v>
      </c>
      <c r="C11" s="50">
        <v>17.52</v>
      </c>
      <c r="D11" s="46">
        <f>A11*$B$1+1</f>
        <v>18041641.68</v>
      </c>
      <c r="E11" s="46">
        <f t="shared" si="0"/>
        <v>37144429.600000001</v>
      </c>
      <c r="F11" s="47">
        <v>743058</v>
      </c>
      <c r="G11" s="48"/>
    </row>
    <row r="12" spans="1:10" x14ac:dyDescent="0.35">
      <c r="A12" s="50">
        <v>875.8</v>
      </c>
      <c r="B12" s="34">
        <v>1301.18</v>
      </c>
      <c r="C12" s="50">
        <v>20.85</v>
      </c>
      <c r="D12" s="46">
        <f>A12*$B$1+1</f>
        <v>37144430.600000001</v>
      </c>
      <c r="E12" s="46">
        <f t="shared" si="0"/>
        <v>55185646.160000004</v>
      </c>
      <c r="F12" s="47">
        <v>884290</v>
      </c>
      <c r="G12" s="48"/>
    </row>
    <row r="13" spans="1:10" s="1" customFormat="1" x14ac:dyDescent="0.35">
      <c r="A13" s="51">
        <v>1301.18</v>
      </c>
      <c r="B13" s="51">
        <f t="shared" ref="B13:B23" si="1">E13/$B$1</f>
        <v>1226.0680939356787</v>
      </c>
      <c r="C13" s="51">
        <v>21.22</v>
      </c>
      <c r="D13" s="52">
        <f>A13*$B$1+1</f>
        <v>55185647.160000004</v>
      </c>
      <c r="E13" s="52">
        <v>52000000</v>
      </c>
      <c r="F13" s="47">
        <v>899983</v>
      </c>
      <c r="G13" s="53"/>
      <c r="J13"/>
    </row>
    <row r="14" spans="1:10" x14ac:dyDescent="0.35">
      <c r="A14" s="50">
        <f t="shared" ref="A14:A24" si="2">D14/$B$1</f>
        <v>1226.0681175139111</v>
      </c>
      <c r="B14" s="50">
        <f t="shared" si="1"/>
        <v>2758.6532113552767</v>
      </c>
      <c r="C14" s="72">
        <v>22.8</v>
      </c>
      <c r="D14" s="46">
        <v>52000001</v>
      </c>
      <c r="E14" s="46">
        <v>117000000</v>
      </c>
      <c r="F14" s="47">
        <v>966994</v>
      </c>
      <c r="G14" s="48"/>
    </row>
    <row r="15" spans="1:10" x14ac:dyDescent="0.35">
      <c r="A15" s="50">
        <f t="shared" si="2"/>
        <v>2758.6532349335093</v>
      </c>
      <c r="B15" s="50">
        <f t="shared" si="1"/>
        <v>3442.4219560501747</v>
      </c>
      <c r="C15" s="72">
        <v>25.15</v>
      </c>
      <c r="D15" s="46">
        <v>117000001</v>
      </c>
      <c r="E15" s="46">
        <v>146000000</v>
      </c>
      <c r="F15" s="47">
        <v>1066662</v>
      </c>
      <c r="G15" s="48"/>
    </row>
    <row r="16" spans="1:10" x14ac:dyDescent="0.35">
      <c r="A16" s="50">
        <f t="shared" si="2"/>
        <v>3442.4219796284069</v>
      </c>
      <c r="B16" s="50">
        <f t="shared" si="1"/>
        <v>3772.5172121097803</v>
      </c>
      <c r="C16" s="72">
        <v>25.94</v>
      </c>
      <c r="D16" s="46">
        <v>146000001</v>
      </c>
      <c r="E16" s="46">
        <v>160000000</v>
      </c>
      <c r="F16" s="47">
        <v>1100167</v>
      </c>
      <c r="G16" s="48"/>
    </row>
    <row r="17" spans="1:7" x14ac:dyDescent="0.35">
      <c r="A17" s="50">
        <f t="shared" si="2"/>
        <v>3772.517235688013</v>
      </c>
      <c r="B17" s="50">
        <f t="shared" si="1"/>
        <v>4809.9594454399694</v>
      </c>
      <c r="C17" s="72">
        <v>27.51</v>
      </c>
      <c r="D17" s="46">
        <v>160000001</v>
      </c>
      <c r="E17" s="46">
        <v>204000000</v>
      </c>
      <c r="F17" s="47">
        <v>1166754</v>
      </c>
      <c r="G17" s="48"/>
    </row>
    <row r="18" spans="1:7" x14ac:dyDescent="0.35">
      <c r="A18" s="50">
        <f t="shared" si="2"/>
        <v>4809.9594690182021</v>
      </c>
      <c r="B18" s="50">
        <f t="shared" si="1"/>
        <v>6177.4969348297655</v>
      </c>
      <c r="C18" s="72">
        <v>29.87</v>
      </c>
      <c r="D18" s="46">
        <v>204000001</v>
      </c>
      <c r="E18" s="46">
        <v>262000000</v>
      </c>
      <c r="F18" s="47">
        <v>1266846</v>
      </c>
      <c r="G18" s="48"/>
    </row>
    <row r="19" spans="1:7" x14ac:dyDescent="0.35">
      <c r="A19" s="50">
        <f t="shared" si="2"/>
        <v>6177.4969584079981</v>
      </c>
      <c r="B19" s="50">
        <f t="shared" si="1"/>
        <v>7545.0344242195606</v>
      </c>
      <c r="C19" s="72">
        <v>33.799999999999997</v>
      </c>
      <c r="D19" s="46">
        <v>262000001</v>
      </c>
      <c r="E19" s="46">
        <v>320000000</v>
      </c>
      <c r="F19" s="47">
        <v>1433526</v>
      </c>
      <c r="G19" s="48"/>
    </row>
    <row r="20" spans="1:7" x14ac:dyDescent="0.35">
      <c r="A20" s="50">
        <f t="shared" si="2"/>
        <v>7545.0344477977933</v>
      </c>
      <c r="B20" s="50">
        <f t="shared" si="1"/>
        <v>9761.3882863340568</v>
      </c>
      <c r="C20" s="72">
        <v>34.58</v>
      </c>
      <c r="D20" s="46">
        <v>320000001</v>
      </c>
      <c r="E20" s="46">
        <v>414000000</v>
      </c>
      <c r="F20" s="47">
        <v>1466607</v>
      </c>
      <c r="G20" s="48"/>
    </row>
    <row r="21" spans="1:7" x14ac:dyDescent="0.35">
      <c r="A21" s="50">
        <f t="shared" si="2"/>
        <v>9761.3883099122886</v>
      </c>
      <c r="B21" s="50">
        <f t="shared" si="1"/>
        <v>11977.742148448553</v>
      </c>
      <c r="C21" s="72">
        <v>40.869999999999997</v>
      </c>
      <c r="D21" s="46">
        <v>414000001</v>
      </c>
      <c r="E21" s="46">
        <v>508000000</v>
      </c>
      <c r="F21" s="47">
        <v>1733378</v>
      </c>
      <c r="G21" s="48"/>
    </row>
    <row r="22" spans="1:7" x14ac:dyDescent="0.35">
      <c r="A22" s="50">
        <f t="shared" si="2"/>
        <v>11977.742172026785</v>
      </c>
      <c r="B22" s="50">
        <f t="shared" si="1"/>
        <v>31995.661605206074</v>
      </c>
      <c r="C22" s="72">
        <v>41.65</v>
      </c>
      <c r="D22" s="46">
        <v>508000001</v>
      </c>
      <c r="E22" s="46">
        <v>1357000000</v>
      </c>
      <c r="F22" s="47">
        <v>1766460</v>
      </c>
      <c r="G22" s="48"/>
    </row>
    <row r="23" spans="1:7" x14ac:dyDescent="0.35">
      <c r="A23" s="50">
        <f t="shared" si="2"/>
        <v>31995.661628784306</v>
      </c>
      <c r="B23" s="50">
        <f t="shared" si="1"/>
        <v>34212.015467320569</v>
      </c>
      <c r="C23" s="72">
        <v>93.53</v>
      </c>
      <c r="D23" s="46">
        <v>1357000001</v>
      </c>
      <c r="E23" s="46">
        <v>1451000000</v>
      </c>
      <c r="F23" s="47">
        <v>3966794</v>
      </c>
      <c r="G23" s="48"/>
    </row>
    <row r="24" spans="1:7" x14ac:dyDescent="0.35">
      <c r="A24" s="50">
        <f t="shared" si="2"/>
        <v>34212.015490898804</v>
      </c>
      <c r="B24" s="50"/>
      <c r="C24" s="72">
        <v>95.79</v>
      </c>
      <c r="D24" s="46">
        <v>1451000001</v>
      </c>
      <c r="E24" s="46"/>
      <c r="F24" s="47">
        <v>4062645</v>
      </c>
      <c r="G24" s="48"/>
    </row>
    <row r="25" spans="1:7" x14ac:dyDescent="0.35">
      <c r="A25" s="50"/>
      <c r="B25" s="50"/>
      <c r="C25" s="34"/>
      <c r="D25" s="67" t="s">
        <v>27</v>
      </c>
      <c r="E25" s="67" t="s">
        <v>73</v>
      </c>
      <c r="F25" s="46"/>
      <c r="G25" s="48"/>
    </row>
    <row r="26" spans="1:7" x14ac:dyDescent="0.35">
      <c r="A26" s="54"/>
      <c r="D26" s="42"/>
      <c r="E26" s="42"/>
      <c r="F26" s="42"/>
      <c r="G26" s="48"/>
    </row>
  </sheetData>
  <mergeCells count="3">
    <mergeCell ref="A3:F3"/>
    <mergeCell ref="A4:B5"/>
    <mergeCell ref="D4: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AA77"/>
  <sheetViews>
    <sheetView zoomScaleNormal="100" workbookViewId="0">
      <selection activeCell="G18" sqref="G18"/>
    </sheetView>
  </sheetViews>
  <sheetFormatPr baseColWidth="10" defaultColWidth="11.453125" defaultRowHeight="14.5" x14ac:dyDescent="0.35"/>
  <cols>
    <col min="1" max="1" width="8.54296875" style="2" customWidth="1"/>
    <col min="2" max="2" width="52.54296875" style="2" customWidth="1"/>
    <col min="3" max="3" width="17.81640625" style="2" customWidth="1"/>
    <col min="4" max="4" width="25.453125" style="2" customWidth="1"/>
    <col min="5" max="5" width="11.453125" style="2"/>
    <col min="6" max="6" width="13.54296875" style="2" bestFit="1" customWidth="1"/>
    <col min="7" max="7" width="14" style="2" bestFit="1" customWidth="1"/>
    <col min="8" max="8" width="16.7265625" style="2" bestFit="1" customWidth="1"/>
    <col min="9" max="26" width="11.453125" style="2"/>
    <col min="27" max="27" width="2" style="2" hidden="1" customWidth="1"/>
    <col min="28" max="16384" width="11.453125" style="2"/>
  </cols>
  <sheetData>
    <row r="1" spans="1:27" ht="24" customHeight="1" x14ac:dyDescent="0.35">
      <c r="AA1" s="2">
        <v>1</v>
      </c>
    </row>
    <row r="2" spans="1:27" ht="19.5" customHeight="1" x14ac:dyDescent="0.35">
      <c r="A2" s="1"/>
      <c r="B2" s="1"/>
      <c r="C2" s="1"/>
      <c r="D2" s="1"/>
      <c r="AA2" s="2">
        <v>3</v>
      </c>
    </row>
    <row r="3" spans="1:27" x14ac:dyDescent="0.35">
      <c r="A3" s="1"/>
      <c r="B3" s="1"/>
      <c r="C3" s="1"/>
      <c r="D3" s="1"/>
      <c r="AA3" s="2">
        <v>5</v>
      </c>
    </row>
    <row r="4" spans="1:27" x14ac:dyDescent="0.35">
      <c r="A4" s="1"/>
      <c r="B4" s="1"/>
      <c r="C4" s="1"/>
      <c r="D4" s="1"/>
      <c r="AA4" s="2">
        <v>7</v>
      </c>
    </row>
    <row r="5" spans="1:27" ht="19.5" customHeight="1" x14ac:dyDescent="0.35">
      <c r="A5" s="1"/>
      <c r="B5" s="1"/>
      <c r="C5" s="1"/>
      <c r="D5" s="1"/>
    </row>
    <row r="6" spans="1:27" ht="21" x14ac:dyDescent="0.5">
      <c r="A6" s="79" t="s">
        <v>28</v>
      </c>
      <c r="B6" s="79"/>
      <c r="C6" s="79"/>
      <c r="D6" s="79"/>
    </row>
    <row r="7" spans="1:27" x14ac:dyDescent="0.35">
      <c r="A7" s="1"/>
      <c r="B7" s="17" t="s">
        <v>29</v>
      </c>
      <c r="C7" s="1"/>
      <c r="D7" s="1"/>
    </row>
    <row r="8" spans="1:27" x14ac:dyDescent="0.35">
      <c r="A8" s="1"/>
      <c r="B8" s="17"/>
      <c r="C8" s="1"/>
      <c r="D8" s="1"/>
    </row>
    <row r="9" spans="1:27" x14ac:dyDescent="0.35">
      <c r="A9" s="1"/>
      <c r="B9" s="12" t="s">
        <v>70</v>
      </c>
      <c r="C9" s="5">
        <v>1160000</v>
      </c>
      <c r="D9" s="1"/>
    </row>
    <row r="10" spans="1:27" x14ac:dyDescent="0.35">
      <c r="A10" s="1"/>
      <c r="B10" s="12" t="s">
        <v>69</v>
      </c>
      <c r="C10" s="5">
        <f>'TARIFA ARBITRAJE'!B1</f>
        <v>42412</v>
      </c>
      <c r="D10" s="65"/>
      <c r="F10" s="15"/>
      <c r="H10" s="18"/>
    </row>
    <row r="11" spans="1:27" x14ac:dyDescent="0.35">
      <c r="B11" s="1" t="s">
        <v>6</v>
      </c>
      <c r="C11" s="9"/>
      <c r="D11" s="16" t="str">
        <f>+IF(AND(C11&gt;=1,C11&lt;=400*C9),"MENOR CUANTÍA",IF(C11&gt;400*C9,"MAYOR CUANTÍA",IF(C11="","","CUANTÍA INDETERMINADA*")))</f>
        <v/>
      </c>
      <c r="G11" s="15"/>
    </row>
    <row r="12" spans="1:27" x14ac:dyDescent="0.35">
      <c r="B12" s="1"/>
      <c r="C12"/>
      <c r="D12" s="1"/>
    </row>
    <row r="13" spans="1:27" x14ac:dyDescent="0.35">
      <c r="B13" s="1" t="s">
        <v>30</v>
      </c>
      <c r="C13" s="68">
        <f>IF(C11="",0,IF(D11="MENOR CUANTÍA",C10*25.02*1.19,C10*50.05*1.19))</f>
        <v>0</v>
      </c>
      <c r="D13" s="20"/>
      <c r="F13" s="15"/>
      <c r="G13" s="15"/>
    </row>
    <row r="14" spans="1:27" x14ac:dyDescent="0.35">
      <c r="B14" s="1"/>
      <c r="C14"/>
      <c r="D14" s="1"/>
    </row>
    <row r="15" spans="1:27" x14ac:dyDescent="0.35">
      <c r="B15" s="1" t="s">
        <v>31</v>
      </c>
      <c r="C15" s="69" t="str">
        <f>IF(C11="","",IF(C11=0,0,IF(C11&lt;='TARIFA ARBITRAJE'!D5,8.34*C10,IF(C11&lt;='TARIFA ARBITRAJE'!D6,'TARIFA ARBITRAJE'!E6*C11,IF(C11&lt;='TARIFA ARBITRAJE'!D7,'TARIFA ARBITRAJE'!E7*C11,IF(C11&lt;='TARIFA ARBITRAJE'!D8,'TARIFA ARBITRAJE'!E8*C11,IF(C11&lt;='TARIFA ARBITRAJE'!D9,'TARIFA ARBITRAJE'!E9*C11,IF(C11&lt;='TARIFA ARBITRAJE'!D10,'TARIFA ARBITRAJE'!E10*C11,IF('TARIFA ARBITRAJE'!E10*C11&lt;(25022.75*C10),'TARIFA ARBITRAJE'!E10*C11,25022.75*C10)))))))))</f>
        <v/>
      </c>
      <c r="D15" s="73"/>
      <c r="F15" s="15"/>
    </row>
    <row r="16" spans="1:27" x14ac:dyDescent="0.35">
      <c r="B16" s="1" t="s">
        <v>32</v>
      </c>
      <c r="C16" s="71"/>
      <c r="D16" s="1"/>
      <c r="F16" s="15"/>
    </row>
    <row r="17" spans="2:7" x14ac:dyDescent="0.35">
      <c r="B17" s="1" t="s">
        <v>33</v>
      </c>
      <c r="C17" s="68">
        <f>IFERROR(C16*C15,0)</f>
        <v>0</v>
      </c>
      <c r="D17" s="1"/>
      <c r="G17" s="20"/>
    </row>
    <row r="18" spans="2:7" x14ac:dyDescent="0.35">
      <c r="B18" s="1" t="s">
        <v>34</v>
      </c>
      <c r="C18" s="68">
        <f>IF(C16="",0,(C17/C16)/2)</f>
        <v>0</v>
      </c>
      <c r="D18" s="1"/>
    </row>
    <row r="19" spans="2:7" x14ac:dyDescent="0.35">
      <c r="B19" s="1"/>
      <c r="C19"/>
      <c r="D19" s="1"/>
    </row>
    <row r="20" spans="2:7" x14ac:dyDescent="0.35">
      <c r="B20" s="1" t="s">
        <v>35</v>
      </c>
      <c r="C20" s="68">
        <f>+C18*1.19</f>
        <v>0</v>
      </c>
      <c r="D20" s="1"/>
    </row>
    <row r="21" spans="2:7" x14ac:dyDescent="0.35">
      <c r="B21" s="1"/>
      <c r="C21"/>
      <c r="D21" s="1"/>
    </row>
    <row r="22" spans="2:7" x14ac:dyDescent="0.35">
      <c r="B22" s="12" t="s">
        <v>36</v>
      </c>
      <c r="C22" s="70">
        <f>+C17+C18+(C20/1.19)</f>
        <v>0</v>
      </c>
      <c r="D22" s="1"/>
    </row>
    <row r="23" spans="2:7" x14ac:dyDescent="0.35">
      <c r="B23" s="1" t="s">
        <v>37</v>
      </c>
      <c r="C23" s="68">
        <f>+C17*0.19</f>
        <v>0</v>
      </c>
      <c r="D23" s="1"/>
    </row>
    <row r="24" spans="2:7" x14ac:dyDescent="0.35">
      <c r="B24" s="1" t="s">
        <v>38</v>
      </c>
      <c r="C24" s="68">
        <f>+C18*0.19</f>
        <v>0</v>
      </c>
      <c r="D24" s="1"/>
    </row>
    <row r="25" spans="2:7" x14ac:dyDescent="0.35">
      <c r="B25" s="1" t="s">
        <v>39</v>
      </c>
      <c r="C25" s="68">
        <f>(C20/1.19)*0.19</f>
        <v>0</v>
      </c>
      <c r="D25" s="1"/>
    </row>
    <row r="26" spans="2:7" x14ac:dyDescent="0.35">
      <c r="B26" s="1"/>
      <c r="C26" s="1"/>
      <c r="D26" s="1"/>
    </row>
    <row r="27" spans="2:7" x14ac:dyDescent="0.35">
      <c r="B27" s="12" t="s">
        <v>13</v>
      </c>
      <c r="C27" s="70">
        <f>+C22+C23+C24+C25+C13</f>
        <v>0</v>
      </c>
      <c r="D27" s="1"/>
    </row>
    <row r="28" spans="2:7" x14ac:dyDescent="0.35">
      <c r="B28" s="1"/>
      <c r="C28" s="1"/>
      <c r="D28" s="1"/>
    </row>
    <row r="29" spans="2:7" x14ac:dyDescent="0.35">
      <c r="B29" s="1"/>
      <c r="C29" s="1"/>
      <c r="D29" s="1"/>
    </row>
    <row r="31" spans="2:7" x14ac:dyDescent="0.35">
      <c r="B31" s="13" t="s">
        <v>40</v>
      </c>
      <c r="C31" s="1"/>
      <c r="D31" s="1"/>
      <c r="E31" s="1"/>
    </row>
    <row r="32" spans="2:7" ht="18.5" x14ac:dyDescent="0.45">
      <c r="B32" s="92"/>
      <c r="C32" s="92"/>
      <c r="D32" s="92"/>
      <c r="E32" s="92"/>
    </row>
    <row r="33" spans="2:5" ht="15" customHeight="1" x14ac:dyDescent="0.35">
      <c r="B33" s="93" t="s">
        <v>41</v>
      </c>
      <c r="C33" s="93"/>
      <c r="D33" s="93"/>
      <c r="E33" s="93"/>
    </row>
    <row r="34" spans="2:5" ht="15" customHeight="1" x14ac:dyDescent="0.35">
      <c r="B34" s="93"/>
      <c r="C34" s="93"/>
      <c r="D34" s="93"/>
      <c r="E34" s="93"/>
    </row>
    <row r="35" spans="2:5" ht="14.5" customHeight="1" x14ac:dyDescent="0.35">
      <c r="B35" s="93"/>
      <c r="C35" s="93"/>
      <c r="D35" s="93"/>
      <c r="E35" s="93"/>
    </row>
    <row r="36" spans="2:5" ht="14.5" customHeight="1" x14ac:dyDescent="0.35">
      <c r="B36" s="93"/>
      <c r="C36" s="93"/>
      <c r="D36" s="93"/>
      <c r="E36" s="93"/>
    </row>
    <row r="37" spans="2:5" ht="14.5" customHeight="1" x14ac:dyDescent="0.35">
      <c r="B37" s="93"/>
      <c r="C37" s="93"/>
      <c r="D37" s="93"/>
      <c r="E37" s="93"/>
    </row>
    <row r="38" spans="2:5" ht="15" customHeight="1" x14ac:dyDescent="0.35">
      <c r="B38" s="93"/>
      <c r="C38" s="93"/>
      <c r="D38" s="93"/>
      <c r="E38" s="93"/>
    </row>
    <row r="39" spans="2:5" ht="14.5" customHeight="1" x14ac:dyDescent="0.35">
      <c r="B39" s="93"/>
      <c r="C39" s="93"/>
      <c r="D39" s="93"/>
      <c r="E39" s="93"/>
    </row>
    <row r="40" spans="2:5" ht="14.5" customHeight="1" x14ac:dyDescent="0.35">
      <c r="B40" s="93"/>
      <c r="C40" s="93"/>
      <c r="D40" s="93"/>
      <c r="E40" s="93"/>
    </row>
    <row r="41" spans="2:5" ht="14.5" customHeight="1" x14ac:dyDescent="0.35">
      <c r="B41" s="93"/>
      <c r="C41" s="93"/>
      <c r="D41" s="93"/>
      <c r="E41" s="93"/>
    </row>
    <row r="42" spans="2:5" ht="14.5" customHeight="1" x14ac:dyDescent="0.35">
      <c r="B42" s="93"/>
      <c r="C42" s="93"/>
      <c r="D42" s="93"/>
      <c r="E42" s="93"/>
    </row>
    <row r="43" spans="2:5" ht="15" customHeight="1" x14ac:dyDescent="0.35">
      <c r="B43" s="93"/>
      <c r="C43" s="93"/>
      <c r="D43" s="93"/>
      <c r="E43" s="93"/>
    </row>
    <row r="44" spans="2:5" ht="14.5" customHeight="1" x14ac:dyDescent="0.35">
      <c r="B44" s="93"/>
      <c r="C44" s="93"/>
      <c r="D44" s="93"/>
      <c r="E44" s="93"/>
    </row>
    <row r="45" spans="2:5" ht="15" customHeight="1" x14ac:dyDescent="0.35">
      <c r="B45" s="93"/>
      <c r="C45" s="93"/>
      <c r="D45" s="93"/>
      <c r="E45" s="93"/>
    </row>
    <row r="46" spans="2:5" ht="14.5" customHeight="1" x14ac:dyDescent="0.35">
      <c r="B46" s="93"/>
      <c r="C46" s="93"/>
      <c r="D46" s="93"/>
      <c r="E46" s="93"/>
    </row>
    <row r="47" spans="2:5" ht="14.5" customHeight="1" x14ac:dyDescent="0.35">
      <c r="B47" s="93"/>
      <c r="C47" s="93"/>
      <c r="D47" s="93"/>
      <c r="E47" s="93"/>
    </row>
    <row r="48" spans="2:5" ht="14.5" customHeight="1" x14ac:dyDescent="0.35">
      <c r="B48" s="93"/>
      <c r="C48" s="93"/>
      <c r="D48" s="93"/>
      <c r="E48" s="93"/>
    </row>
    <row r="49" spans="2:5" ht="14.5" customHeight="1" x14ac:dyDescent="0.35">
      <c r="B49" s="93"/>
      <c r="C49" s="93"/>
      <c r="D49" s="93"/>
      <c r="E49" s="93"/>
    </row>
    <row r="50" spans="2:5" ht="14.5" customHeight="1" x14ac:dyDescent="0.35">
      <c r="B50" s="93"/>
      <c r="C50" s="93"/>
      <c r="D50" s="93"/>
      <c r="E50" s="93"/>
    </row>
    <row r="51" spans="2:5" ht="14.5" customHeight="1" x14ac:dyDescent="0.35">
      <c r="B51" s="93"/>
      <c r="C51" s="93"/>
      <c r="D51" s="93"/>
      <c r="E51" s="93"/>
    </row>
    <row r="52" spans="2:5" ht="14.5" customHeight="1" x14ac:dyDescent="0.35">
      <c r="B52" s="93"/>
      <c r="C52" s="93"/>
      <c r="D52" s="93"/>
      <c r="E52" s="93"/>
    </row>
    <row r="53" spans="2:5" ht="14.5" customHeight="1" x14ac:dyDescent="0.35">
      <c r="B53" s="93"/>
      <c r="C53" s="93"/>
      <c r="D53" s="93"/>
      <c r="E53" s="93"/>
    </row>
    <row r="54" spans="2:5" ht="14.5" customHeight="1" x14ac:dyDescent="0.35">
      <c r="B54" s="93"/>
      <c r="C54" s="93"/>
      <c r="D54" s="93"/>
      <c r="E54" s="93"/>
    </row>
    <row r="55" spans="2:5" ht="14.5" customHeight="1" x14ac:dyDescent="0.35">
      <c r="B55" s="93"/>
      <c r="C55" s="93"/>
      <c r="D55" s="93"/>
      <c r="E55" s="93"/>
    </row>
    <row r="56" spans="2:5" x14ac:dyDescent="0.35">
      <c r="B56" s="93"/>
      <c r="C56" s="93"/>
      <c r="D56" s="93"/>
      <c r="E56" s="93"/>
    </row>
    <row r="57" spans="2:5" x14ac:dyDescent="0.35">
      <c r="B57" s="93"/>
      <c r="C57" s="93"/>
      <c r="D57" s="93"/>
      <c r="E57" s="93"/>
    </row>
    <row r="58" spans="2:5" x14ac:dyDescent="0.35">
      <c r="B58" s="93"/>
      <c r="C58" s="93"/>
      <c r="D58" s="93"/>
      <c r="E58" s="93"/>
    </row>
    <row r="59" spans="2:5" x14ac:dyDescent="0.35">
      <c r="B59" s="1"/>
      <c r="C59" s="1"/>
      <c r="D59" s="1"/>
      <c r="E59" s="1"/>
    </row>
    <row r="60" spans="2:5" x14ac:dyDescent="0.35">
      <c r="B60" s="1"/>
      <c r="C60" s="1"/>
      <c r="D60" s="1"/>
      <c r="E60" s="1"/>
    </row>
    <row r="61" spans="2:5" x14ac:dyDescent="0.35">
      <c r="B61" s="1"/>
      <c r="C61" s="1"/>
      <c r="D61" s="1"/>
      <c r="E61" s="1"/>
    </row>
    <row r="62" spans="2:5" x14ac:dyDescent="0.35">
      <c r="B62" s="1"/>
      <c r="C62" s="1"/>
      <c r="D62" s="1"/>
      <c r="E62" s="1"/>
    </row>
    <row r="63" spans="2:5" x14ac:dyDescent="0.35">
      <c r="B63" s="1"/>
      <c r="C63" s="1"/>
      <c r="D63" s="1"/>
      <c r="E63" s="1"/>
    </row>
    <row r="64" spans="2:5" x14ac:dyDescent="0.35">
      <c r="B64" s="1"/>
      <c r="C64" s="1"/>
      <c r="D64" s="1"/>
      <c r="E64" s="1"/>
    </row>
    <row r="65" spans="2:5" x14ac:dyDescent="0.35">
      <c r="B65" s="1"/>
      <c r="C65" s="1"/>
      <c r="D65" s="1"/>
      <c r="E65" s="1"/>
    </row>
    <row r="66" spans="2:5" x14ac:dyDescent="0.35">
      <c r="B66" s="1"/>
      <c r="C66" s="1"/>
      <c r="D66" s="1"/>
      <c r="E66" s="1"/>
    </row>
    <row r="67" spans="2:5" x14ac:dyDescent="0.35">
      <c r="B67" s="1"/>
      <c r="C67" s="1"/>
      <c r="D67" s="1"/>
      <c r="E67" s="1"/>
    </row>
    <row r="68" spans="2:5" x14ac:dyDescent="0.35">
      <c r="B68" s="1"/>
      <c r="C68" s="1"/>
      <c r="D68" s="1"/>
      <c r="E68" s="1"/>
    </row>
    <row r="69" spans="2:5" x14ac:dyDescent="0.35">
      <c r="B69" s="1"/>
      <c r="C69" s="1"/>
      <c r="D69" s="1"/>
      <c r="E69" s="1"/>
    </row>
    <row r="70" spans="2:5" x14ac:dyDescent="0.35">
      <c r="B70" s="1"/>
      <c r="C70" s="1"/>
      <c r="D70" s="1"/>
      <c r="E70" s="1"/>
    </row>
    <row r="71" spans="2:5" x14ac:dyDescent="0.35">
      <c r="B71" s="1"/>
      <c r="C71" s="1"/>
      <c r="D71" s="1"/>
      <c r="E71" s="1"/>
    </row>
    <row r="72" spans="2:5" x14ac:dyDescent="0.35">
      <c r="B72" s="1"/>
      <c r="C72" s="1"/>
      <c r="D72" s="1"/>
      <c r="E72" s="1"/>
    </row>
    <row r="73" spans="2:5" x14ac:dyDescent="0.35">
      <c r="B73" s="1"/>
      <c r="C73" s="1"/>
      <c r="D73" s="1"/>
      <c r="E73" s="1"/>
    </row>
    <row r="74" spans="2:5" x14ac:dyDescent="0.35">
      <c r="B74" s="1"/>
      <c r="C74" s="1"/>
      <c r="D74" s="1"/>
      <c r="E74" s="1"/>
    </row>
    <row r="75" spans="2:5" x14ac:dyDescent="0.35">
      <c r="B75" s="1"/>
      <c r="C75" s="1"/>
      <c r="D75" s="1"/>
      <c r="E75" s="1"/>
    </row>
    <row r="76" spans="2:5" x14ac:dyDescent="0.35">
      <c r="B76" s="1"/>
      <c r="C76" s="1"/>
      <c r="D76" s="1"/>
      <c r="E76" s="1"/>
    </row>
    <row r="77" spans="2:5" x14ac:dyDescent="0.35">
      <c r="B77" s="1"/>
      <c r="C77" s="1"/>
      <c r="D77" s="1"/>
      <c r="E77" s="1"/>
    </row>
  </sheetData>
  <sheetProtection algorithmName="SHA-512" hashValue="NGDPJnsKjRUSQuWpIaofegIl6q9pT0bcoQLl2EY3G9hZOZH/2LlvEJYQ9TWbKrzL04Yg5R3/7bLk1g7eYniWvA==" saltValue="j3pGIF6MxC8bZmcJhUMsdQ==" spinCount="100000" sheet="1" objects="1" scenarios="1"/>
  <mergeCells count="3">
    <mergeCell ref="A6:D6"/>
    <mergeCell ref="B32:E32"/>
    <mergeCell ref="B33:E58"/>
  </mergeCells>
  <dataValidations count="1">
    <dataValidation type="list" allowBlank="1" showInputMessage="1" showErrorMessage="1" errorTitle="Número errado" error="El número de árbitros debe ser impar." sqref="C16" xr:uid="{00000000-0002-0000-0300-000000000000}">
      <formula1>$AA$1:$AA$3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
  <dimension ref="A1:E10"/>
  <sheetViews>
    <sheetView showGridLines="0" workbookViewId="0">
      <selection activeCell="C8" sqref="C8"/>
    </sheetView>
  </sheetViews>
  <sheetFormatPr baseColWidth="10" defaultColWidth="11.453125" defaultRowHeight="14.5" x14ac:dyDescent="0.35"/>
  <cols>
    <col min="1" max="2" width="8.81640625" bestFit="1" customWidth="1"/>
    <col min="3" max="3" width="14.81640625" bestFit="1" customWidth="1"/>
    <col min="4" max="4" width="15.1796875" bestFit="1" customWidth="1"/>
    <col min="5" max="5" width="12.54296875" bestFit="1" customWidth="1"/>
    <col min="6" max="6" width="17.81640625" customWidth="1"/>
    <col min="257" max="258" width="12" bestFit="1" customWidth="1"/>
    <col min="260" max="261" width="15.54296875" bestFit="1" customWidth="1"/>
    <col min="262" max="262" width="17.81640625" customWidth="1"/>
    <col min="513" max="514" width="12" bestFit="1" customWidth="1"/>
    <col min="516" max="517" width="15.54296875" bestFit="1" customWidth="1"/>
    <col min="518" max="518" width="17.81640625" customWidth="1"/>
    <col min="769" max="770" width="12" bestFit="1" customWidth="1"/>
    <col min="772" max="773" width="15.54296875" bestFit="1" customWidth="1"/>
    <col min="774" max="774" width="17.81640625" customWidth="1"/>
    <col min="1025" max="1026" width="12" bestFit="1" customWidth="1"/>
    <col min="1028" max="1029" width="15.54296875" bestFit="1" customWidth="1"/>
    <col min="1030" max="1030" width="17.81640625" customWidth="1"/>
    <col min="1281" max="1282" width="12" bestFit="1" customWidth="1"/>
    <col min="1284" max="1285" width="15.54296875" bestFit="1" customWidth="1"/>
    <col min="1286" max="1286" width="17.81640625" customWidth="1"/>
    <col min="1537" max="1538" width="12" bestFit="1" customWidth="1"/>
    <col min="1540" max="1541" width="15.54296875" bestFit="1" customWidth="1"/>
    <col min="1542" max="1542" width="17.81640625" customWidth="1"/>
    <col min="1793" max="1794" width="12" bestFit="1" customWidth="1"/>
    <col min="1796" max="1797" width="15.54296875" bestFit="1" customWidth="1"/>
    <col min="1798" max="1798" width="17.81640625" customWidth="1"/>
    <col min="2049" max="2050" width="12" bestFit="1" customWidth="1"/>
    <col min="2052" max="2053" width="15.54296875" bestFit="1" customWidth="1"/>
    <col min="2054" max="2054" width="17.81640625" customWidth="1"/>
    <col min="2305" max="2306" width="12" bestFit="1" customWidth="1"/>
    <col min="2308" max="2309" width="15.54296875" bestFit="1" customWidth="1"/>
    <col min="2310" max="2310" width="17.81640625" customWidth="1"/>
    <col min="2561" max="2562" width="12" bestFit="1" customWidth="1"/>
    <col min="2564" max="2565" width="15.54296875" bestFit="1" customWidth="1"/>
    <col min="2566" max="2566" width="17.81640625" customWidth="1"/>
    <col min="2817" max="2818" width="12" bestFit="1" customWidth="1"/>
    <col min="2820" max="2821" width="15.54296875" bestFit="1" customWidth="1"/>
    <col min="2822" max="2822" width="17.81640625" customWidth="1"/>
    <col min="3073" max="3074" width="12" bestFit="1" customWidth="1"/>
    <col min="3076" max="3077" width="15.54296875" bestFit="1" customWidth="1"/>
    <col min="3078" max="3078" width="17.81640625" customWidth="1"/>
    <col min="3329" max="3330" width="12" bestFit="1" customWidth="1"/>
    <col min="3332" max="3333" width="15.54296875" bestFit="1" customWidth="1"/>
    <col min="3334" max="3334" width="17.81640625" customWidth="1"/>
    <col min="3585" max="3586" width="12" bestFit="1" customWidth="1"/>
    <col min="3588" max="3589" width="15.54296875" bestFit="1" customWidth="1"/>
    <col min="3590" max="3590" width="17.81640625" customWidth="1"/>
    <col min="3841" max="3842" width="12" bestFit="1" customWidth="1"/>
    <col min="3844" max="3845" width="15.54296875" bestFit="1" customWidth="1"/>
    <col min="3846" max="3846" width="17.81640625" customWidth="1"/>
    <col min="4097" max="4098" width="12" bestFit="1" customWidth="1"/>
    <col min="4100" max="4101" width="15.54296875" bestFit="1" customWidth="1"/>
    <col min="4102" max="4102" width="17.81640625" customWidth="1"/>
    <col min="4353" max="4354" width="12" bestFit="1" customWidth="1"/>
    <col min="4356" max="4357" width="15.54296875" bestFit="1" customWidth="1"/>
    <col min="4358" max="4358" width="17.81640625" customWidth="1"/>
    <col min="4609" max="4610" width="12" bestFit="1" customWidth="1"/>
    <col min="4612" max="4613" width="15.54296875" bestFit="1" customWidth="1"/>
    <col min="4614" max="4614" width="17.81640625" customWidth="1"/>
    <col min="4865" max="4866" width="12" bestFit="1" customWidth="1"/>
    <col min="4868" max="4869" width="15.54296875" bestFit="1" customWidth="1"/>
    <col min="4870" max="4870" width="17.81640625" customWidth="1"/>
    <col min="5121" max="5122" width="12" bestFit="1" customWidth="1"/>
    <col min="5124" max="5125" width="15.54296875" bestFit="1" customWidth="1"/>
    <col min="5126" max="5126" width="17.81640625" customWidth="1"/>
    <col min="5377" max="5378" width="12" bestFit="1" customWidth="1"/>
    <col min="5380" max="5381" width="15.54296875" bestFit="1" customWidth="1"/>
    <col min="5382" max="5382" width="17.81640625" customWidth="1"/>
    <col min="5633" max="5634" width="12" bestFit="1" customWidth="1"/>
    <col min="5636" max="5637" width="15.54296875" bestFit="1" customWidth="1"/>
    <col min="5638" max="5638" width="17.81640625" customWidth="1"/>
    <col min="5889" max="5890" width="12" bestFit="1" customWidth="1"/>
    <col min="5892" max="5893" width="15.54296875" bestFit="1" customWidth="1"/>
    <col min="5894" max="5894" width="17.81640625" customWidth="1"/>
    <col min="6145" max="6146" width="12" bestFit="1" customWidth="1"/>
    <col min="6148" max="6149" width="15.54296875" bestFit="1" customWidth="1"/>
    <col min="6150" max="6150" width="17.81640625" customWidth="1"/>
    <col min="6401" max="6402" width="12" bestFit="1" customWidth="1"/>
    <col min="6404" max="6405" width="15.54296875" bestFit="1" customWidth="1"/>
    <col min="6406" max="6406" width="17.81640625" customWidth="1"/>
    <col min="6657" max="6658" width="12" bestFit="1" customWidth="1"/>
    <col min="6660" max="6661" width="15.54296875" bestFit="1" customWidth="1"/>
    <col min="6662" max="6662" width="17.81640625" customWidth="1"/>
    <col min="6913" max="6914" width="12" bestFit="1" customWidth="1"/>
    <col min="6916" max="6917" width="15.54296875" bestFit="1" customWidth="1"/>
    <col min="6918" max="6918" width="17.81640625" customWidth="1"/>
    <col min="7169" max="7170" width="12" bestFit="1" customWidth="1"/>
    <col min="7172" max="7173" width="15.54296875" bestFit="1" customWidth="1"/>
    <col min="7174" max="7174" width="17.81640625" customWidth="1"/>
    <col min="7425" max="7426" width="12" bestFit="1" customWidth="1"/>
    <col min="7428" max="7429" width="15.54296875" bestFit="1" customWidth="1"/>
    <col min="7430" max="7430" width="17.81640625" customWidth="1"/>
    <col min="7681" max="7682" width="12" bestFit="1" customWidth="1"/>
    <col min="7684" max="7685" width="15.54296875" bestFit="1" customWidth="1"/>
    <col min="7686" max="7686" width="17.81640625" customWidth="1"/>
    <col min="7937" max="7938" width="12" bestFit="1" customWidth="1"/>
    <col min="7940" max="7941" width="15.54296875" bestFit="1" customWidth="1"/>
    <col min="7942" max="7942" width="17.81640625" customWidth="1"/>
    <col min="8193" max="8194" width="12" bestFit="1" customWidth="1"/>
    <col min="8196" max="8197" width="15.54296875" bestFit="1" customWidth="1"/>
    <col min="8198" max="8198" width="17.81640625" customWidth="1"/>
    <col min="8449" max="8450" width="12" bestFit="1" customWidth="1"/>
    <col min="8452" max="8453" width="15.54296875" bestFit="1" customWidth="1"/>
    <col min="8454" max="8454" width="17.81640625" customWidth="1"/>
    <col min="8705" max="8706" width="12" bestFit="1" customWidth="1"/>
    <col min="8708" max="8709" width="15.54296875" bestFit="1" customWidth="1"/>
    <col min="8710" max="8710" width="17.81640625" customWidth="1"/>
    <col min="8961" max="8962" width="12" bestFit="1" customWidth="1"/>
    <col min="8964" max="8965" width="15.54296875" bestFit="1" customWidth="1"/>
    <col min="8966" max="8966" width="17.81640625" customWidth="1"/>
    <col min="9217" max="9218" width="12" bestFit="1" customWidth="1"/>
    <col min="9220" max="9221" width="15.54296875" bestFit="1" customWidth="1"/>
    <col min="9222" max="9222" width="17.81640625" customWidth="1"/>
    <col min="9473" max="9474" width="12" bestFit="1" customWidth="1"/>
    <col min="9476" max="9477" width="15.54296875" bestFit="1" customWidth="1"/>
    <col min="9478" max="9478" width="17.81640625" customWidth="1"/>
    <col min="9729" max="9730" width="12" bestFit="1" customWidth="1"/>
    <col min="9732" max="9733" width="15.54296875" bestFit="1" customWidth="1"/>
    <col min="9734" max="9734" width="17.81640625" customWidth="1"/>
    <col min="9985" max="9986" width="12" bestFit="1" customWidth="1"/>
    <col min="9988" max="9989" width="15.54296875" bestFit="1" customWidth="1"/>
    <col min="9990" max="9990" width="17.81640625" customWidth="1"/>
    <col min="10241" max="10242" width="12" bestFit="1" customWidth="1"/>
    <col min="10244" max="10245" width="15.54296875" bestFit="1" customWidth="1"/>
    <col min="10246" max="10246" width="17.81640625" customWidth="1"/>
    <col min="10497" max="10498" width="12" bestFit="1" customWidth="1"/>
    <col min="10500" max="10501" width="15.54296875" bestFit="1" customWidth="1"/>
    <col min="10502" max="10502" width="17.81640625" customWidth="1"/>
    <col min="10753" max="10754" width="12" bestFit="1" customWidth="1"/>
    <col min="10756" max="10757" width="15.54296875" bestFit="1" customWidth="1"/>
    <col min="10758" max="10758" width="17.81640625" customWidth="1"/>
    <col min="11009" max="11010" width="12" bestFit="1" customWidth="1"/>
    <col min="11012" max="11013" width="15.54296875" bestFit="1" customWidth="1"/>
    <col min="11014" max="11014" width="17.81640625" customWidth="1"/>
    <col min="11265" max="11266" width="12" bestFit="1" customWidth="1"/>
    <col min="11268" max="11269" width="15.54296875" bestFit="1" customWidth="1"/>
    <col min="11270" max="11270" width="17.81640625" customWidth="1"/>
    <col min="11521" max="11522" width="12" bestFit="1" customWidth="1"/>
    <col min="11524" max="11525" width="15.54296875" bestFit="1" customWidth="1"/>
    <col min="11526" max="11526" width="17.81640625" customWidth="1"/>
    <col min="11777" max="11778" width="12" bestFit="1" customWidth="1"/>
    <col min="11780" max="11781" width="15.54296875" bestFit="1" customWidth="1"/>
    <col min="11782" max="11782" width="17.81640625" customWidth="1"/>
    <col min="12033" max="12034" width="12" bestFit="1" customWidth="1"/>
    <col min="12036" max="12037" width="15.54296875" bestFit="1" customWidth="1"/>
    <col min="12038" max="12038" width="17.81640625" customWidth="1"/>
    <col min="12289" max="12290" width="12" bestFit="1" customWidth="1"/>
    <col min="12292" max="12293" width="15.54296875" bestFit="1" customWidth="1"/>
    <col min="12294" max="12294" width="17.81640625" customWidth="1"/>
    <col min="12545" max="12546" width="12" bestFit="1" customWidth="1"/>
    <col min="12548" max="12549" width="15.54296875" bestFit="1" customWidth="1"/>
    <col min="12550" max="12550" width="17.81640625" customWidth="1"/>
    <col min="12801" max="12802" width="12" bestFit="1" customWidth="1"/>
    <col min="12804" max="12805" width="15.54296875" bestFit="1" customWidth="1"/>
    <col min="12806" max="12806" width="17.81640625" customWidth="1"/>
    <col min="13057" max="13058" width="12" bestFit="1" customWidth="1"/>
    <col min="13060" max="13061" width="15.54296875" bestFit="1" customWidth="1"/>
    <col min="13062" max="13062" width="17.81640625" customWidth="1"/>
    <col min="13313" max="13314" width="12" bestFit="1" customWidth="1"/>
    <col min="13316" max="13317" width="15.54296875" bestFit="1" customWidth="1"/>
    <col min="13318" max="13318" width="17.81640625" customWidth="1"/>
    <col min="13569" max="13570" width="12" bestFit="1" customWidth="1"/>
    <col min="13572" max="13573" width="15.54296875" bestFit="1" customWidth="1"/>
    <col min="13574" max="13574" width="17.81640625" customWidth="1"/>
    <col min="13825" max="13826" width="12" bestFit="1" customWidth="1"/>
    <col min="13828" max="13829" width="15.54296875" bestFit="1" customWidth="1"/>
    <col min="13830" max="13830" width="17.81640625" customWidth="1"/>
    <col min="14081" max="14082" width="12" bestFit="1" customWidth="1"/>
    <col min="14084" max="14085" width="15.54296875" bestFit="1" customWidth="1"/>
    <col min="14086" max="14086" width="17.81640625" customWidth="1"/>
    <col min="14337" max="14338" width="12" bestFit="1" customWidth="1"/>
    <col min="14340" max="14341" width="15.54296875" bestFit="1" customWidth="1"/>
    <col min="14342" max="14342" width="17.81640625" customWidth="1"/>
    <col min="14593" max="14594" width="12" bestFit="1" customWidth="1"/>
    <col min="14596" max="14597" width="15.54296875" bestFit="1" customWidth="1"/>
    <col min="14598" max="14598" width="17.81640625" customWidth="1"/>
    <col min="14849" max="14850" width="12" bestFit="1" customWidth="1"/>
    <col min="14852" max="14853" width="15.54296875" bestFit="1" customWidth="1"/>
    <col min="14854" max="14854" width="17.81640625" customWidth="1"/>
    <col min="15105" max="15106" width="12" bestFit="1" customWidth="1"/>
    <col min="15108" max="15109" width="15.54296875" bestFit="1" customWidth="1"/>
    <col min="15110" max="15110" width="17.81640625" customWidth="1"/>
    <col min="15361" max="15362" width="12" bestFit="1" customWidth="1"/>
    <col min="15364" max="15365" width="15.54296875" bestFit="1" customWidth="1"/>
    <col min="15366" max="15366" width="17.81640625" customWidth="1"/>
    <col min="15617" max="15618" width="12" bestFit="1" customWidth="1"/>
    <col min="15620" max="15621" width="15.54296875" bestFit="1" customWidth="1"/>
    <col min="15622" max="15622" width="17.81640625" customWidth="1"/>
    <col min="15873" max="15874" width="12" bestFit="1" customWidth="1"/>
    <col min="15876" max="15877" width="15.54296875" bestFit="1" customWidth="1"/>
    <col min="15878" max="15878" width="17.81640625" customWidth="1"/>
    <col min="16129" max="16130" width="12" bestFit="1" customWidth="1"/>
    <col min="16132" max="16133" width="15.54296875" bestFit="1" customWidth="1"/>
    <col min="16134" max="16134" width="17.81640625" customWidth="1"/>
  </cols>
  <sheetData>
    <row r="1" spans="1:5" x14ac:dyDescent="0.35">
      <c r="A1" s="64" t="s">
        <v>42</v>
      </c>
      <c r="B1" s="59">
        <v>42412</v>
      </c>
    </row>
    <row r="3" spans="1:5" x14ac:dyDescent="0.35">
      <c r="A3" s="94" t="s">
        <v>42</v>
      </c>
      <c r="B3" s="94"/>
      <c r="C3" s="94" t="s">
        <v>43</v>
      </c>
      <c r="D3" s="94"/>
      <c r="E3" s="63" t="s">
        <v>44</v>
      </c>
    </row>
    <row r="4" spans="1:5" x14ac:dyDescent="0.35">
      <c r="A4" s="63" t="s">
        <v>45</v>
      </c>
      <c r="B4" s="63" t="s">
        <v>46</v>
      </c>
      <c r="C4" s="63" t="s">
        <v>45</v>
      </c>
      <c r="D4" s="63" t="s">
        <v>46</v>
      </c>
      <c r="E4" s="63" t="s">
        <v>47</v>
      </c>
    </row>
    <row r="5" spans="1:5" x14ac:dyDescent="0.35">
      <c r="A5" s="35">
        <v>0</v>
      </c>
      <c r="B5" s="35">
        <v>250.22</v>
      </c>
      <c r="C5" s="66">
        <f t="shared" ref="C5:D9" si="0">A5*$B$1</f>
        <v>0</v>
      </c>
      <c r="D5" s="66">
        <f t="shared" si="0"/>
        <v>10612330.640000001</v>
      </c>
      <c r="E5" s="60" t="s">
        <v>48</v>
      </c>
    </row>
    <row r="6" spans="1:5" x14ac:dyDescent="0.35">
      <c r="A6" s="35">
        <v>250.22</v>
      </c>
      <c r="B6" s="35">
        <v>4404</v>
      </c>
      <c r="C6" s="66">
        <f t="shared" si="0"/>
        <v>10612330.640000001</v>
      </c>
      <c r="D6" s="66">
        <f t="shared" si="0"/>
        <v>186782448</v>
      </c>
      <c r="E6" s="61">
        <v>3.2500000000000001E-2</v>
      </c>
    </row>
    <row r="7" spans="1:5" x14ac:dyDescent="0.35">
      <c r="A7" s="35">
        <v>4404</v>
      </c>
      <c r="B7" s="35">
        <v>13237.03</v>
      </c>
      <c r="C7" s="66">
        <f t="shared" si="0"/>
        <v>186782448</v>
      </c>
      <c r="D7" s="66">
        <f t="shared" si="0"/>
        <v>561408916.36000001</v>
      </c>
      <c r="E7" s="61">
        <v>2.2499999999999999E-2</v>
      </c>
    </row>
    <row r="8" spans="1:5" x14ac:dyDescent="0.35">
      <c r="A8" s="35">
        <v>13237.03</v>
      </c>
      <c r="B8" s="35">
        <v>22070.07</v>
      </c>
      <c r="C8" s="66">
        <f t="shared" si="0"/>
        <v>561408916.36000001</v>
      </c>
      <c r="D8" s="66">
        <f t="shared" si="0"/>
        <v>936035808.84000003</v>
      </c>
      <c r="E8" s="62">
        <v>0.02</v>
      </c>
    </row>
    <row r="9" spans="1:5" x14ac:dyDescent="0.35">
      <c r="A9" s="35">
        <v>22070.07</v>
      </c>
      <c r="B9" s="35">
        <v>44140.13</v>
      </c>
      <c r="C9" s="66">
        <f t="shared" si="0"/>
        <v>936035808.84000003</v>
      </c>
      <c r="D9" s="66">
        <f t="shared" si="0"/>
        <v>1872071193.5599999</v>
      </c>
      <c r="E9" s="61">
        <v>1.7500000000000002E-2</v>
      </c>
    </row>
    <row r="10" spans="1:5" x14ac:dyDescent="0.35">
      <c r="A10" s="35">
        <v>44140.13</v>
      </c>
      <c r="B10" s="35"/>
      <c r="C10" s="66">
        <f>A10*$B$1</f>
        <v>1872071193.5599999</v>
      </c>
      <c r="D10" s="66"/>
      <c r="E10" s="61">
        <v>1.4999999999999999E-2</v>
      </c>
    </row>
  </sheetData>
  <mergeCells count="2">
    <mergeCell ref="A3:B3"/>
    <mergeCell ref="C3:D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1:AA59"/>
  <sheetViews>
    <sheetView workbookViewId="0">
      <selection activeCell="H18" sqref="H18"/>
    </sheetView>
  </sheetViews>
  <sheetFormatPr baseColWidth="10" defaultColWidth="11.453125" defaultRowHeight="14.5" x14ac:dyDescent="0.35"/>
  <cols>
    <col min="1" max="1" width="8.54296875" style="2" customWidth="1"/>
    <col min="2" max="2" width="53.1796875" style="2" customWidth="1"/>
    <col min="3" max="3" width="17.81640625" style="2" customWidth="1"/>
    <col min="4" max="4" width="23.1796875" style="2" customWidth="1"/>
    <col min="5" max="26" width="11.453125" style="2"/>
    <col min="27" max="27" width="2" style="2" hidden="1" customWidth="1"/>
    <col min="28" max="16384" width="11.453125" style="2"/>
  </cols>
  <sheetData>
    <row r="1" spans="1:27" ht="24" customHeight="1" x14ac:dyDescent="0.35">
      <c r="A1" s="1"/>
      <c r="B1" s="1"/>
      <c r="C1" s="1"/>
      <c r="D1" s="1"/>
      <c r="AA1" s="2">
        <v>1</v>
      </c>
    </row>
    <row r="2" spans="1:27" ht="19.5" customHeight="1" x14ac:dyDescent="0.35">
      <c r="A2" s="1"/>
      <c r="B2" s="1"/>
      <c r="C2" s="1"/>
      <c r="D2" s="1"/>
      <c r="AA2" s="2">
        <v>3</v>
      </c>
    </row>
    <row r="3" spans="1:27" x14ac:dyDescent="0.35">
      <c r="A3" s="1"/>
      <c r="B3" s="1"/>
      <c r="C3" s="1"/>
      <c r="D3" s="1"/>
      <c r="AA3" s="2">
        <v>5</v>
      </c>
    </row>
    <row r="4" spans="1:27" x14ac:dyDescent="0.35">
      <c r="A4" s="1"/>
      <c r="B4" s="1"/>
      <c r="C4" s="1"/>
      <c r="D4" s="1"/>
    </row>
    <row r="5" spans="1:27" x14ac:dyDescent="0.35">
      <c r="A5" s="1"/>
      <c r="B5" s="1"/>
      <c r="C5" s="1"/>
      <c r="D5" s="1"/>
    </row>
    <row r="6" spans="1:27" ht="21" x14ac:dyDescent="0.5">
      <c r="A6" s="79" t="s">
        <v>49</v>
      </c>
      <c r="B6" s="79"/>
      <c r="C6" s="79"/>
      <c r="D6" s="79"/>
    </row>
    <row r="7" spans="1:27" x14ac:dyDescent="0.35">
      <c r="A7" s="1"/>
      <c r="B7" s="1"/>
      <c r="C7" s="1"/>
      <c r="D7" s="1"/>
    </row>
    <row r="8" spans="1:27" x14ac:dyDescent="0.35">
      <c r="A8" s="1"/>
      <c r="B8" s="11" t="s">
        <v>29</v>
      </c>
      <c r="C8" s="1"/>
      <c r="D8" s="1"/>
    </row>
    <row r="9" spans="1:27" x14ac:dyDescent="0.35">
      <c r="A9" s="1"/>
      <c r="B9" s="1"/>
      <c r="C9" s="1"/>
      <c r="D9" s="1"/>
    </row>
    <row r="10" spans="1:27" x14ac:dyDescent="0.35">
      <c r="A10" s="1"/>
      <c r="B10" s="12" t="s">
        <v>72</v>
      </c>
      <c r="C10" s="5">
        <v>1160000</v>
      </c>
      <c r="D10" s="1"/>
    </row>
    <row r="11" spans="1:27" x14ac:dyDescent="0.35">
      <c r="B11" s="1" t="s">
        <v>6</v>
      </c>
      <c r="C11" s="9"/>
      <c r="D11" s="16" t="str">
        <f>+IF(AND(C11&gt;=1,C11&lt;=400*C10),"MENOR CUANTÍA",IF(C11&gt;400*C10,"MAYOR CUANTÍA",""))</f>
        <v/>
      </c>
    </row>
    <row r="12" spans="1:27" x14ac:dyDescent="0.35">
      <c r="B12" s="1"/>
      <c r="C12"/>
      <c r="D12" s="1"/>
    </row>
    <row r="13" spans="1:27" x14ac:dyDescent="0.35">
      <c r="B13" s="12" t="s">
        <v>50</v>
      </c>
      <c r="C13" s="4" t="str">
        <f>IF(C11="","",IF(AND(C11&gt;0,C11&lt;10*C10),(15*(C10/30))*1.19,C10*1.19))</f>
        <v/>
      </c>
      <c r="D13" s="1"/>
      <c r="K13" s="2" t="s">
        <v>51</v>
      </c>
    </row>
    <row r="14" spans="1:27" x14ac:dyDescent="0.35">
      <c r="B14" s="12"/>
      <c r="D14" s="1"/>
    </row>
    <row r="15" spans="1:27" ht="15" customHeight="1" x14ac:dyDescent="0.35">
      <c r="B15" s="26" t="s">
        <v>52</v>
      </c>
      <c r="C15" s="25" t="str">
        <f>IF(C11="","",IF(C11=0,0,IF(AND(C11&gt;0,C11&lt;10*C10),20*(C10/30),IF(AND(C11&gt;=10*C10,C11&lt;=176*C10),0.03*C11,IF(AND(C11&gt;176*C10,C11&lt;=529*C10),0.02*C11,IF(AND(C11&gt;529*C10,C11&lt;=882*C10),0.0175*C11,IF(AND(C11&gt;882*C10,C11&lt;=1764*C10),0.015*C11,0.0125*C11)))))))</f>
        <v/>
      </c>
      <c r="D15" s="97"/>
    </row>
    <row r="16" spans="1:27" x14ac:dyDescent="0.35">
      <c r="B16" s="1"/>
      <c r="C16"/>
      <c r="D16" s="97"/>
    </row>
    <row r="17" spans="2:5" x14ac:dyDescent="0.35">
      <c r="B17" s="1" t="s">
        <v>53</v>
      </c>
      <c r="C17" s="4" t="str">
        <f>IF(C11="","",(C15/2))</f>
        <v/>
      </c>
      <c r="D17" s="97"/>
    </row>
    <row r="18" spans="2:5" x14ac:dyDescent="0.35">
      <c r="B18" s="1"/>
      <c r="C18"/>
      <c r="D18" s="97"/>
    </row>
    <row r="19" spans="2:5" x14ac:dyDescent="0.35">
      <c r="B19" s="12" t="s">
        <v>36</v>
      </c>
      <c r="C19" s="5" t="str">
        <f>IF(C11="","",C17+C15)</f>
        <v/>
      </c>
      <c r="D19" s="97"/>
    </row>
    <row r="20" spans="2:5" x14ac:dyDescent="0.35">
      <c r="B20" s="1" t="s">
        <v>54</v>
      </c>
      <c r="C20" s="4" t="str">
        <f>IF(C11="","",C19*0.19)</f>
        <v/>
      </c>
      <c r="D20" s="97"/>
    </row>
    <row r="21" spans="2:5" x14ac:dyDescent="0.35">
      <c r="B21" s="1"/>
      <c r="C21" s="1"/>
      <c r="D21" s="97"/>
    </row>
    <row r="22" spans="2:5" x14ac:dyDescent="0.35">
      <c r="B22" s="12" t="s">
        <v>55</v>
      </c>
      <c r="C22" s="5" t="str">
        <f>IF(C11="","",C19+C20+C13)</f>
        <v/>
      </c>
      <c r="D22" s="97"/>
    </row>
    <row r="23" spans="2:5" x14ac:dyDescent="0.35">
      <c r="B23" s="1"/>
      <c r="C23" s="1"/>
      <c r="D23" s="1"/>
    </row>
    <row r="24" spans="2:5" x14ac:dyDescent="0.35">
      <c r="B24" s="1"/>
      <c r="C24" s="1"/>
      <c r="D24" s="1"/>
    </row>
    <row r="25" spans="2:5" x14ac:dyDescent="0.35">
      <c r="B25" s="1"/>
      <c r="C25" s="1"/>
      <c r="D25" s="1"/>
    </row>
    <row r="26" spans="2:5" ht="15.5" x14ac:dyDescent="0.35">
      <c r="B26" s="27" t="s">
        <v>40</v>
      </c>
      <c r="C26" s="1"/>
      <c r="D26" s="1"/>
    </row>
    <row r="27" spans="2:5" ht="99.75" customHeight="1" x14ac:dyDescent="0.45">
      <c r="B27" s="95" t="s">
        <v>56</v>
      </c>
      <c r="C27" s="95"/>
      <c r="D27" s="95"/>
      <c r="E27" s="95"/>
    </row>
    <row r="28" spans="2:5" ht="15.5" x14ac:dyDescent="0.35">
      <c r="B28" s="27"/>
      <c r="C28" s="1"/>
      <c r="D28" s="1"/>
    </row>
    <row r="29" spans="2:5" ht="15" customHeight="1" x14ac:dyDescent="0.35">
      <c r="B29" s="96" t="s">
        <v>57</v>
      </c>
      <c r="C29" s="96"/>
      <c r="D29" s="96"/>
    </row>
    <row r="30" spans="2:5" ht="15" customHeight="1" x14ac:dyDescent="0.35">
      <c r="B30" s="96"/>
      <c r="C30" s="96"/>
      <c r="D30" s="96"/>
    </row>
    <row r="31" spans="2:5" x14ac:dyDescent="0.35">
      <c r="B31" s="96"/>
      <c r="C31" s="96"/>
      <c r="D31" s="96"/>
    </row>
    <row r="32" spans="2:5" x14ac:dyDescent="0.35">
      <c r="B32" s="96"/>
      <c r="C32" s="96"/>
      <c r="D32" s="96"/>
    </row>
    <row r="33" spans="2:4" x14ac:dyDescent="0.35">
      <c r="B33" s="96"/>
      <c r="C33" s="96"/>
      <c r="D33" s="96"/>
    </row>
    <row r="34" spans="2:4" ht="15" customHeight="1" x14ac:dyDescent="0.35">
      <c r="B34" s="96"/>
      <c r="C34" s="96"/>
      <c r="D34" s="96"/>
    </row>
    <row r="35" spans="2:4" x14ac:dyDescent="0.35">
      <c r="B35" s="96"/>
      <c r="C35" s="96"/>
      <c r="D35" s="96"/>
    </row>
    <row r="36" spans="2:4" x14ac:dyDescent="0.35">
      <c r="B36" s="96"/>
      <c r="C36" s="96"/>
      <c r="D36" s="96"/>
    </row>
    <row r="37" spans="2:4" x14ac:dyDescent="0.35">
      <c r="B37" s="96"/>
      <c r="C37" s="96"/>
      <c r="D37" s="96"/>
    </row>
    <row r="38" spans="2:4" ht="15" customHeight="1" x14ac:dyDescent="0.35">
      <c r="B38" s="96"/>
      <c r="C38" s="96"/>
      <c r="D38" s="96"/>
    </row>
    <row r="39" spans="2:4" x14ac:dyDescent="0.35">
      <c r="B39" s="96"/>
      <c r="C39" s="96"/>
      <c r="D39" s="96"/>
    </row>
    <row r="40" spans="2:4" x14ac:dyDescent="0.35">
      <c r="B40" s="96"/>
      <c r="C40" s="96"/>
      <c r="D40" s="96"/>
    </row>
    <row r="41" spans="2:4" x14ac:dyDescent="0.35">
      <c r="B41" s="96"/>
      <c r="C41" s="96"/>
      <c r="D41" s="96"/>
    </row>
    <row r="42" spans="2:4" x14ac:dyDescent="0.35">
      <c r="B42" s="96"/>
      <c r="C42" s="96"/>
      <c r="D42" s="96"/>
    </row>
    <row r="43" spans="2:4" x14ac:dyDescent="0.35">
      <c r="B43" s="96"/>
      <c r="C43" s="96"/>
      <c r="D43" s="96"/>
    </row>
    <row r="44" spans="2:4" x14ac:dyDescent="0.35">
      <c r="B44" s="96"/>
      <c r="C44" s="96"/>
      <c r="D44" s="96"/>
    </row>
    <row r="45" spans="2:4" x14ac:dyDescent="0.35">
      <c r="B45" s="96"/>
      <c r="C45" s="96"/>
      <c r="D45" s="96"/>
    </row>
    <row r="46" spans="2:4" x14ac:dyDescent="0.35">
      <c r="B46" s="96"/>
      <c r="C46" s="96"/>
      <c r="D46" s="96"/>
    </row>
    <row r="47" spans="2:4" x14ac:dyDescent="0.35">
      <c r="B47" s="96"/>
      <c r="C47" s="96"/>
      <c r="D47" s="96"/>
    </row>
    <row r="48" spans="2:4" x14ac:dyDescent="0.35">
      <c r="B48" s="96"/>
      <c r="C48" s="96"/>
      <c r="D48" s="96"/>
    </row>
    <row r="49" spans="2:4" x14ac:dyDescent="0.35">
      <c r="B49" s="96"/>
      <c r="C49" s="96"/>
      <c r="D49" s="96"/>
    </row>
    <row r="50" spans="2:4" x14ac:dyDescent="0.35">
      <c r="B50" s="96"/>
      <c r="C50" s="96"/>
      <c r="D50" s="96"/>
    </row>
    <row r="51" spans="2:4" x14ac:dyDescent="0.35">
      <c r="B51" s="96"/>
      <c r="C51" s="96"/>
      <c r="D51" s="96"/>
    </row>
    <row r="52" spans="2:4" x14ac:dyDescent="0.35">
      <c r="B52" s="96"/>
      <c r="C52" s="96"/>
      <c r="D52" s="96"/>
    </row>
    <row r="53" spans="2:4" x14ac:dyDescent="0.35">
      <c r="B53" s="96"/>
      <c r="C53" s="96"/>
      <c r="D53" s="96"/>
    </row>
    <row r="54" spans="2:4" x14ac:dyDescent="0.35">
      <c r="B54" s="96"/>
      <c r="C54" s="96"/>
      <c r="D54" s="96"/>
    </row>
    <row r="55" spans="2:4" x14ac:dyDescent="0.35">
      <c r="B55" s="96"/>
      <c r="C55" s="96"/>
      <c r="D55" s="96"/>
    </row>
    <row r="56" spans="2:4" x14ac:dyDescent="0.35">
      <c r="B56" s="96"/>
      <c r="C56" s="96"/>
      <c r="D56" s="96"/>
    </row>
    <row r="57" spans="2:4" x14ac:dyDescent="0.35">
      <c r="B57" s="96"/>
      <c r="C57" s="96"/>
      <c r="D57" s="96"/>
    </row>
    <row r="58" spans="2:4" x14ac:dyDescent="0.35">
      <c r="B58" s="96"/>
      <c r="C58" s="96"/>
      <c r="D58" s="96"/>
    </row>
    <row r="59" spans="2:4" x14ac:dyDescent="0.35">
      <c r="B59" s="96"/>
      <c r="C59" s="96"/>
      <c r="D59" s="96"/>
    </row>
  </sheetData>
  <sheetProtection algorithmName="SHA-512" hashValue="GeIJtz5ERv2U7UE8wbYjTx7LY0PrJWRFLG/KcPIvc6meS+k6pp5Q3XUN5h1T9ZN+Z0U7Uddtu8ZFh0rEUegPNw==" saltValue="gKGcrewspemUx/6Zo/ARkA==" spinCount="100000" sheet="1" objects="1" scenarios="1"/>
  <mergeCells count="4">
    <mergeCell ref="B27:E27"/>
    <mergeCell ref="A6:D6"/>
    <mergeCell ref="B29:D59"/>
    <mergeCell ref="D15:D2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G16"/>
  <sheetViews>
    <sheetView workbookViewId="0">
      <selection activeCell="F40" sqref="F40"/>
    </sheetView>
  </sheetViews>
  <sheetFormatPr baseColWidth="10" defaultColWidth="11.453125" defaultRowHeight="14.5" x14ac:dyDescent="0.35"/>
  <cols>
    <col min="1" max="1" width="6.1796875" style="2" customWidth="1"/>
    <col min="2" max="2" width="33.81640625" style="2" customWidth="1"/>
    <col min="3" max="3" width="19.453125" style="2" customWidth="1"/>
    <col min="4" max="4" width="4.1796875" style="2" customWidth="1"/>
    <col min="5" max="5" width="23.7265625" style="2" customWidth="1"/>
    <col min="6" max="6" width="11.453125" style="2"/>
    <col min="7" max="7" width="13" style="2" bestFit="1" customWidth="1"/>
    <col min="8" max="10" width="11.453125" style="2"/>
    <col min="11" max="11" width="23.81640625" style="2" bestFit="1" customWidth="1"/>
    <col min="12" max="16384" width="11.453125" style="2"/>
  </cols>
  <sheetData>
    <row r="1" spans="2:7" ht="21.75" customHeight="1" x14ac:dyDescent="0.35"/>
    <row r="5" spans="2:7" ht="11.25" customHeight="1" x14ac:dyDescent="0.35"/>
    <row r="6" spans="2:7" ht="11.25" customHeight="1" x14ac:dyDescent="0.35"/>
    <row r="7" spans="2:7" x14ac:dyDescent="0.35">
      <c r="B7" s="78"/>
      <c r="C7" s="78"/>
    </row>
    <row r="8" spans="2:7" ht="21" x14ac:dyDescent="0.5">
      <c r="B8" s="30" t="s">
        <v>58</v>
      </c>
      <c r="C8" s="30"/>
      <c r="D8" s="30"/>
      <c r="E8" s="30"/>
    </row>
    <row r="9" spans="2:7" ht="15" customHeight="1" x14ac:dyDescent="0.45">
      <c r="B9" s="6"/>
      <c r="C9" s="6"/>
    </row>
    <row r="10" spans="2:7" x14ac:dyDescent="0.35">
      <c r="B10" s="11" t="s">
        <v>5</v>
      </c>
      <c r="F10" s="7"/>
    </row>
    <row r="11" spans="2:7" x14ac:dyDescent="0.35">
      <c r="B11" s="7"/>
      <c r="C11" s="8"/>
    </row>
    <row r="12" spans="2:7" x14ac:dyDescent="0.35">
      <c r="B12" s="1" t="s">
        <v>6</v>
      </c>
      <c r="C12" s="9"/>
      <c r="D12" s="10"/>
      <c r="E12" s="28"/>
      <c r="G12" s="15"/>
    </row>
    <row r="13" spans="2:7" x14ac:dyDescent="0.35">
      <c r="C13" s="8"/>
      <c r="G13" s="15"/>
    </row>
    <row r="14" spans="2:7" x14ac:dyDescent="0.35">
      <c r="B14" s="3" t="s">
        <v>59</v>
      </c>
      <c r="C14" s="5">
        <f>IF(C12="",0,IF(C12&lt;='TARIFAS INSOLVENCIA 2022'!E6,'TARIFAS INSOLVENCIA 2022'!F6,IF(C12&lt;='TARIFAS INSOLVENCIA 2022'!E7,'TARIFAS INSOLVENCIA 2022'!F7,IF(C12&lt;='TARIFAS INSOLVENCIA 2022'!E8,'TARIFAS INSOLVENCIA 2022'!F8,IF(C12&lt;='TARIFAS INSOLVENCIA 2022'!E9,'TARIFAS INSOLVENCIA 2022'!F9,IF(C12&lt;='TARIFAS INSOLVENCIA 2022'!E10,'TARIFAS INSOLVENCIA 2022'!F10,IF(C12&lt;='TARIFAS INSOLVENCIA 2022'!E11,'TARIFAS INSOLVENCIA 2022'!F11,IF(C12&lt;='TARIFAS INSOLVENCIA 2022'!E12,'TARIFAS INSOLVENCIA 2022'!F12,IF(C12&lt;='TARIFAS INSOLVENCIA 2022'!E13,'TARIFAS INSOLVENCIA 2022'!F13,IF(C12&lt;='TARIFAS INSOLVENCIA 2022'!E14,'TARIFAS INSOLVENCIA 2022'!F14,IF(C12&lt;='TARIFAS INSOLVENCIA 2022'!E15,'TARIFAS INSOLVENCIA 2022'!F15,IF(C12&lt;='TARIFAS INSOLVENCIA 2022'!E16,'TARIFAS INSOLVENCIA 2022'!F16,IF(C12&lt;='TARIFAS INSOLVENCIA 2022'!E17,'TARIFAS INSOLVENCIA 2022'!F17,IF(C12&lt;='TARIFAS INSOLVENCIA 2022'!E18,'TARIFAS INSOLVENCIA 2022'!F18,IF(C12&lt;='TARIFAS INSOLVENCIA 2022'!E19,'TARIFAS INSOLVENCIA 2022'!F19,IF(C12&lt;='TARIFAS INSOLVENCIA 2022'!E20,'TARIFAS INSOLVENCIA 2022'!F20,IF(C12&lt;='TARIFAS INSOLVENCIA 2022'!E21,'TARIFAS INSOLVENCIA 2022'!F21,'TARIFAS INSOLVENCIA 2022'!F22)))))))))))))))))</f>
        <v>0</v>
      </c>
      <c r="E14" s="29"/>
    </row>
    <row r="15" spans="2:7" x14ac:dyDescent="0.35">
      <c r="C15" s="8"/>
    </row>
    <row r="16" spans="2:7" x14ac:dyDescent="0.35">
      <c r="B16" s="3" t="s">
        <v>60</v>
      </c>
      <c r="C16" s="5">
        <f>+C14*1.19</f>
        <v>0</v>
      </c>
    </row>
  </sheetData>
  <sheetProtection algorithmName="SHA-512" hashValue="T6PDC0wo636BqiLq8oYUKi3Cjkn0BbO5507MR+PVZsl97BDJ1IzEuDctteGzYWzoI79t1kt8wYMtbMwTX25xjQ==" saltValue="GKD5CBFK8I7VmmCN2AM/Cg==" spinCount="100000" sheet="1" objects="1" scenarios="1"/>
  <mergeCells count="1">
    <mergeCell ref="B7:C7"/>
  </mergeCells>
  <pageMargins left="0.7" right="0.7" top="0.75" bottom="0.75" header="0.3" footer="0.3"/>
  <pageSetup scale="8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1E551-EE92-41A6-B091-638DC6F306FE}">
  <dimension ref="A1:G22"/>
  <sheetViews>
    <sheetView showGridLines="0" zoomScale="130" zoomScaleNormal="130" workbookViewId="0">
      <selection activeCell="F22" sqref="F22"/>
    </sheetView>
  </sheetViews>
  <sheetFormatPr baseColWidth="10" defaultColWidth="11.453125" defaultRowHeight="14.5" x14ac:dyDescent="0.35"/>
  <cols>
    <col min="1" max="1" width="13.54296875" bestFit="1" customWidth="1"/>
    <col min="2" max="2" width="13" bestFit="1" customWidth="1"/>
    <col min="3" max="3" width="16" customWidth="1"/>
    <col min="4" max="4" width="15.54296875" customWidth="1"/>
    <col min="5" max="5" width="14.54296875" customWidth="1"/>
    <col min="6" max="6" width="16.1796875" bestFit="1" customWidth="1"/>
    <col min="7" max="7" width="13.54296875" bestFit="1" customWidth="1"/>
    <col min="8" max="8" width="13" bestFit="1" customWidth="1"/>
    <col min="9" max="9" width="14" bestFit="1" customWidth="1"/>
  </cols>
  <sheetData>
    <row r="1" spans="1:6" x14ac:dyDescent="0.35">
      <c r="A1" s="64" t="s">
        <v>18</v>
      </c>
      <c r="B1" s="46">
        <v>38004</v>
      </c>
    </row>
    <row r="2" spans="1:6" x14ac:dyDescent="0.35">
      <c r="A2" s="42"/>
      <c r="B2" s="31"/>
    </row>
    <row r="3" spans="1:6" x14ac:dyDescent="0.35">
      <c r="A3" s="98" t="s">
        <v>61</v>
      </c>
      <c r="B3" s="99"/>
      <c r="C3" s="100"/>
      <c r="D3" s="99"/>
      <c r="E3" s="99"/>
      <c r="F3" s="99"/>
    </row>
    <row r="4" spans="1:6" x14ac:dyDescent="0.35">
      <c r="A4" s="101" t="s">
        <v>62</v>
      </c>
      <c r="B4" s="102"/>
      <c r="C4" s="107" t="s">
        <v>24</v>
      </c>
      <c r="D4" s="103" t="s">
        <v>63</v>
      </c>
      <c r="E4" s="104"/>
      <c r="F4" s="105" t="s">
        <v>25</v>
      </c>
    </row>
    <row r="5" spans="1:6" ht="16" customHeight="1" x14ac:dyDescent="0.35">
      <c r="A5" s="33" t="s">
        <v>22</v>
      </c>
      <c r="B5" s="33" t="s">
        <v>23</v>
      </c>
      <c r="C5" s="108"/>
      <c r="D5" s="45" t="s">
        <v>22</v>
      </c>
      <c r="E5" s="45" t="s">
        <v>23</v>
      </c>
      <c r="F5" s="106"/>
    </row>
    <row r="6" spans="1:6" x14ac:dyDescent="0.35">
      <c r="A6" s="35">
        <v>0</v>
      </c>
      <c r="B6" s="35">
        <v>25.02</v>
      </c>
      <c r="C6" s="55">
        <v>4.5</v>
      </c>
      <c r="D6" s="47">
        <f t="shared" ref="D6:D22" si="0">ROUND(A6*$B$1,0)</f>
        <v>0</v>
      </c>
      <c r="E6" s="47">
        <f t="shared" ref="E6:E21" si="1">ROUND(B6*$B$1,0)</f>
        <v>950860</v>
      </c>
      <c r="F6" s="56">
        <f>C6*$B$1</f>
        <v>171018</v>
      </c>
    </row>
    <row r="7" spans="1:6" x14ac:dyDescent="0.35">
      <c r="A7" s="35">
        <v>25.02</v>
      </c>
      <c r="B7" s="35">
        <v>250.23</v>
      </c>
      <c r="C7" s="55">
        <v>14.67515803290056</v>
      </c>
      <c r="D7" s="47">
        <f t="shared" si="0"/>
        <v>950860</v>
      </c>
      <c r="E7" s="47">
        <f t="shared" si="1"/>
        <v>9509741</v>
      </c>
      <c r="F7" s="56">
        <f>C7*$B$1</f>
        <v>557714.70588235289</v>
      </c>
    </row>
    <row r="8" spans="1:6" x14ac:dyDescent="0.35">
      <c r="A8" s="35">
        <v>250.23</v>
      </c>
      <c r="B8" s="35">
        <v>500.45</v>
      </c>
      <c r="C8" s="55">
        <v>17.143899282190493</v>
      </c>
      <c r="D8" s="47">
        <f t="shared" si="0"/>
        <v>9509741</v>
      </c>
      <c r="E8" s="47">
        <f t="shared" si="1"/>
        <v>19019102</v>
      </c>
      <c r="F8" s="56">
        <f t="shared" ref="F8:F22" si="2">C8*$B$1</f>
        <v>651536.74832036742</v>
      </c>
    </row>
    <row r="9" spans="1:6" x14ac:dyDescent="0.35">
      <c r="A9" s="35">
        <v>500.45</v>
      </c>
      <c r="B9" s="35">
        <v>1000.91</v>
      </c>
      <c r="C9" s="55">
        <v>27.430221823354358</v>
      </c>
      <c r="D9" s="47">
        <f t="shared" si="0"/>
        <v>19019102</v>
      </c>
      <c r="E9" s="47">
        <f t="shared" si="1"/>
        <v>38038584</v>
      </c>
      <c r="F9" s="56">
        <f t="shared" si="2"/>
        <v>1042458.1501747591</v>
      </c>
    </row>
    <row r="10" spans="1:6" x14ac:dyDescent="0.35">
      <c r="A10" s="35">
        <v>1000.91</v>
      </c>
      <c r="B10" s="35">
        <v>1501.36</v>
      </c>
      <c r="C10" s="55">
        <v>37.716565649706254</v>
      </c>
      <c r="D10" s="47">
        <f t="shared" si="0"/>
        <v>38038584</v>
      </c>
      <c r="E10" s="47">
        <f t="shared" si="1"/>
        <v>57057685</v>
      </c>
      <c r="F10" s="56">
        <f t="shared" si="2"/>
        <v>1433380.3609514365</v>
      </c>
    </row>
    <row r="11" spans="1:6" x14ac:dyDescent="0.35">
      <c r="A11" s="35">
        <v>1501.36</v>
      </c>
      <c r="B11" s="35">
        <v>2001.82</v>
      </c>
      <c r="C11" s="55">
        <v>51.598568571729288</v>
      </c>
      <c r="D11" s="47">
        <f t="shared" si="0"/>
        <v>57057685</v>
      </c>
      <c r="E11" s="47">
        <f t="shared" si="1"/>
        <v>76077167</v>
      </c>
      <c r="F11" s="56">
        <f t="shared" si="2"/>
        <v>1960951.9999999998</v>
      </c>
    </row>
    <row r="12" spans="1:6" x14ac:dyDescent="0.35">
      <c r="A12" s="35">
        <v>2001.82</v>
      </c>
      <c r="B12" s="35">
        <v>2502.27</v>
      </c>
      <c r="C12" s="55">
        <v>68.618124934459999</v>
      </c>
      <c r="D12" s="47">
        <f t="shared" si="0"/>
        <v>76077167</v>
      </c>
      <c r="E12" s="47">
        <f t="shared" si="1"/>
        <v>95096269</v>
      </c>
      <c r="F12" s="56">
        <f t="shared" si="2"/>
        <v>2607763.220009218</v>
      </c>
    </row>
    <row r="13" spans="1:6" x14ac:dyDescent="0.35">
      <c r="A13" s="35">
        <v>2502.27</v>
      </c>
      <c r="B13" s="35">
        <v>3002.73</v>
      </c>
      <c r="C13" s="55">
        <v>78.862324088498525</v>
      </c>
      <c r="D13" s="47">
        <f t="shared" si="0"/>
        <v>95096269</v>
      </c>
      <c r="E13" s="47">
        <f t="shared" si="1"/>
        <v>114115751</v>
      </c>
      <c r="F13" s="56">
        <f t="shared" si="2"/>
        <v>2997083.7646592981</v>
      </c>
    </row>
    <row r="14" spans="1:6" x14ac:dyDescent="0.35">
      <c r="A14" s="57">
        <v>3002.73</v>
      </c>
      <c r="B14" s="57">
        <v>3503.18</v>
      </c>
      <c r="C14" s="55">
        <v>91.569308493842755</v>
      </c>
      <c r="D14" s="47">
        <f t="shared" si="0"/>
        <v>114115751</v>
      </c>
      <c r="E14" s="47">
        <f t="shared" si="1"/>
        <v>133134853</v>
      </c>
      <c r="F14" s="56">
        <f t="shared" si="2"/>
        <v>3480000</v>
      </c>
    </row>
    <row r="15" spans="1:6" x14ac:dyDescent="0.35">
      <c r="A15" s="57">
        <v>3503.18</v>
      </c>
      <c r="B15" s="57">
        <v>4003.64</v>
      </c>
      <c r="C15" s="55">
        <v>106.54141669297968</v>
      </c>
      <c r="D15" s="47">
        <f t="shared" si="0"/>
        <v>133134853</v>
      </c>
      <c r="E15" s="47">
        <f t="shared" si="1"/>
        <v>152154335</v>
      </c>
      <c r="F15" s="56">
        <f t="shared" si="2"/>
        <v>4049000</v>
      </c>
    </row>
    <row r="16" spans="1:6" x14ac:dyDescent="0.35">
      <c r="A16" s="35">
        <v>4003.64</v>
      </c>
      <c r="B16" s="35">
        <v>4504.09</v>
      </c>
      <c r="C16" s="55">
        <v>121.48721187243449</v>
      </c>
      <c r="D16" s="47">
        <f t="shared" si="0"/>
        <v>152154335</v>
      </c>
      <c r="E16" s="47">
        <f t="shared" si="1"/>
        <v>171173436</v>
      </c>
      <c r="F16" s="56">
        <f t="shared" si="2"/>
        <v>4617000</v>
      </c>
    </row>
    <row r="17" spans="1:7" x14ac:dyDescent="0.35">
      <c r="A17" s="35">
        <v>4504.09</v>
      </c>
      <c r="B17" s="55">
        <v>5005</v>
      </c>
      <c r="C17" s="55">
        <v>141.30091569308493</v>
      </c>
      <c r="D17" s="47">
        <f t="shared" si="0"/>
        <v>171173436</v>
      </c>
      <c r="E17" s="58">
        <f t="shared" si="1"/>
        <v>190210020</v>
      </c>
      <c r="F17" s="56">
        <f t="shared" si="2"/>
        <v>5370000</v>
      </c>
    </row>
    <row r="18" spans="1:7" x14ac:dyDescent="0.35">
      <c r="A18" s="55">
        <v>5005</v>
      </c>
      <c r="B18" s="35">
        <v>6005.46</v>
      </c>
      <c r="C18" s="55">
        <v>171.43888639596474</v>
      </c>
      <c r="D18" s="47">
        <f t="shared" si="0"/>
        <v>190210020</v>
      </c>
      <c r="E18" s="47">
        <f t="shared" si="1"/>
        <v>228231502</v>
      </c>
      <c r="F18" s="56">
        <f t="shared" si="2"/>
        <v>6515363.4385922439</v>
      </c>
    </row>
    <row r="19" spans="1:7" x14ac:dyDescent="0.35">
      <c r="A19" s="35">
        <v>6005.46</v>
      </c>
      <c r="B19" s="35">
        <v>6505.91</v>
      </c>
      <c r="C19" s="55">
        <v>181.4282707083465</v>
      </c>
      <c r="D19" s="47">
        <f t="shared" si="0"/>
        <v>228231502</v>
      </c>
      <c r="E19" s="47">
        <f t="shared" si="1"/>
        <v>247250604</v>
      </c>
      <c r="F19" s="56">
        <f t="shared" si="2"/>
        <v>6895000.0000000009</v>
      </c>
    </row>
    <row r="20" spans="1:7" x14ac:dyDescent="0.35">
      <c r="A20" s="35">
        <v>6505.91</v>
      </c>
      <c r="B20" s="35">
        <v>7006.37</v>
      </c>
      <c r="C20" s="55">
        <v>191.42721818755919</v>
      </c>
      <c r="D20" s="47">
        <f t="shared" si="0"/>
        <v>247250604</v>
      </c>
      <c r="E20" s="47">
        <f t="shared" si="1"/>
        <v>266270085</v>
      </c>
      <c r="F20" s="56">
        <f t="shared" si="2"/>
        <v>7274999.9999999991</v>
      </c>
    </row>
    <row r="21" spans="1:7" x14ac:dyDescent="0.35">
      <c r="A21" s="35">
        <v>7006.37</v>
      </c>
      <c r="B21" s="35">
        <v>7506.82</v>
      </c>
      <c r="C21" s="55">
        <v>202.30215362743979</v>
      </c>
      <c r="D21" s="47">
        <f t="shared" si="0"/>
        <v>266270085</v>
      </c>
      <c r="E21" s="47">
        <f t="shared" si="1"/>
        <v>285289187</v>
      </c>
      <c r="F21" s="56">
        <f t="shared" si="2"/>
        <v>7688291.0464572217</v>
      </c>
    </row>
    <row r="22" spans="1:7" x14ac:dyDescent="0.35">
      <c r="A22" s="35">
        <v>7506.82</v>
      </c>
      <c r="B22" s="35" t="s">
        <v>26</v>
      </c>
      <c r="C22" s="55">
        <v>206.55720450478896</v>
      </c>
      <c r="D22" s="47">
        <f t="shared" si="0"/>
        <v>285289187</v>
      </c>
      <c r="E22" s="47" t="s">
        <v>26</v>
      </c>
      <c r="F22" s="56">
        <f t="shared" si="2"/>
        <v>7849999.9999999991</v>
      </c>
      <c r="G22" t="s">
        <v>64</v>
      </c>
    </row>
  </sheetData>
  <mergeCells count="5">
    <mergeCell ref="A3:F3"/>
    <mergeCell ref="A4:B4"/>
    <mergeCell ref="D4:E4"/>
    <mergeCell ref="F4:F5"/>
    <mergeCell ref="C4:C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pageSetUpPr fitToPage="1"/>
  </sheetPr>
  <dimension ref="B1:K21"/>
  <sheetViews>
    <sheetView zoomScaleNormal="100" workbookViewId="0">
      <selection activeCell="I18" sqref="I18"/>
    </sheetView>
  </sheetViews>
  <sheetFormatPr baseColWidth="10" defaultColWidth="11.453125" defaultRowHeight="14.5" x14ac:dyDescent="0.35"/>
  <cols>
    <col min="1" max="1" width="6.1796875" style="2" customWidth="1"/>
    <col min="2" max="2" width="33.81640625" style="2" customWidth="1"/>
    <col min="3" max="3" width="19.453125" style="2" customWidth="1"/>
    <col min="4" max="4" width="4.1796875" style="2" customWidth="1"/>
    <col min="5" max="5" width="23.7265625" style="2" customWidth="1"/>
    <col min="6" max="6" width="11.453125" style="2"/>
    <col min="7" max="7" width="13" style="2" bestFit="1" customWidth="1"/>
    <col min="8" max="10" width="11.453125" style="2"/>
    <col min="11" max="11" width="23.81640625" style="2" bestFit="1" customWidth="1"/>
    <col min="12" max="16384" width="11.453125" style="2"/>
  </cols>
  <sheetData>
    <row r="1" spans="2:7" ht="21.75" customHeight="1" x14ac:dyDescent="0.35"/>
    <row r="5" spans="2:7" ht="11.25" customHeight="1" x14ac:dyDescent="0.35"/>
    <row r="6" spans="2:7" ht="11.25" customHeight="1" x14ac:dyDescent="0.35"/>
    <row r="7" spans="2:7" x14ac:dyDescent="0.35">
      <c r="B7" s="78"/>
      <c r="C7" s="78"/>
    </row>
    <row r="8" spans="2:7" ht="21" x14ac:dyDescent="0.5">
      <c r="B8" s="79" t="s">
        <v>4</v>
      </c>
      <c r="C8" s="79"/>
      <c r="D8" s="79"/>
      <c r="E8" s="79"/>
    </row>
    <row r="9" spans="2:7" ht="15" customHeight="1" x14ac:dyDescent="0.45">
      <c r="B9" s="6"/>
      <c r="C9" s="6"/>
    </row>
    <row r="10" spans="2:7" x14ac:dyDescent="0.35">
      <c r="B10" s="11" t="s">
        <v>5</v>
      </c>
      <c r="F10" s="7"/>
    </row>
    <row r="11" spans="2:7" x14ac:dyDescent="0.35">
      <c r="B11" s="7"/>
      <c r="C11" s="8"/>
    </row>
    <row r="12" spans="2:7" x14ac:dyDescent="0.35">
      <c r="B12" s="1" t="s">
        <v>65</v>
      </c>
      <c r="C12" s="9"/>
      <c r="D12" s="10"/>
    </row>
    <row r="13" spans="2:7" x14ac:dyDescent="0.35">
      <c r="C13" s="8"/>
      <c r="G13" s="15"/>
    </row>
    <row r="14" spans="2:7" x14ac:dyDescent="0.35">
      <c r="B14" s="12" t="s">
        <v>9</v>
      </c>
      <c r="C14" s="36">
        <f>IF(C12="",0,IF(C12&lt;=100000000,1000000,IF(AND(C12&gt;100000000,C12&lt;=15000000000),C12*0.01,IF(C12&gt;15000000000,150000000,0))))</f>
        <v>0</v>
      </c>
      <c r="G14" s="15"/>
    </row>
    <row r="15" spans="2:7" x14ac:dyDescent="0.35">
      <c r="B15" s="1"/>
      <c r="C15"/>
    </row>
    <row r="16" spans="2:7" ht="29" x14ac:dyDescent="0.35">
      <c r="B16" s="21" t="s">
        <v>66</v>
      </c>
      <c r="C16" s="22">
        <f>C14*0.4</f>
        <v>0</v>
      </c>
      <c r="D16" s="23"/>
    </row>
    <row r="17" spans="2:11" ht="29" x14ac:dyDescent="0.35">
      <c r="B17" s="21" t="s">
        <v>67</v>
      </c>
      <c r="C17" s="22">
        <f>C14*0.5</f>
        <v>0</v>
      </c>
      <c r="D17" s="23"/>
    </row>
    <row r="18" spans="2:11" ht="42" x14ac:dyDescent="0.35">
      <c r="B18" s="21" t="s">
        <v>68</v>
      </c>
      <c r="C18" s="22">
        <f>C14*0.1</f>
        <v>0</v>
      </c>
      <c r="D18" s="23"/>
    </row>
    <row r="19" spans="2:11" x14ac:dyDescent="0.35">
      <c r="B19" s="1" t="s">
        <v>12</v>
      </c>
      <c r="C19" s="4">
        <f>+C14*0.19</f>
        <v>0</v>
      </c>
      <c r="K19" s="24"/>
    </row>
    <row r="20" spans="2:11" x14ac:dyDescent="0.35">
      <c r="B20" s="1"/>
      <c r="C20"/>
    </row>
    <row r="21" spans="2:11" x14ac:dyDescent="0.35">
      <c r="B21" s="12" t="s">
        <v>13</v>
      </c>
      <c r="C21" s="5">
        <f>+C16+C17+C18+C19</f>
        <v>0</v>
      </c>
      <c r="D21" s="3"/>
    </row>
  </sheetData>
  <sheetProtection algorithmName="SHA-512" hashValue="113afof/qJuh4T/xzQHZJsc/vP2pa/AzLtgO3uq1BnTdlZziw1iSKmXR8NokOoas+coYiO2BXc/NFo9GWfLhKw==" saltValue="Yd/Ehwo0ObgQfiULdtKngw==" spinCount="100000" sheet="1" objects="1" scenarios="1"/>
  <mergeCells count="2">
    <mergeCell ref="B7:C7"/>
    <mergeCell ref="B8:E8"/>
  </mergeCells>
  <pageMargins left="0.7" right="0.7" top="0.75" bottom="0.75" header="0.3" footer="0.3"/>
  <pageSetup scale="8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CALCULADORA TARIFAS</vt:lpstr>
      <vt:lpstr>Conciliación</vt:lpstr>
      <vt:lpstr>TARIFAS CONCILIACION</vt:lpstr>
      <vt:lpstr>Arbitraje</vt:lpstr>
      <vt:lpstr>TARIFA ARBITRAJE</vt:lpstr>
      <vt:lpstr>Amigable Composición</vt:lpstr>
      <vt:lpstr>Insolvencia PN no CTE</vt:lpstr>
      <vt:lpstr>TARIFAS INSOLVENCIA 2022</vt:lpstr>
      <vt:lpstr>Recuperación Empresarial – PRES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cvasquezg</dc:creator>
  <cp:keywords/>
  <dc:description/>
  <cp:lastModifiedBy>SANTIAGO JOSE GALEANO CADAVID</cp:lastModifiedBy>
  <cp:revision/>
  <dcterms:created xsi:type="dcterms:W3CDTF">2013-09-27T13:47:09Z</dcterms:created>
  <dcterms:modified xsi:type="dcterms:W3CDTF">2023-01-30T20:16:59Z</dcterms:modified>
  <cp:category/>
  <cp:contentStatus/>
</cp:coreProperties>
</file>