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goryfaris/Git Project Folder/HSHS Project/docs/"/>
    </mc:Choice>
  </mc:AlternateContent>
  <xr:revisionPtr revIDLastSave="0" documentId="13_ncr:1_{EF464A82-8FDF-3C46-9134-E9488FB567AC}" xr6:coauthVersionLast="47" xr6:coauthVersionMax="47" xr10:uidLastSave="{00000000-0000-0000-0000-000000000000}"/>
  <bookViews>
    <workbookView xWindow="9660" yWindow="5220" windowWidth="28740" windowHeight="14260" xr2:uid="{2276FAC4-3C6F-D341-9D10-57DD5D43D22A}"/>
  </bookViews>
  <sheets>
    <sheet name="Sheet1" sheetId="1" r:id="rId1"/>
    <sheet name="5788798-1 Connector Calcs" sheetId="2" r:id="rId2"/>
    <sheet name="5788000-1 Connector Calcs" sheetId="4" r:id="rId3"/>
    <sheet name="5788794_1 Connector Calc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5" i="5"/>
  <c r="E15" i="5"/>
  <c r="F15" i="5"/>
  <c r="K2" i="5"/>
  <c r="C11" i="5"/>
  <c r="B11" i="5"/>
  <c r="O7" i="5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C7" i="5"/>
  <c r="O6" i="5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D6" i="5"/>
  <c r="E6" i="5" s="1"/>
  <c r="F6" i="5" s="1"/>
  <c r="G6" i="5" s="1"/>
  <c r="H6" i="5" s="1"/>
  <c r="C6" i="5"/>
  <c r="H15" i="5"/>
  <c r="C54" i="1"/>
  <c r="F7" i="1"/>
  <c r="C8" i="1"/>
  <c r="K17" i="2"/>
  <c r="K16" i="2"/>
  <c r="B11" i="2"/>
  <c r="B7" i="2"/>
  <c r="J7" i="2"/>
  <c r="C7" i="2"/>
  <c r="D7" i="2" s="1"/>
  <c r="E7" i="2" s="1"/>
  <c r="F7" i="2" s="1"/>
  <c r="G7" i="2" s="1"/>
  <c r="H7" i="2" s="1"/>
  <c r="I7" i="2" s="1"/>
  <c r="G15" i="2"/>
  <c r="F15" i="2"/>
  <c r="E15" i="2"/>
  <c r="G16" i="2"/>
  <c r="F16" i="2"/>
  <c r="E16" i="2"/>
  <c r="D16" i="2"/>
  <c r="D15" i="2"/>
  <c r="C15" i="2"/>
  <c r="B16" i="2"/>
  <c r="B15" i="2"/>
  <c r="C11" i="4"/>
  <c r="B10" i="4"/>
  <c r="B11" i="4"/>
  <c r="D15" i="4"/>
  <c r="E15" i="4"/>
  <c r="G15" i="4"/>
  <c r="C15" i="4"/>
  <c r="H15" i="4" s="1"/>
  <c r="H14" i="4"/>
  <c r="G14" i="4"/>
  <c r="F14" i="4"/>
  <c r="F15" i="4"/>
  <c r="E14" i="4"/>
  <c r="O6" i="4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O7" i="4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K2" i="4"/>
  <c r="K2" i="2"/>
  <c r="F23" i="1"/>
  <c r="F21" i="1"/>
  <c r="F19" i="1"/>
  <c r="B6" i="2"/>
  <c r="C6" i="2" s="1"/>
  <c r="D6" i="2" s="1"/>
  <c r="E6" i="2" s="1"/>
  <c r="F6" i="2" s="1"/>
  <c r="G6" i="2" s="1"/>
  <c r="H6" i="2" s="1"/>
  <c r="J6" i="2"/>
  <c r="K6" i="2" s="1"/>
  <c r="L6" i="2" s="1"/>
  <c r="M6" i="2" s="1"/>
  <c r="N6" i="2" s="1"/>
  <c r="O6" i="2" s="1"/>
  <c r="P6" i="2" s="1"/>
  <c r="K7" i="2"/>
  <c r="L7" i="2" s="1"/>
  <c r="M7" i="2" s="1"/>
  <c r="N7" i="2" s="1"/>
  <c r="O7" i="2" s="1"/>
  <c r="P7" i="2" s="1"/>
  <c r="C11" i="2"/>
  <c r="C10" i="2"/>
  <c r="B10" i="2"/>
  <c r="B48" i="1"/>
  <c r="B49" i="1"/>
  <c r="B47" i="1"/>
  <c r="D49" i="1"/>
  <c r="E49" i="1" s="1"/>
  <c r="D48" i="1"/>
  <c r="E48" i="1" s="1"/>
  <c r="D47" i="1"/>
  <c r="E47" i="1" s="1"/>
  <c r="C46" i="1"/>
  <c r="D46" i="1" s="1"/>
  <c r="E46" i="1" s="1"/>
  <c r="C45" i="1"/>
  <c r="D45" i="1" s="1"/>
  <c r="E45" i="1" s="1"/>
  <c r="C44" i="1"/>
  <c r="D44" i="1" s="1"/>
  <c r="E44" i="1" s="1"/>
  <c r="C42" i="1"/>
  <c r="D42" i="1" s="1"/>
  <c r="E42" i="1" s="1"/>
  <c r="C43" i="1"/>
  <c r="D43" i="1" s="1"/>
  <c r="E43" i="1" s="1"/>
  <c r="C41" i="1"/>
  <c r="D41" i="1" s="1"/>
  <c r="E41" i="1" s="1"/>
  <c r="D35" i="1"/>
  <c r="D34" i="1"/>
  <c r="B28" i="1"/>
  <c r="D28" i="1" s="1"/>
  <c r="D24" i="1"/>
  <c r="F24" i="1" s="1"/>
  <c r="D23" i="1"/>
  <c r="D20" i="1"/>
  <c r="F20" i="1" s="1"/>
  <c r="D21" i="1"/>
  <c r="D19" i="1"/>
  <c r="D13" i="1"/>
  <c r="C3" i="1"/>
  <c r="A7" i="1"/>
  <c r="C7" i="1" s="1"/>
  <c r="A6" i="1"/>
  <c r="C6" i="1" s="1"/>
  <c r="A5" i="1"/>
  <c r="C5" i="1" s="1"/>
  <c r="A4" i="1"/>
  <c r="C4" i="1" s="1"/>
  <c r="I6" i="5" l="1"/>
  <c r="J6" i="5" s="1"/>
  <c r="K6" i="5" s="1"/>
  <c r="L6" i="5" s="1"/>
  <c r="M6" i="5" s="1"/>
  <c r="N6" i="5" s="1"/>
  <c r="B14" i="5"/>
  <c r="D15" i="5"/>
  <c r="I6" i="2"/>
  <c r="B14" i="4"/>
  <c r="G15" i="5" l="1"/>
  <c r="B10" i="5"/>
  <c r="C10" i="5"/>
  <c r="D14" i="5"/>
  <c r="C14" i="5"/>
  <c r="C10" i="4"/>
  <c r="D14" i="4"/>
  <c r="C14" i="4"/>
  <c r="E14" i="5" l="1"/>
  <c r="F14" i="5" s="1"/>
  <c r="G14" i="5"/>
  <c r="H14" i="5" s="1"/>
</calcChain>
</file>

<file path=xl/sharedStrings.xml><?xml version="1.0" encoding="utf-8"?>
<sst xmlns="http://schemas.openxmlformats.org/spreadsheetml/2006/main" count="127" uniqueCount="73">
  <si>
    <t>Low Pass Filters</t>
  </si>
  <si>
    <t>R</t>
  </si>
  <si>
    <t>C</t>
  </si>
  <si>
    <t>Thermistor time constants</t>
  </si>
  <si>
    <t>Laser monitor</t>
  </si>
  <si>
    <t>TEC monitor</t>
  </si>
  <si>
    <t>Laser gate</t>
  </si>
  <si>
    <t>TEC gate</t>
  </si>
  <si>
    <t>RC (ms)</t>
  </si>
  <si>
    <t>Resistor Divider</t>
  </si>
  <si>
    <t>R1</t>
  </si>
  <si>
    <t>R2</t>
  </si>
  <si>
    <t>Output (V)</t>
  </si>
  <si>
    <t>Input (V)</t>
  </si>
  <si>
    <t>LED Currents</t>
  </si>
  <si>
    <t>Supply (V)</t>
  </si>
  <si>
    <t>LED Voltage (V)</t>
  </si>
  <si>
    <t>Rseries</t>
  </si>
  <si>
    <t>Current (mA)</t>
  </si>
  <si>
    <t>Soft start turn on time</t>
  </si>
  <si>
    <t>Css (F)</t>
  </si>
  <si>
    <t>Vref (V)</t>
  </si>
  <si>
    <t>Iss (A)</t>
  </si>
  <si>
    <t>Ramp Time (ms)</t>
  </si>
  <si>
    <t>Output Voltage</t>
  </si>
  <si>
    <t>VFB</t>
  </si>
  <si>
    <t>Vout</t>
  </si>
  <si>
    <t>TPSM82902 buck converter module</t>
  </si>
  <si>
    <t>Blue LED</t>
  </si>
  <si>
    <t>Green LED</t>
  </si>
  <si>
    <t>Yellow LED</t>
  </si>
  <si>
    <t>Red LED</t>
  </si>
  <si>
    <t>Fan and TED on indicator</t>
  </si>
  <si>
    <t>+3.3 and clock/TTL indicator</t>
  </si>
  <si>
    <t>Laser on indicator</t>
  </si>
  <si>
    <t>+12V indicator</t>
  </si>
  <si>
    <t>Clock/Sync and TTL conversions from ASI MS-2000 (5V)  to Teensy (3.3V)</t>
  </si>
  <si>
    <t>Power (W)</t>
  </si>
  <si>
    <t>Supply</t>
  </si>
  <si>
    <t>Resistors to test function</t>
  </si>
  <si>
    <t>Current (A)</t>
  </si>
  <si>
    <t>V into 0.1 Ohm</t>
  </si>
  <si>
    <t>Resistor for Laser and TEC Load Testing</t>
  </si>
  <si>
    <t>Pin Gap X (mm)</t>
  </si>
  <si>
    <t>Pin Gap Y (mm)</t>
  </si>
  <si>
    <t>Y Offset (mm)</t>
  </si>
  <si>
    <t>Lock Hole Diam (mm)</t>
  </si>
  <si>
    <t>Pin Hole Diam (mm)</t>
  </si>
  <si>
    <t>Pin Positions</t>
  </si>
  <si>
    <t>X</t>
  </si>
  <si>
    <t>Y</t>
  </si>
  <si>
    <t>Hole Positions</t>
  </si>
  <si>
    <t>Numbers from datasheet:</t>
  </si>
  <si>
    <t>ENG_CD_5788798_A1.pdf</t>
  </si>
  <si>
    <t>No red LED at 3.3 V</t>
  </si>
  <si>
    <t>lv (mcd) at 10 mA</t>
  </si>
  <si>
    <t>Intensity (AU)</t>
  </si>
  <si>
    <t>Indicates good power failed on TPSM82902</t>
  </si>
  <si>
    <t>Height B (mm)</t>
  </si>
  <si>
    <t>Height C (mm)</t>
  </si>
  <si>
    <t>Footprint coordinates centered on connector in X and between top and bottom in Y (7.67 mm above pins 9 to 15)</t>
  </si>
  <si>
    <t>Lock Hole Spacing X (mm)</t>
  </si>
  <si>
    <t>Height A (mm)</t>
  </si>
  <si>
    <t>ENG_CD_5788801_O.pdf</t>
  </si>
  <si>
    <t>Footprint coordinates centered on pin 1</t>
  </si>
  <si>
    <t>Connector Center</t>
  </si>
  <si>
    <t>Width B (mm)</t>
  </si>
  <si>
    <t>Width A (mm)</t>
  </si>
  <si>
    <t>Hall Sensor</t>
  </si>
  <si>
    <t>Hall sensor output</t>
  </si>
  <si>
    <t>V/A</t>
  </si>
  <si>
    <t>A</t>
  </si>
  <si>
    <t>V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</si>
</sst>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5BCC-FE50-074A-9B4C-57E5DEB7957D}">
  <dimension ref="A1:J54"/>
  <sheetViews>
    <sheetView tabSelected="1" workbookViewId="0">
      <selection activeCell="F6" sqref="F6"/>
    </sheetView>
  </sheetViews>
  <sheetFormatPr baseColWidth="10" defaultRowHeight="16" x14ac:dyDescent="0.2"/>
  <cols>
    <col min="1" max="4" width="14.5" customWidth="1"/>
    <col min="6" max="6" width="12.1640625" bestFit="1" customWidth="1"/>
  </cols>
  <sheetData>
    <row r="1" spans="1:6" x14ac:dyDescent="0.2">
      <c r="A1" s="9" t="s">
        <v>0</v>
      </c>
      <c r="B1" s="9"/>
      <c r="C1" s="9"/>
      <c r="D1" s="9"/>
    </row>
    <row r="2" spans="1:6" x14ac:dyDescent="0.2">
      <c r="A2" s="2" t="s">
        <v>1</v>
      </c>
      <c r="B2" s="2" t="s">
        <v>2</v>
      </c>
      <c r="C2" s="2" t="s">
        <v>8</v>
      </c>
    </row>
    <row r="3" spans="1:6" x14ac:dyDescent="0.2">
      <c r="A3" s="2">
        <v>10000</v>
      </c>
      <c r="B3" s="3">
        <v>9.9999999999999995E-7</v>
      </c>
      <c r="C3" s="4">
        <f>A3*B3*1000</f>
        <v>10</v>
      </c>
      <c r="D3" t="s">
        <v>3</v>
      </c>
    </row>
    <row r="4" spans="1:6" x14ac:dyDescent="0.2">
      <c r="A4" s="2">
        <f>10000/4</f>
        <v>2500</v>
      </c>
      <c r="B4" s="3">
        <v>9.9999999999999995E-7</v>
      </c>
      <c r="C4" s="4">
        <f t="shared" ref="C4:C8" si="0">A4*B4*1000</f>
        <v>2.5</v>
      </c>
      <c r="D4" t="s">
        <v>4</v>
      </c>
    </row>
    <row r="5" spans="1:6" x14ac:dyDescent="0.2">
      <c r="A5" s="2">
        <f>10000/4</f>
        <v>2500</v>
      </c>
      <c r="B5" s="3">
        <v>9.9999999999999995E-7</v>
      </c>
      <c r="C5" s="4">
        <f t="shared" si="0"/>
        <v>2.5</v>
      </c>
      <c r="D5" t="s">
        <v>5</v>
      </c>
    </row>
    <row r="6" spans="1:6" x14ac:dyDescent="0.2">
      <c r="A6" s="2">
        <f>10000/2</f>
        <v>5000</v>
      </c>
      <c r="B6" s="3">
        <v>1E-8</v>
      </c>
      <c r="C6" s="5">
        <f t="shared" si="0"/>
        <v>0.05</v>
      </c>
      <c r="D6" t="s">
        <v>6</v>
      </c>
    </row>
    <row r="7" spans="1:6" x14ac:dyDescent="0.2">
      <c r="A7" s="2">
        <f>10000/2</f>
        <v>5000</v>
      </c>
      <c r="B7" s="3">
        <v>1E-8</v>
      </c>
      <c r="C7" s="5">
        <f t="shared" si="0"/>
        <v>0.05</v>
      </c>
      <c r="D7" t="s">
        <v>7</v>
      </c>
      <c r="F7">
        <f>0.00005/1800</f>
        <v>2.7777777777777781E-8</v>
      </c>
    </row>
    <row r="8" spans="1:6" x14ac:dyDescent="0.2">
      <c r="A8" s="2">
        <v>1800</v>
      </c>
      <c r="B8" s="3">
        <v>3.2999999999999998E-8</v>
      </c>
      <c r="C8" s="5">
        <f t="shared" si="0"/>
        <v>5.9399999999999994E-2</v>
      </c>
      <c r="D8" t="s">
        <v>68</v>
      </c>
    </row>
    <row r="9" spans="1:6" x14ac:dyDescent="0.2">
      <c r="A9" s="2">
        <v>1800</v>
      </c>
      <c r="B9" s="3">
        <v>1E-8</v>
      </c>
      <c r="C9" s="5">
        <f t="shared" ref="C9" si="1">A9*B9*1000</f>
        <v>1.8000000000000002E-2</v>
      </c>
      <c r="D9" t="s">
        <v>68</v>
      </c>
    </row>
    <row r="11" spans="1:6" x14ac:dyDescent="0.2">
      <c r="A11" s="9" t="s">
        <v>9</v>
      </c>
      <c r="B11" s="9"/>
      <c r="C11" s="9"/>
      <c r="D11" s="9"/>
    </row>
    <row r="12" spans="1:6" x14ac:dyDescent="0.2">
      <c r="A12" s="1" t="s">
        <v>10</v>
      </c>
      <c r="B12" s="1" t="s">
        <v>11</v>
      </c>
      <c r="C12" s="1" t="s">
        <v>13</v>
      </c>
      <c r="D12" s="1" t="s">
        <v>12</v>
      </c>
    </row>
    <row r="13" spans="1:6" x14ac:dyDescent="0.2">
      <c r="A13" s="3">
        <v>500</v>
      </c>
      <c r="B13" s="3">
        <v>1000</v>
      </c>
      <c r="C13" s="2">
        <v>5</v>
      </c>
      <c r="D13" s="4">
        <f>B13/(A13+B13)*C13</f>
        <v>3.333333333333333</v>
      </c>
      <c r="E13" t="s">
        <v>36</v>
      </c>
    </row>
    <row r="17" spans="1:10" x14ac:dyDescent="0.2">
      <c r="A17" s="9" t="s">
        <v>14</v>
      </c>
      <c r="B17" s="9"/>
      <c r="C17" s="9"/>
      <c r="D17" s="9"/>
    </row>
    <row r="18" spans="1:10" x14ac:dyDescent="0.2">
      <c r="A18" s="1" t="s">
        <v>15</v>
      </c>
      <c r="B18" s="1" t="s">
        <v>16</v>
      </c>
      <c r="C18" s="1" t="s">
        <v>17</v>
      </c>
      <c r="D18" s="1" t="s">
        <v>18</v>
      </c>
      <c r="E18" s="1" t="s">
        <v>55</v>
      </c>
      <c r="F18" s="1" t="s">
        <v>56</v>
      </c>
      <c r="G18" s="1"/>
      <c r="H18" s="1"/>
    </row>
    <row r="19" spans="1:10" x14ac:dyDescent="0.2">
      <c r="A19" s="2">
        <v>3.3</v>
      </c>
      <c r="B19" s="2">
        <v>3</v>
      </c>
      <c r="C19" s="2">
        <v>500</v>
      </c>
      <c r="D19" s="4">
        <f>(A19-B19)/C19*1000</f>
        <v>0.59999999999999964</v>
      </c>
      <c r="E19" s="4">
        <v>120</v>
      </c>
      <c r="F19" s="4">
        <f>E19*D19</f>
        <v>71.999999999999957</v>
      </c>
      <c r="G19" s="4"/>
      <c r="H19" s="4"/>
      <c r="I19" t="s">
        <v>28</v>
      </c>
      <c r="J19" t="s">
        <v>32</v>
      </c>
    </row>
    <row r="20" spans="1:10" x14ac:dyDescent="0.2">
      <c r="A20" s="2">
        <v>3.3</v>
      </c>
      <c r="B20" s="2">
        <v>3</v>
      </c>
      <c r="C20" s="2">
        <v>1000</v>
      </c>
      <c r="D20" s="4">
        <f t="shared" ref="D20:D24" si="2">(A20-B20)/C20*1000</f>
        <v>0.29999999999999982</v>
      </c>
      <c r="E20" s="4">
        <v>700</v>
      </c>
      <c r="F20" s="4">
        <f t="shared" ref="F20:F24" si="3">E20*D20</f>
        <v>209.99999999999989</v>
      </c>
      <c r="G20" s="4"/>
      <c r="H20" s="4"/>
      <c r="I20" t="s">
        <v>29</v>
      </c>
      <c r="J20" s="6" t="s">
        <v>33</v>
      </c>
    </row>
    <row r="21" spans="1:10" x14ac:dyDescent="0.2">
      <c r="A21" s="2">
        <v>3.3</v>
      </c>
      <c r="B21" s="2">
        <v>2</v>
      </c>
      <c r="C21" s="2">
        <v>500</v>
      </c>
      <c r="D21" s="4">
        <f t="shared" si="2"/>
        <v>2.5999999999999996</v>
      </c>
      <c r="E21" s="4">
        <v>240</v>
      </c>
      <c r="F21" s="4">
        <f t="shared" si="3"/>
        <v>623.99999999999989</v>
      </c>
      <c r="G21" s="4"/>
      <c r="H21" s="4"/>
      <c r="I21" t="s">
        <v>30</v>
      </c>
      <c r="J21" t="s">
        <v>34</v>
      </c>
    </row>
    <row r="22" spans="1:10" x14ac:dyDescent="0.2">
      <c r="A22" s="2">
        <v>3.3</v>
      </c>
      <c r="B22" s="2">
        <v>1.95</v>
      </c>
      <c r="C22" s="2"/>
      <c r="D22" s="4"/>
      <c r="E22" s="4"/>
      <c r="F22" s="4"/>
      <c r="G22" s="4"/>
      <c r="H22" s="4"/>
      <c r="I22" t="s">
        <v>54</v>
      </c>
    </row>
    <row r="23" spans="1:10" x14ac:dyDescent="0.2">
      <c r="A23" s="2">
        <v>12</v>
      </c>
      <c r="B23" s="2">
        <v>1.95</v>
      </c>
      <c r="C23" s="2">
        <v>15000</v>
      </c>
      <c r="D23" s="4">
        <f t="shared" si="2"/>
        <v>0.67</v>
      </c>
      <c r="E23" s="4">
        <v>480</v>
      </c>
      <c r="F23" s="4">
        <f t="shared" si="3"/>
        <v>321.60000000000002</v>
      </c>
      <c r="G23" s="4"/>
      <c r="H23" s="4"/>
      <c r="I23" t="s">
        <v>31</v>
      </c>
      <c r="J23" t="s">
        <v>57</v>
      </c>
    </row>
    <row r="24" spans="1:10" x14ac:dyDescent="0.2">
      <c r="A24" s="2">
        <v>12</v>
      </c>
      <c r="B24" s="2">
        <v>3</v>
      </c>
      <c r="C24" s="2">
        <v>25000</v>
      </c>
      <c r="D24" s="4">
        <f t="shared" si="2"/>
        <v>0.36000000000000004</v>
      </c>
      <c r="E24" s="4">
        <v>700</v>
      </c>
      <c r="F24" s="4">
        <f t="shared" si="3"/>
        <v>252.00000000000003</v>
      </c>
      <c r="G24" s="4"/>
      <c r="H24" s="4"/>
      <c r="I24" t="s">
        <v>29</v>
      </c>
      <c r="J24" s="6" t="s">
        <v>35</v>
      </c>
    </row>
    <row r="26" spans="1:10" x14ac:dyDescent="0.2">
      <c r="A26" s="9" t="s">
        <v>19</v>
      </c>
      <c r="B26" s="9"/>
      <c r="C26" s="9"/>
      <c r="D26" s="9"/>
    </row>
    <row r="27" spans="1:10" x14ac:dyDescent="0.2">
      <c r="A27" s="1" t="s">
        <v>20</v>
      </c>
      <c r="B27" s="1" t="s">
        <v>21</v>
      </c>
      <c r="C27" s="1" t="s">
        <v>22</v>
      </c>
      <c r="D27" s="1" t="s">
        <v>23</v>
      </c>
    </row>
    <row r="28" spans="1:10" x14ac:dyDescent="0.2">
      <c r="A28" s="3">
        <v>1E-8</v>
      </c>
      <c r="B28" s="2">
        <f>0.6/0.75</f>
        <v>0.79999999999999993</v>
      </c>
      <c r="C28" s="3">
        <v>2.5000000000000002E-6</v>
      </c>
      <c r="D28" s="4">
        <f>A28*B28/C28*1000</f>
        <v>3.1999999999999993</v>
      </c>
      <c r="E28" t="s">
        <v>27</v>
      </c>
    </row>
    <row r="32" spans="1:10" x14ac:dyDescent="0.2">
      <c r="A32" s="9" t="s">
        <v>24</v>
      </c>
      <c r="B32" s="9"/>
      <c r="C32" s="9"/>
      <c r="D32" s="9"/>
    </row>
    <row r="33" spans="1:6" x14ac:dyDescent="0.2">
      <c r="A33" s="1" t="s">
        <v>10</v>
      </c>
      <c r="B33" s="1" t="s">
        <v>11</v>
      </c>
      <c r="C33" s="1" t="s">
        <v>25</v>
      </c>
      <c r="D33" s="1" t="s">
        <v>26</v>
      </c>
    </row>
    <row r="34" spans="1:6" x14ac:dyDescent="0.2">
      <c r="A34" s="2">
        <v>24900</v>
      </c>
      <c r="B34" s="2">
        <v>15000</v>
      </c>
      <c r="C34" s="2">
        <v>0.6</v>
      </c>
      <c r="D34" s="2">
        <f>C34*(A34+B34)/B34</f>
        <v>1.5960000000000001</v>
      </c>
      <c r="E34" t="s">
        <v>27</v>
      </c>
    </row>
    <row r="35" spans="1:6" x14ac:dyDescent="0.2">
      <c r="A35" s="2">
        <v>124900</v>
      </c>
      <c r="B35" s="2">
        <v>15000</v>
      </c>
      <c r="C35" s="2">
        <v>0.6</v>
      </c>
      <c r="D35" s="2">
        <f>C35*(A35+B35)/B35</f>
        <v>5.5960000000000001</v>
      </c>
      <c r="E35" t="s">
        <v>27</v>
      </c>
    </row>
    <row r="36" spans="1:6" x14ac:dyDescent="0.2">
      <c r="A36" s="2"/>
      <c r="B36" s="2"/>
      <c r="C36" s="2"/>
      <c r="D36" s="2"/>
    </row>
    <row r="37" spans="1:6" x14ac:dyDescent="0.2">
      <c r="A37" s="2"/>
      <c r="B37" s="2"/>
      <c r="C37" s="2"/>
      <c r="D37" s="2"/>
    </row>
    <row r="39" spans="1:6" x14ac:dyDescent="0.2">
      <c r="A39" s="9" t="s">
        <v>42</v>
      </c>
      <c r="B39" s="9"/>
      <c r="C39" s="9"/>
      <c r="D39" s="9"/>
    </row>
    <row r="40" spans="1:6" x14ac:dyDescent="0.2">
      <c r="A40" t="s">
        <v>38</v>
      </c>
      <c r="B40" t="s">
        <v>37</v>
      </c>
      <c r="C40" t="s">
        <v>1</v>
      </c>
      <c r="D40" t="s">
        <v>40</v>
      </c>
      <c r="E40" t="s">
        <v>41</v>
      </c>
      <c r="F40" t="s">
        <v>39</v>
      </c>
    </row>
    <row r="41" spans="1:6" x14ac:dyDescent="0.2">
      <c r="A41">
        <v>12</v>
      </c>
      <c r="B41">
        <v>1</v>
      </c>
      <c r="C41">
        <f>A41^2/B41</f>
        <v>144</v>
      </c>
      <c r="D41">
        <f>A41/C41</f>
        <v>8.3333333333333329E-2</v>
      </c>
      <c r="E41">
        <f>D41*0.1</f>
        <v>8.3333333333333332E-3</v>
      </c>
    </row>
    <row r="42" spans="1:6" x14ac:dyDescent="0.2">
      <c r="A42">
        <v>5.5</v>
      </c>
      <c r="B42">
        <v>1</v>
      </c>
      <c r="C42">
        <f t="shared" ref="C42:C43" si="4">A42^2/B42</f>
        <v>30.25</v>
      </c>
      <c r="D42">
        <f t="shared" ref="D42:D43" si="5">A42/C42</f>
        <v>0.18181818181818182</v>
      </c>
      <c r="E42">
        <f t="shared" ref="E42:E49" si="6">D42*0.1</f>
        <v>1.8181818181818184E-2</v>
      </c>
    </row>
    <row r="43" spans="1:6" x14ac:dyDescent="0.2">
      <c r="A43">
        <v>2</v>
      </c>
      <c r="B43">
        <v>1</v>
      </c>
      <c r="C43">
        <f t="shared" si="4"/>
        <v>4</v>
      </c>
      <c r="D43">
        <f t="shared" si="5"/>
        <v>0.5</v>
      </c>
      <c r="E43">
        <f t="shared" si="6"/>
        <v>0.05</v>
      </c>
    </row>
    <row r="44" spans="1:6" x14ac:dyDescent="0.2">
      <c r="A44">
        <v>12</v>
      </c>
      <c r="B44">
        <v>0.25</v>
      </c>
      <c r="C44">
        <f>A44^2/B44</f>
        <v>576</v>
      </c>
      <c r="D44">
        <f>A44/C44</f>
        <v>2.0833333333333332E-2</v>
      </c>
      <c r="E44">
        <f t="shared" si="6"/>
        <v>2.0833333333333333E-3</v>
      </c>
    </row>
    <row r="45" spans="1:6" x14ac:dyDescent="0.2">
      <c r="A45">
        <v>5.5</v>
      </c>
      <c r="B45">
        <v>0.25</v>
      </c>
      <c r="C45">
        <f t="shared" ref="C45:C46" si="7">A45^2/B45</f>
        <v>121</v>
      </c>
      <c r="D45">
        <f t="shared" ref="D45:D46" si="8">A45/C45</f>
        <v>4.5454545454545456E-2</v>
      </c>
      <c r="E45">
        <f t="shared" si="6"/>
        <v>4.5454545454545461E-3</v>
      </c>
    </row>
    <row r="46" spans="1:6" x14ac:dyDescent="0.2">
      <c r="A46">
        <v>2</v>
      </c>
      <c r="B46">
        <v>0.25</v>
      </c>
      <c r="C46">
        <f t="shared" si="7"/>
        <v>16</v>
      </c>
      <c r="D46">
        <f t="shared" si="8"/>
        <v>0.125</v>
      </c>
      <c r="E46">
        <f t="shared" si="6"/>
        <v>1.2500000000000001E-2</v>
      </c>
    </row>
    <row r="47" spans="1:6" x14ac:dyDescent="0.2">
      <c r="A47">
        <v>12</v>
      </c>
      <c r="B47">
        <f>A47^2/C47</f>
        <v>36</v>
      </c>
      <c r="C47">
        <v>4</v>
      </c>
      <c r="D47">
        <f>A47/C47</f>
        <v>3</v>
      </c>
      <c r="E47">
        <f t="shared" si="6"/>
        <v>0.30000000000000004</v>
      </c>
    </row>
    <row r="48" spans="1:6" x14ac:dyDescent="0.2">
      <c r="A48">
        <v>5.5</v>
      </c>
      <c r="B48">
        <f t="shared" ref="B48:B49" si="9">A48^2/C48</f>
        <v>7.5625</v>
      </c>
      <c r="C48">
        <v>4</v>
      </c>
      <c r="D48">
        <f t="shared" ref="D48:D49" si="10">A48/C48</f>
        <v>1.375</v>
      </c>
      <c r="E48">
        <f t="shared" si="6"/>
        <v>0.13750000000000001</v>
      </c>
    </row>
    <row r="49" spans="1:5" x14ac:dyDescent="0.2">
      <c r="A49">
        <v>2</v>
      </c>
      <c r="B49">
        <f t="shared" si="9"/>
        <v>1</v>
      </c>
      <c r="C49">
        <v>4</v>
      </c>
      <c r="D49">
        <f t="shared" si="10"/>
        <v>0.5</v>
      </c>
      <c r="E49">
        <f t="shared" si="6"/>
        <v>0.05</v>
      </c>
    </row>
    <row r="52" spans="1:5" x14ac:dyDescent="0.2">
      <c r="A52" t="s">
        <v>69</v>
      </c>
    </row>
    <row r="53" spans="1:5" x14ac:dyDescent="0.2">
      <c r="A53" t="s">
        <v>71</v>
      </c>
      <c r="B53" t="s">
        <v>70</v>
      </c>
      <c r="C53" t="s">
        <v>72</v>
      </c>
    </row>
    <row r="54" spans="1:5" x14ac:dyDescent="0.2">
      <c r="A54">
        <v>10</v>
      </c>
      <c r="B54">
        <v>0.26400000000000001</v>
      </c>
      <c r="C54">
        <f>A54*B54</f>
        <v>2.64</v>
      </c>
    </row>
  </sheetData>
  <mergeCells count="6">
    <mergeCell ref="A39:D39"/>
    <mergeCell ref="A1:D1"/>
    <mergeCell ref="A11:D11"/>
    <mergeCell ref="A17:D17"/>
    <mergeCell ref="A26:D26"/>
    <mergeCell ref="A32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F7EB-DAA0-4941-AD74-A3828EE6BE05}">
  <dimension ref="A1:P22"/>
  <sheetViews>
    <sheetView workbookViewId="0">
      <selection activeCell="K14" sqref="K14"/>
    </sheetView>
  </sheetViews>
  <sheetFormatPr baseColWidth="10" defaultRowHeight="16" x14ac:dyDescent="0.2"/>
  <sheetData>
    <row r="1" spans="1:16" ht="51" x14ac:dyDescent="0.2">
      <c r="A1" s="7" t="s">
        <v>43</v>
      </c>
      <c r="B1" s="7" t="s">
        <v>44</v>
      </c>
      <c r="C1" s="7" t="s">
        <v>61</v>
      </c>
      <c r="D1" s="7" t="s">
        <v>46</v>
      </c>
      <c r="E1" s="7" t="s">
        <v>47</v>
      </c>
      <c r="F1" s="7" t="s">
        <v>45</v>
      </c>
      <c r="G1" s="7" t="s">
        <v>67</v>
      </c>
      <c r="H1" s="7" t="s">
        <v>66</v>
      </c>
      <c r="I1" s="7" t="s">
        <v>62</v>
      </c>
      <c r="J1" s="7" t="s">
        <v>58</v>
      </c>
      <c r="K1" s="7" t="s">
        <v>59</v>
      </c>
    </row>
    <row r="2" spans="1:16" x14ac:dyDescent="0.2">
      <c r="A2">
        <v>2.7431999999999999</v>
      </c>
      <c r="B2">
        <v>2.84</v>
      </c>
      <c r="C2">
        <v>33.32</v>
      </c>
      <c r="D2">
        <v>3.18</v>
      </c>
      <c r="E2">
        <v>1.04</v>
      </c>
      <c r="F2" s="8">
        <v>7.67</v>
      </c>
      <c r="G2">
        <v>39.14</v>
      </c>
      <c r="H2">
        <v>24.66</v>
      </c>
      <c r="I2">
        <v>18.8</v>
      </c>
      <c r="J2">
        <v>6.17</v>
      </c>
      <c r="K2">
        <f>I2-J2</f>
        <v>12.63</v>
      </c>
    </row>
    <row r="5" spans="1:16" x14ac:dyDescent="0.2">
      <c r="A5" t="s">
        <v>48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6" x14ac:dyDescent="0.2">
      <c r="A6" t="s">
        <v>49</v>
      </c>
      <c r="B6">
        <f>-$A$2*3.5</f>
        <v>-9.6011999999999986</v>
      </c>
      <c r="C6">
        <f>B6+$A$2</f>
        <v>-6.8579999999999988</v>
      </c>
      <c r="D6">
        <f t="shared" ref="D6:I6" si="0">C6+$A$2</f>
        <v>-4.1147999999999989</v>
      </c>
      <c r="E6">
        <f t="shared" si="0"/>
        <v>-1.371599999999999</v>
      </c>
      <c r="F6">
        <f t="shared" si="0"/>
        <v>1.3716000000000008</v>
      </c>
      <c r="G6">
        <f t="shared" si="0"/>
        <v>4.1148000000000007</v>
      </c>
      <c r="H6">
        <f t="shared" si="0"/>
        <v>6.8580000000000005</v>
      </c>
      <c r="I6">
        <f t="shared" si="0"/>
        <v>9.6012000000000004</v>
      </c>
      <c r="J6">
        <f>-$A$2*3</f>
        <v>-8.2295999999999996</v>
      </c>
      <c r="K6">
        <f>J6+$A$2</f>
        <v>-5.4863999999999997</v>
      </c>
      <c r="L6">
        <f t="shared" ref="L6:P6" si="1">K6+$A$2</f>
        <v>-2.7431999999999999</v>
      </c>
      <c r="M6">
        <f t="shared" si="1"/>
        <v>0</v>
      </c>
      <c r="N6">
        <f t="shared" si="1"/>
        <v>2.7431999999999999</v>
      </c>
      <c r="O6">
        <f t="shared" si="1"/>
        <v>5.4863999999999997</v>
      </c>
      <c r="P6">
        <f t="shared" si="1"/>
        <v>8.2295999999999996</v>
      </c>
    </row>
    <row r="7" spans="1:16" x14ac:dyDescent="0.2">
      <c r="A7" t="s">
        <v>50</v>
      </c>
      <c r="B7">
        <f>$F$2+$B$2</f>
        <v>10.51</v>
      </c>
      <c r="C7">
        <f>B7</f>
        <v>10.51</v>
      </c>
      <c r="D7">
        <f t="shared" ref="D7:I7" si="2">C7</f>
        <v>10.51</v>
      </c>
      <c r="E7">
        <f t="shared" si="2"/>
        <v>10.51</v>
      </c>
      <c r="F7">
        <f t="shared" si="2"/>
        <v>10.51</v>
      </c>
      <c r="G7">
        <f t="shared" si="2"/>
        <v>10.51</v>
      </c>
      <c r="H7">
        <f t="shared" si="2"/>
        <v>10.51</v>
      </c>
      <c r="I7">
        <f t="shared" si="2"/>
        <v>10.51</v>
      </c>
      <c r="J7">
        <f>$F$2</f>
        <v>7.67</v>
      </c>
      <c r="K7">
        <f>J7</f>
        <v>7.67</v>
      </c>
      <c r="L7">
        <f t="shared" ref="L7:P7" si="3">K7</f>
        <v>7.67</v>
      </c>
      <c r="M7">
        <f t="shared" si="3"/>
        <v>7.67</v>
      </c>
      <c r="N7">
        <f t="shared" si="3"/>
        <v>7.67</v>
      </c>
      <c r="O7">
        <f t="shared" si="3"/>
        <v>7.67</v>
      </c>
      <c r="P7">
        <f t="shared" si="3"/>
        <v>7.67</v>
      </c>
    </row>
    <row r="9" spans="1:16" x14ac:dyDescent="0.2">
      <c r="A9" t="s">
        <v>51</v>
      </c>
    </row>
    <row r="10" spans="1:16" x14ac:dyDescent="0.2">
      <c r="A10" t="s">
        <v>49</v>
      </c>
      <c r="B10">
        <f>-$C$2/2</f>
        <v>-16.66</v>
      </c>
      <c r="C10">
        <f>$C$2/2</f>
        <v>16.66</v>
      </c>
    </row>
    <row r="11" spans="1:16" x14ac:dyDescent="0.2">
      <c r="A11" t="s">
        <v>50</v>
      </c>
      <c r="B11">
        <f>$F$2+$B$2/2</f>
        <v>9.09</v>
      </c>
      <c r="C11">
        <f>$F$2</f>
        <v>7.67</v>
      </c>
    </row>
    <row r="14" spans="1:16" x14ac:dyDescent="0.2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K14">
        <v>7.67</v>
      </c>
    </row>
    <row r="15" spans="1:16" x14ac:dyDescent="0.2">
      <c r="A15" t="s">
        <v>49</v>
      </c>
      <c r="B15">
        <f>-$G$2/2</f>
        <v>-19.57</v>
      </c>
      <c r="C15">
        <f>B15</f>
        <v>-19.57</v>
      </c>
      <c r="D15">
        <f>-$H$2/2</f>
        <v>-12.33</v>
      </c>
      <c r="E15">
        <f>D15+$H$2</f>
        <v>12.33</v>
      </c>
      <c r="F15">
        <f>C15+$G$2</f>
        <v>19.57</v>
      </c>
      <c r="G15">
        <f>F15</f>
        <v>19.57</v>
      </c>
      <c r="K15">
        <v>2.84</v>
      </c>
    </row>
    <row r="16" spans="1:16" x14ac:dyDescent="0.2">
      <c r="A16" t="s">
        <v>50</v>
      </c>
      <c r="B16">
        <f>$K$2</f>
        <v>12.63</v>
      </c>
      <c r="C16">
        <v>0</v>
      </c>
      <c r="D16">
        <f>-$J$2</f>
        <v>-6.17</v>
      </c>
      <c r="E16">
        <f>D16</f>
        <v>-6.17</v>
      </c>
      <c r="F16">
        <f>C16</f>
        <v>0</v>
      </c>
      <c r="G16">
        <f>B16</f>
        <v>12.63</v>
      </c>
      <c r="K16">
        <f>K14+K15</f>
        <v>10.51</v>
      </c>
    </row>
    <row r="17" spans="1:11" x14ac:dyDescent="0.2">
      <c r="K17">
        <f>K14+K15/2</f>
        <v>9.09</v>
      </c>
    </row>
    <row r="20" spans="1:11" x14ac:dyDescent="0.2">
      <c r="A20" t="s">
        <v>52</v>
      </c>
    </row>
    <row r="21" spans="1:11" x14ac:dyDescent="0.2">
      <c r="A21" t="s">
        <v>53</v>
      </c>
    </row>
    <row r="22" spans="1:11" x14ac:dyDescent="0.2">
      <c r="A2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C1FF-59E7-7147-951E-39E0468305E0}">
  <dimension ref="A1:Z23"/>
  <sheetViews>
    <sheetView workbookViewId="0">
      <selection activeCell="I20" sqref="A1:XFD1048576"/>
    </sheetView>
  </sheetViews>
  <sheetFormatPr baseColWidth="10" defaultRowHeight="16" x14ac:dyDescent="0.2"/>
  <sheetData>
    <row r="1" spans="1:26" ht="51" x14ac:dyDescent="0.2">
      <c r="A1" s="7" t="s">
        <v>43</v>
      </c>
      <c r="B1" s="7" t="s">
        <v>44</v>
      </c>
      <c r="C1" s="7" t="s">
        <v>61</v>
      </c>
      <c r="D1" s="7" t="s">
        <v>46</v>
      </c>
      <c r="E1" s="7" t="s">
        <v>47</v>
      </c>
      <c r="F1" s="7" t="s">
        <v>45</v>
      </c>
      <c r="G1" s="7" t="s">
        <v>67</v>
      </c>
      <c r="H1" s="7" t="s">
        <v>66</v>
      </c>
      <c r="I1" s="7" t="s">
        <v>62</v>
      </c>
      <c r="J1" s="7" t="s">
        <v>58</v>
      </c>
      <c r="K1" s="7" t="s">
        <v>59</v>
      </c>
    </row>
    <row r="2" spans="1:26" x14ac:dyDescent="0.2">
      <c r="A2">
        <v>2.7610000000000001</v>
      </c>
      <c r="B2">
        <v>2.84</v>
      </c>
      <c r="C2">
        <v>47.04</v>
      </c>
      <c r="D2">
        <v>3.18</v>
      </c>
      <c r="E2">
        <v>1.04</v>
      </c>
      <c r="F2">
        <v>7.67</v>
      </c>
      <c r="G2">
        <v>53.03</v>
      </c>
      <c r="H2">
        <v>38.35</v>
      </c>
      <c r="I2">
        <v>18.8</v>
      </c>
      <c r="J2">
        <v>6.17</v>
      </c>
      <c r="K2">
        <f>I2-J2</f>
        <v>12.63</v>
      </c>
    </row>
    <row r="5" spans="1:26" x14ac:dyDescent="0.2">
      <c r="A5" t="s">
        <v>48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</row>
    <row r="6" spans="1:26" x14ac:dyDescent="0.2">
      <c r="A6" t="s">
        <v>49</v>
      </c>
      <c r="B6">
        <v>0</v>
      </c>
      <c r="C6">
        <f>B6+$A$2</f>
        <v>2.7610000000000001</v>
      </c>
      <c r="D6">
        <f t="shared" ref="D6:I6" si="0">C6+$A$2</f>
        <v>5.5220000000000002</v>
      </c>
      <c r="E6">
        <f t="shared" si="0"/>
        <v>8.2830000000000013</v>
      </c>
      <c r="F6">
        <f t="shared" si="0"/>
        <v>11.044</v>
      </c>
      <c r="G6">
        <f t="shared" si="0"/>
        <v>13.805</v>
      </c>
      <c r="H6">
        <f t="shared" si="0"/>
        <v>16.565999999999999</v>
      </c>
      <c r="I6">
        <f t="shared" si="0"/>
        <v>19.326999999999998</v>
      </c>
      <c r="J6">
        <f t="shared" ref="J6" si="1">I6+$A$2</f>
        <v>22.087999999999997</v>
      </c>
      <c r="K6">
        <f t="shared" ref="K6" si="2">J6+$A$2</f>
        <v>24.848999999999997</v>
      </c>
      <c r="L6">
        <f t="shared" ref="L6" si="3">K6+$A$2</f>
        <v>27.609999999999996</v>
      </c>
      <c r="M6">
        <f t="shared" ref="M6" si="4">L6+$A$2</f>
        <v>30.370999999999995</v>
      </c>
      <c r="N6">
        <f t="shared" ref="N6" si="5">M6+$A$2</f>
        <v>33.131999999999998</v>
      </c>
      <c r="O6">
        <f>$A$2/2</f>
        <v>1.3805000000000001</v>
      </c>
      <c r="P6">
        <f>O6+$A$2</f>
        <v>4.1415000000000006</v>
      </c>
      <c r="Q6">
        <f t="shared" ref="Q6:U6" si="6">P6+$A$2</f>
        <v>6.9025000000000007</v>
      </c>
      <c r="R6">
        <f t="shared" si="6"/>
        <v>9.6635000000000009</v>
      </c>
      <c r="S6">
        <f t="shared" si="6"/>
        <v>12.424500000000002</v>
      </c>
      <c r="T6">
        <f t="shared" si="6"/>
        <v>15.185500000000001</v>
      </c>
      <c r="U6">
        <f t="shared" si="6"/>
        <v>17.9465</v>
      </c>
      <c r="V6">
        <f t="shared" ref="V6" si="7">U6+$A$2</f>
        <v>20.7075</v>
      </c>
      <c r="W6">
        <f t="shared" ref="W6" si="8">V6+$A$2</f>
        <v>23.468499999999999</v>
      </c>
      <c r="X6">
        <f t="shared" ref="X6" si="9">W6+$A$2</f>
        <v>26.229499999999998</v>
      </c>
      <c r="Y6">
        <f t="shared" ref="Y6" si="10">X6+$A$2</f>
        <v>28.990499999999997</v>
      </c>
      <c r="Z6">
        <f t="shared" ref="Z6" si="11">Y6+$A$2</f>
        <v>31.751499999999997</v>
      </c>
    </row>
    <row r="7" spans="1:26" x14ac:dyDescent="0.2">
      <c r="A7" t="s">
        <v>50</v>
      </c>
      <c r="B7">
        <v>0</v>
      </c>
      <c r="C7">
        <f>B7</f>
        <v>0</v>
      </c>
      <c r="D7">
        <f t="shared" ref="D7:I7" si="12">C7</f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ref="J7" si="13">I7</f>
        <v>0</v>
      </c>
      <c r="K7">
        <f t="shared" ref="K7" si="14">J7</f>
        <v>0</v>
      </c>
      <c r="L7">
        <f t="shared" ref="L7" si="15">K7</f>
        <v>0</v>
      </c>
      <c r="M7">
        <f t="shared" ref="M7" si="16">L7</f>
        <v>0</v>
      </c>
      <c r="N7">
        <f t="shared" ref="N7" si="17">M7</f>
        <v>0</v>
      </c>
      <c r="O7">
        <f>-$B$2</f>
        <v>-2.84</v>
      </c>
      <c r="P7">
        <f>O7</f>
        <v>-2.84</v>
      </c>
      <c r="Q7">
        <f t="shared" ref="Q7:U7" si="18">P7</f>
        <v>-2.84</v>
      </c>
      <c r="R7">
        <f t="shared" si="18"/>
        <v>-2.84</v>
      </c>
      <c r="S7">
        <f t="shared" si="18"/>
        <v>-2.84</v>
      </c>
      <c r="T7">
        <f t="shared" si="18"/>
        <v>-2.84</v>
      </c>
      <c r="U7">
        <f t="shared" si="18"/>
        <v>-2.84</v>
      </c>
      <c r="V7">
        <f t="shared" ref="V7" si="19">U7</f>
        <v>-2.84</v>
      </c>
      <c r="W7">
        <f t="shared" ref="W7" si="20">V7</f>
        <v>-2.84</v>
      </c>
      <c r="X7">
        <f t="shared" ref="X7" si="21">W7</f>
        <v>-2.84</v>
      </c>
      <c r="Y7">
        <f t="shared" ref="Y7" si="22">X7</f>
        <v>-2.84</v>
      </c>
      <c r="Z7">
        <f t="shared" ref="Z7" si="23">Y7</f>
        <v>-2.84</v>
      </c>
    </row>
    <row r="9" spans="1:26" x14ac:dyDescent="0.2">
      <c r="A9" t="s">
        <v>51</v>
      </c>
    </row>
    <row r="10" spans="1:26" x14ac:dyDescent="0.2">
      <c r="A10" t="s">
        <v>49</v>
      </c>
      <c r="B10">
        <f>$B$14-$C$2/2</f>
        <v>-6.9540000000000006</v>
      </c>
      <c r="C10">
        <f>$B$14+$C$2/2</f>
        <v>40.085999999999999</v>
      </c>
    </row>
    <row r="11" spans="1:26" x14ac:dyDescent="0.2">
      <c r="A11" t="s">
        <v>50</v>
      </c>
      <c r="B11">
        <f>-$B$2/2</f>
        <v>-1.42</v>
      </c>
      <c r="C11">
        <f>$F$2</f>
        <v>7.67</v>
      </c>
    </row>
    <row r="13" spans="1:26" x14ac:dyDescent="0.2">
      <c r="B13" t="s">
        <v>65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</row>
    <row r="14" spans="1:26" x14ac:dyDescent="0.2">
      <c r="A14" t="s">
        <v>49</v>
      </c>
      <c r="B14">
        <f>$H$6</f>
        <v>16.565999999999999</v>
      </c>
      <c r="C14">
        <f>$B$14-$G$2/2</f>
        <v>-9.9490000000000016</v>
      </c>
      <c r="D14">
        <f>$B$14-$G$2/2</f>
        <v>-9.9490000000000016</v>
      </c>
      <c r="E14">
        <f>D14+($G$2-$H$2)/2</f>
        <v>-2.6090000000000018</v>
      </c>
      <c r="F14">
        <f>E14+$H$2</f>
        <v>35.741</v>
      </c>
      <c r="G14">
        <f>D14+$G$2</f>
        <v>43.081000000000003</v>
      </c>
      <c r="H14">
        <f>G14</f>
        <v>43.081000000000003</v>
      </c>
    </row>
    <row r="15" spans="1:26" x14ac:dyDescent="0.2">
      <c r="A15" t="s">
        <v>50</v>
      </c>
      <c r="C15">
        <f>$K$2-$F$2-$B$2</f>
        <v>2.120000000000001</v>
      </c>
      <c r="D15">
        <f>C15-$K$2</f>
        <v>-10.51</v>
      </c>
      <c r="E15">
        <f>D15-$J$2</f>
        <v>-16.68</v>
      </c>
      <c r="F15">
        <f>E15</f>
        <v>-16.68</v>
      </c>
      <c r="G15">
        <f>D15</f>
        <v>-10.51</v>
      </c>
      <c r="H15">
        <f>C15</f>
        <v>2.120000000000001</v>
      </c>
    </row>
    <row r="21" spans="1:1" x14ac:dyDescent="0.2">
      <c r="A21" t="s">
        <v>52</v>
      </c>
    </row>
    <row r="22" spans="1:1" x14ac:dyDescent="0.2">
      <c r="A22" t="s">
        <v>63</v>
      </c>
    </row>
    <row r="23" spans="1:1" x14ac:dyDescent="0.2">
      <c r="A23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7B31-322E-0B46-B343-A520E52BB5D5}">
  <dimension ref="A1:Z23"/>
  <sheetViews>
    <sheetView topLeftCell="A23" workbookViewId="0">
      <selection activeCell="E14" sqref="E14"/>
    </sheetView>
  </sheetViews>
  <sheetFormatPr baseColWidth="10" defaultRowHeight="16" x14ac:dyDescent="0.2"/>
  <sheetData>
    <row r="1" spans="1:26" ht="51" x14ac:dyDescent="0.2">
      <c r="A1" s="7" t="s">
        <v>43</v>
      </c>
      <c r="B1" s="7" t="s">
        <v>44</v>
      </c>
      <c r="C1" s="7" t="s">
        <v>61</v>
      </c>
      <c r="D1" s="7" t="s">
        <v>46</v>
      </c>
      <c r="E1" s="7" t="s">
        <v>47</v>
      </c>
      <c r="F1" s="7" t="s">
        <v>45</v>
      </c>
      <c r="G1" s="7" t="s">
        <v>67</v>
      </c>
      <c r="H1" s="7" t="s">
        <v>66</v>
      </c>
      <c r="I1" s="7" t="s">
        <v>62</v>
      </c>
      <c r="J1" s="7" t="s">
        <v>58</v>
      </c>
      <c r="K1" s="7" t="s">
        <v>59</v>
      </c>
    </row>
    <row r="2" spans="1:26" x14ac:dyDescent="0.2">
      <c r="A2">
        <v>2.7610000000000001</v>
      </c>
      <c r="B2">
        <v>2.84</v>
      </c>
      <c r="C2">
        <v>47.04</v>
      </c>
      <c r="D2">
        <v>3.18</v>
      </c>
      <c r="E2">
        <v>1.04</v>
      </c>
      <c r="F2">
        <v>7.67</v>
      </c>
      <c r="G2">
        <v>53.03</v>
      </c>
      <c r="H2">
        <v>38.35</v>
      </c>
      <c r="I2" s="8">
        <v>18.62</v>
      </c>
      <c r="J2" s="8">
        <v>5.84</v>
      </c>
      <c r="K2">
        <f>I2-J2</f>
        <v>12.780000000000001</v>
      </c>
    </row>
    <row r="5" spans="1:26" x14ac:dyDescent="0.2">
      <c r="A5" t="s">
        <v>48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</row>
    <row r="6" spans="1:26" x14ac:dyDescent="0.2">
      <c r="A6" t="s">
        <v>49</v>
      </c>
      <c r="B6">
        <v>0</v>
      </c>
      <c r="C6">
        <f>B6+$A$2</f>
        <v>2.7610000000000001</v>
      </c>
      <c r="D6">
        <f t="shared" ref="D6:N6" si="0">C6+$A$2</f>
        <v>5.5220000000000002</v>
      </c>
      <c r="E6">
        <f t="shared" si="0"/>
        <v>8.2830000000000013</v>
      </c>
      <c r="F6">
        <f t="shared" si="0"/>
        <v>11.044</v>
      </c>
      <c r="G6">
        <f t="shared" si="0"/>
        <v>13.805</v>
      </c>
      <c r="H6">
        <f t="shared" si="0"/>
        <v>16.565999999999999</v>
      </c>
      <c r="I6">
        <f t="shared" si="0"/>
        <v>19.326999999999998</v>
      </c>
      <c r="J6">
        <f t="shared" si="0"/>
        <v>22.087999999999997</v>
      </c>
      <c r="K6">
        <f t="shared" si="0"/>
        <v>24.848999999999997</v>
      </c>
      <c r="L6">
        <f t="shared" si="0"/>
        <v>27.609999999999996</v>
      </c>
      <c r="M6">
        <f t="shared" si="0"/>
        <v>30.370999999999995</v>
      </c>
      <c r="N6">
        <f t="shared" si="0"/>
        <v>33.131999999999998</v>
      </c>
      <c r="O6">
        <f>$A$2/2</f>
        <v>1.3805000000000001</v>
      </c>
      <c r="P6">
        <f>O6+$A$2</f>
        <v>4.1415000000000006</v>
      </c>
      <c r="Q6">
        <f t="shared" ref="Q6:Z6" si="1">P6+$A$2</f>
        <v>6.9025000000000007</v>
      </c>
      <c r="R6">
        <f t="shared" si="1"/>
        <v>9.6635000000000009</v>
      </c>
      <c r="S6">
        <f t="shared" si="1"/>
        <v>12.424500000000002</v>
      </c>
      <c r="T6">
        <f t="shared" si="1"/>
        <v>15.185500000000001</v>
      </c>
      <c r="U6">
        <f t="shared" si="1"/>
        <v>17.9465</v>
      </c>
      <c r="V6">
        <f t="shared" si="1"/>
        <v>20.7075</v>
      </c>
      <c r="W6">
        <f t="shared" si="1"/>
        <v>23.468499999999999</v>
      </c>
      <c r="X6">
        <f t="shared" si="1"/>
        <v>26.229499999999998</v>
      </c>
      <c r="Y6">
        <f t="shared" si="1"/>
        <v>28.990499999999997</v>
      </c>
      <c r="Z6">
        <f t="shared" si="1"/>
        <v>31.751499999999997</v>
      </c>
    </row>
    <row r="7" spans="1:26" x14ac:dyDescent="0.2">
      <c r="A7" t="s">
        <v>50</v>
      </c>
      <c r="B7">
        <v>0</v>
      </c>
      <c r="C7">
        <f>B7</f>
        <v>0</v>
      </c>
      <c r="D7">
        <f t="shared" ref="D7:N7" si="2">C7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>-$B$2</f>
        <v>-2.84</v>
      </c>
      <c r="P7">
        <f>O7</f>
        <v>-2.84</v>
      </c>
      <c r="Q7">
        <f t="shared" ref="Q7:Z7" si="3">P7</f>
        <v>-2.84</v>
      </c>
      <c r="R7">
        <f t="shared" si="3"/>
        <v>-2.84</v>
      </c>
      <c r="S7">
        <f t="shared" si="3"/>
        <v>-2.84</v>
      </c>
      <c r="T7">
        <f t="shared" si="3"/>
        <v>-2.84</v>
      </c>
      <c r="U7">
        <f t="shared" si="3"/>
        <v>-2.84</v>
      </c>
      <c r="V7">
        <f t="shared" si="3"/>
        <v>-2.84</v>
      </c>
      <c r="W7">
        <f t="shared" si="3"/>
        <v>-2.84</v>
      </c>
      <c r="X7">
        <f t="shared" si="3"/>
        <v>-2.84</v>
      </c>
      <c r="Y7">
        <f t="shared" si="3"/>
        <v>-2.84</v>
      </c>
      <c r="Z7">
        <f t="shared" si="3"/>
        <v>-2.84</v>
      </c>
    </row>
    <row r="9" spans="1:26" x14ac:dyDescent="0.2">
      <c r="A9" t="s">
        <v>51</v>
      </c>
    </row>
    <row r="10" spans="1:26" x14ac:dyDescent="0.2">
      <c r="A10" t="s">
        <v>49</v>
      </c>
      <c r="B10">
        <f>$B$14-$C$2/2</f>
        <v>-6.9540000000000006</v>
      </c>
      <c r="C10">
        <f>$B$14+$C$2/2</f>
        <v>40.085999999999999</v>
      </c>
    </row>
    <row r="11" spans="1:26" x14ac:dyDescent="0.2">
      <c r="A11" t="s">
        <v>50</v>
      </c>
      <c r="B11">
        <f>-$B$2/2</f>
        <v>-1.42</v>
      </c>
      <c r="C11">
        <f>$F$2</f>
        <v>7.67</v>
      </c>
    </row>
    <row r="13" spans="1:26" x14ac:dyDescent="0.2">
      <c r="B13" t="s">
        <v>65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</row>
    <row r="14" spans="1:26" x14ac:dyDescent="0.2">
      <c r="A14" t="s">
        <v>49</v>
      </c>
      <c r="B14">
        <f>$H$6</f>
        <v>16.565999999999999</v>
      </c>
      <c r="C14">
        <f>$B$14-$G$2/2</f>
        <v>-9.9490000000000016</v>
      </c>
      <c r="D14">
        <f>$B$14-$G$2/2</f>
        <v>-9.9490000000000016</v>
      </c>
      <c r="E14">
        <f>D14+($G$2-$H$2)/2</f>
        <v>-2.6090000000000018</v>
      </c>
      <c r="F14">
        <f>E14+$H$2</f>
        <v>35.741</v>
      </c>
      <c r="G14">
        <f>D14+$G$2</f>
        <v>43.081000000000003</v>
      </c>
      <c r="H14">
        <f>G14</f>
        <v>43.081000000000003</v>
      </c>
    </row>
    <row r="15" spans="1:26" x14ac:dyDescent="0.2">
      <c r="A15" t="s">
        <v>50</v>
      </c>
      <c r="C15">
        <f>$K$2-$F$2-$B$2</f>
        <v>2.2700000000000014</v>
      </c>
      <c r="D15">
        <f>C15-$K$2</f>
        <v>-10.51</v>
      </c>
      <c r="E15">
        <f>D15-$J$2</f>
        <v>-16.350000000000001</v>
      </c>
      <c r="F15">
        <f>E15</f>
        <v>-16.350000000000001</v>
      </c>
      <c r="G15">
        <f>D15</f>
        <v>-10.51</v>
      </c>
      <c r="H15">
        <f>C15</f>
        <v>2.2700000000000014</v>
      </c>
    </row>
    <row r="21" spans="1:1" x14ac:dyDescent="0.2">
      <c r="A21" t="s">
        <v>52</v>
      </c>
    </row>
    <row r="22" spans="1:1" x14ac:dyDescent="0.2">
      <c r="A22" t="s">
        <v>63</v>
      </c>
    </row>
    <row r="23" spans="1:1" x14ac:dyDescent="0.2">
      <c r="A2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5788798-1 Connector Calcs</vt:lpstr>
      <vt:lpstr>5788000-1 Connector Calcs</vt:lpstr>
      <vt:lpstr>5788794_1 Connector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Faris</dc:creator>
  <cp:lastModifiedBy>Gregory Faris</cp:lastModifiedBy>
  <dcterms:created xsi:type="dcterms:W3CDTF">2024-03-01T12:58:48Z</dcterms:created>
  <dcterms:modified xsi:type="dcterms:W3CDTF">2024-04-15T22:24:49Z</dcterms:modified>
</cp:coreProperties>
</file>