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20" yWindow="0" windowWidth="25640" windowHeight="18380" tabRatio="500" activeTab="1"/>
  </bookViews>
  <sheets>
    <sheet name="Graph for Sheet5" sheetId="7" r:id="rId1"/>
    <sheet name="Sheet5" sheetId="6"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68" i="6" l="1"/>
  <c r="F48" i="6"/>
  <c r="F33" i="6"/>
  <c r="F23" i="6"/>
  <c r="E68" i="6"/>
  <c r="E48" i="6"/>
  <c r="E23" i="6"/>
  <c r="E33" i="6"/>
  <c r="B14" i="6"/>
  <c r="B15" i="6"/>
  <c r="B26" i="6"/>
  <c r="D26" i="6"/>
  <c r="B27" i="6"/>
  <c r="D27" i="6"/>
  <c r="B28" i="6"/>
  <c r="D28" i="6"/>
  <c r="B29" i="6"/>
  <c r="D29" i="6"/>
  <c r="B30" i="6"/>
  <c r="D30" i="6"/>
  <c r="B64" i="6"/>
  <c r="D64" i="6"/>
  <c r="B65" i="6"/>
  <c r="D65" i="6"/>
  <c r="B66" i="6"/>
  <c r="D66" i="6"/>
  <c r="B67" i="6"/>
  <c r="D67" i="6"/>
  <c r="B68" i="6"/>
  <c r="D68" i="6"/>
  <c r="B61" i="6"/>
  <c r="D61" i="6"/>
  <c r="B62" i="6"/>
  <c r="D62" i="6"/>
  <c r="B63" i="6"/>
  <c r="D63" i="6"/>
  <c r="B56" i="6"/>
  <c r="D56" i="6"/>
  <c r="B57" i="6"/>
  <c r="D57" i="6"/>
  <c r="B58" i="6"/>
  <c r="D58" i="6"/>
  <c r="B59" i="6"/>
  <c r="D59" i="6"/>
  <c r="B60" i="6"/>
  <c r="D60" i="6"/>
  <c r="B51" i="6"/>
  <c r="D51" i="6"/>
  <c r="B52" i="6"/>
  <c r="D52" i="6"/>
  <c r="B53" i="6"/>
  <c r="D53" i="6"/>
  <c r="B54" i="6"/>
  <c r="D54" i="6"/>
  <c r="B55" i="6"/>
  <c r="D55" i="6"/>
  <c r="B46" i="6"/>
  <c r="D46" i="6"/>
  <c r="B47" i="6"/>
  <c r="D47" i="6"/>
  <c r="B48" i="6"/>
  <c r="D48" i="6"/>
  <c r="B49" i="6"/>
  <c r="D49" i="6"/>
  <c r="B50" i="6"/>
  <c r="D50" i="6"/>
  <c r="B41" i="6"/>
  <c r="D41" i="6"/>
  <c r="B42" i="6"/>
  <c r="D42" i="6"/>
  <c r="B43" i="6"/>
  <c r="D43" i="6"/>
  <c r="B44" i="6"/>
  <c r="D44" i="6"/>
  <c r="B45" i="6"/>
  <c r="D45" i="6"/>
  <c r="B36" i="6"/>
  <c r="D36" i="6"/>
  <c r="B37" i="6"/>
  <c r="D37" i="6"/>
  <c r="B38" i="6"/>
  <c r="D38" i="6"/>
  <c r="B39" i="6"/>
  <c r="D39" i="6"/>
  <c r="B40" i="6"/>
  <c r="D40" i="6"/>
  <c r="B31" i="6"/>
  <c r="D31" i="6"/>
  <c r="B32" i="6"/>
  <c r="D32" i="6"/>
  <c r="B33" i="6"/>
  <c r="D33" i="6"/>
  <c r="B34" i="6"/>
  <c r="D34" i="6"/>
  <c r="B35" i="6"/>
  <c r="D35" i="6"/>
  <c r="B19" i="6"/>
  <c r="D19" i="6"/>
  <c r="B20" i="6"/>
  <c r="D20" i="6"/>
  <c r="B21" i="6"/>
  <c r="D21" i="6"/>
  <c r="B22" i="6"/>
  <c r="D22" i="6"/>
  <c r="B23" i="6"/>
  <c r="D23" i="6"/>
  <c r="B24" i="6"/>
  <c r="D24" i="6"/>
  <c r="B25" i="6"/>
  <c r="D25" i="6"/>
  <c r="A2"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alcChain>
</file>

<file path=xl/comments1.xml><?xml version="1.0" encoding="utf-8"?>
<comments xmlns="http://schemas.openxmlformats.org/spreadsheetml/2006/main">
  <authors>
    <author>Aaron Camacho</author>
  </authors>
  <commentList>
    <comment ref="A9" authorId="0">
      <text>
        <r>
          <rPr>
            <sz val="9"/>
            <color indexed="81"/>
            <rFont val="Calibri"/>
            <family val="2"/>
          </rPr>
          <t>Learning Curves: Submodel =  0; Problem size @  50 by 0</t>
        </r>
      </text>
    </comment>
  </commentList>
</comments>
</file>

<file path=xl/sharedStrings.xml><?xml version="1.0" encoding="utf-8"?>
<sst xmlns="http://schemas.openxmlformats.org/spreadsheetml/2006/main" count="75" uniqueCount="69">
  <si>
    <t>Learning Curves</t>
  </si>
  <si>
    <t>Determining times</t>
  </si>
  <si>
    <t>Data</t>
  </si>
  <si>
    <t>Unit number of base unit</t>
  </si>
  <si>
    <t>Time for base unit</t>
  </si>
  <si>
    <t>Learning curve coefficient</t>
  </si>
  <si>
    <t>Time for first unit</t>
  </si>
  <si>
    <t>b</t>
  </si>
  <si>
    <t>Results</t>
  </si>
  <si>
    <t>Unit</t>
  </si>
  <si>
    <t>Time</t>
  </si>
  <si>
    <t>Cumulative time</t>
  </si>
  <si>
    <t>Unit 1</t>
  </si>
  <si>
    <t>Unit 2</t>
  </si>
  <si>
    <t>Unit 3</t>
  </si>
  <si>
    <t>Unit 4</t>
  </si>
  <si>
    <t>Unit 5</t>
  </si>
  <si>
    <t>Unit 6</t>
  </si>
  <si>
    <t>Unit 7</t>
  </si>
  <si>
    <t>Unit 8</t>
  </si>
  <si>
    <t>Unit 9</t>
  </si>
  <si>
    <t>Unit 10</t>
  </si>
  <si>
    <t>Unit 11</t>
  </si>
  <si>
    <t>Unit 12</t>
  </si>
  <si>
    <t>Unit 13</t>
  </si>
  <si>
    <t>Unit 14</t>
  </si>
  <si>
    <t>Unit 15</t>
  </si>
  <si>
    <t>Unit 16</t>
  </si>
  <si>
    <t>Unit 17</t>
  </si>
  <si>
    <t>Unit 18</t>
  </si>
  <si>
    <t>Unit 19</t>
  </si>
  <si>
    <t>Unit 20</t>
  </si>
  <si>
    <t>The Maui Sandal Project</t>
  </si>
  <si>
    <t xml:space="preserve"> </t>
  </si>
  <si>
    <t>(Do not change this value)</t>
  </si>
  <si>
    <t>Unit 21</t>
  </si>
  <si>
    <t>Unit 22</t>
  </si>
  <si>
    <t>Unit 23</t>
  </si>
  <si>
    <t>Unit 24</t>
  </si>
  <si>
    <t>Unit 25</t>
  </si>
  <si>
    <t>Unit 26</t>
  </si>
  <si>
    <t>Unit 27</t>
  </si>
  <si>
    <t>Unit 28</t>
  </si>
  <si>
    <t>Unit 29</t>
  </si>
  <si>
    <t>Unit 30</t>
  </si>
  <si>
    <t>Unit 31</t>
  </si>
  <si>
    <t>Unit 32</t>
  </si>
  <si>
    <t>Unit 33</t>
  </si>
  <si>
    <t>Unit 34</t>
  </si>
  <si>
    <t>Unit 35</t>
  </si>
  <si>
    <t>Unit 36</t>
  </si>
  <si>
    <t>Unit 37</t>
  </si>
  <si>
    <t>Unit 38</t>
  </si>
  <si>
    <t>Unit 39</t>
  </si>
  <si>
    <t>Unit 40</t>
  </si>
  <si>
    <t>Unit 41</t>
  </si>
  <si>
    <t>Unit 42</t>
  </si>
  <si>
    <t>Unit 43</t>
  </si>
  <si>
    <t>Unit 44</t>
  </si>
  <si>
    <t>Unit 45</t>
  </si>
  <si>
    <t>Unit 46</t>
  </si>
  <si>
    <t>Unit 47</t>
  </si>
  <si>
    <t>Unit 48</t>
  </si>
  <si>
    <t>Unit 49</t>
  </si>
  <si>
    <t>Unit 50</t>
  </si>
  <si>
    <t>Lobor Costs</t>
  </si>
  <si>
    <t>Average Labor Costs</t>
  </si>
  <si>
    <t xml:space="preserve">Average </t>
  </si>
  <si>
    <t xml:space="preserve">Median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</si>
</sst>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12" x14ac:knownFonts="1">
    <font>
      <sz val="12"/>
      <color theme="1"/>
      <name val="Calibri"/>
      <family val="2"/>
      <scheme val="minor"/>
    </font>
    <font>
      <sz val="12"/>
      <color theme="1"/>
      <name val="Calibri"/>
      <family val="2"/>
      <scheme val="minor"/>
    </font>
    <font>
      <sz val="11"/>
      <color theme="1"/>
      <name val="Calibri"/>
      <scheme val="minor"/>
    </font>
    <font>
      <sz val="11"/>
      <color rgb="FF0000FF"/>
      <name val="Calibri"/>
      <scheme val="minor"/>
    </font>
    <font>
      <b/>
      <sz val="13"/>
      <color rgb="FF1F497D"/>
      <name val="Calibri"/>
      <scheme val="minor"/>
    </font>
    <font>
      <sz val="9"/>
      <color indexed="81"/>
      <name val="Calibri"/>
      <family val="2"/>
    </font>
    <font>
      <b/>
      <sz val="11"/>
      <color rgb="FFFF6600"/>
      <name val="Calibri"/>
      <scheme val="minor"/>
    </font>
    <font>
      <b/>
      <sz val="11"/>
      <color rgb="FF3F3F3F"/>
      <name val="Calibri"/>
      <scheme val="minor"/>
    </font>
    <font>
      <b/>
      <sz val="14"/>
      <color rgb="FF800000"/>
      <name val="Calibri"/>
      <scheme val="minor"/>
    </font>
    <font>
      <sz val="11"/>
      <color rgb="FF000000"/>
      <name val="Calibri"/>
      <scheme val="minor"/>
    </font>
    <font>
      <u/>
      <sz val="12"/>
      <color theme="10"/>
      <name val="Calibri"/>
      <family val="2"/>
      <scheme val="minor"/>
    </font>
    <font>
      <u/>
      <sz val="12"/>
      <color theme="11"/>
      <name val="Calibri"/>
      <family val="2"/>
      <scheme val="minor"/>
    </font>
  </fonts>
  <fills count="9">
    <fill>
      <patternFill patternType="none"/>
    </fill>
    <fill>
      <patternFill patternType="gray125"/>
    </fill>
    <fill>
      <patternFill patternType="solid">
        <fgColor rgb="FFFFC7CE"/>
        <bgColor indexed="64"/>
      </patternFill>
    </fill>
    <fill>
      <patternFill patternType="solid">
        <fgColor rgb="FFFFCC99"/>
        <bgColor indexed="64"/>
      </patternFill>
    </fill>
    <fill>
      <patternFill patternType="solid">
        <fgColor rgb="FFF2F2F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thin">
        <color auto="1"/>
      </left>
      <right style="medium">
        <color auto="1"/>
      </right>
      <top style="medium">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s>
  <cellStyleXfs count="32">
    <xf numFmtId="0" fontId="0" fillId="0" borderId="0"/>
    <xf numFmtId="44"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34">
    <xf numFmtId="0" fontId="0" fillId="0" borderId="0" xfId="0"/>
    <xf numFmtId="0" fontId="2" fillId="0" borderId="0" xfId="0" applyFont="1"/>
    <xf numFmtId="0" fontId="3" fillId="0" borderId="0" xfId="0" applyFont="1"/>
    <xf numFmtId="0" fontId="4" fillId="0" borderId="0" xfId="0" applyFont="1"/>
    <xf numFmtId="0" fontId="6" fillId="0" borderId="0" xfId="0" applyFont="1"/>
    <xf numFmtId="0" fontId="2" fillId="2" borderId="0" xfId="0" applyFont="1" applyFill="1"/>
    <xf numFmtId="0" fontId="2" fillId="0" borderId="2" xfId="0" applyFont="1" applyBorder="1"/>
    <xf numFmtId="0" fontId="2" fillId="3" borderId="3" xfId="0" applyFont="1" applyFill="1" applyBorder="1"/>
    <xf numFmtId="0" fontId="2" fillId="0" borderId="4" xfId="0" applyFont="1" applyBorder="1"/>
    <xf numFmtId="0" fontId="2" fillId="3" borderId="5" xfId="0" applyFont="1" applyFill="1" applyBorder="1"/>
    <xf numFmtId="0" fontId="2" fillId="0" borderId="6" xfId="0" applyFont="1" applyBorder="1"/>
    <xf numFmtId="164" fontId="2" fillId="3" borderId="7" xfId="0" applyNumberFormat="1" applyFont="1" applyFill="1" applyBorder="1"/>
    <xf numFmtId="0" fontId="7" fillId="0" borderId="0" xfId="0" applyFont="1"/>
    <xf numFmtId="0" fontId="7" fillId="4" borderId="10" xfId="0" applyFont="1" applyFill="1" applyBorder="1"/>
    <xf numFmtId="0" fontId="7" fillId="4" borderId="11" xfId="0" applyFont="1" applyFill="1" applyBorder="1"/>
    <xf numFmtId="0" fontId="7" fillId="4" borderId="9" xfId="0" applyFont="1" applyFill="1" applyBorder="1"/>
    <xf numFmtId="0" fontId="7" fillId="4" borderId="1" xfId="0" applyFont="1" applyFill="1" applyBorder="1"/>
    <xf numFmtId="0" fontId="7" fillId="4" borderId="12" xfId="0" applyFont="1" applyFill="1" applyBorder="1"/>
    <xf numFmtId="0" fontId="7" fillId="4" borderId="13" xfId="0" applyFont="1" applyFill="1" applyBorder="1"/>
    <xf numFmtId="0" fontId="8" fillId="0" borderId="0" xfId="0" applyFont="1"/>
    <xf numFmtId="14" fontId="9" fillId="0" borderId="0" xfId="0" applyNumberFormat="1" applyFont="1"/>
    <xf numFmtId="0" fontId="9" fillId="0" borderId="0" xfId="0" applyFont="1"/>
    <xf numFmtId="44" fontId="2" fillId="5" borderId="0" xfId="1" applyNumberFormat="1" applyFont="1" applyFill="1"/>
    <xf numFmtId="44" fontId="2" fillId="0" borderId="0" xfId="0" applyNumberFormat="1" applyFont="1"/>
    <xf numFmtId="0" fontId="7" fillId="4" borderId="14" xfId="0" applyFont="1" applyFill="1" applyBorder="1"/>
    <xf numFmtId="0" fontId="7" fillId="4" borderId="15" xfId="0" applyFont="1" applyFill="1" applyBorder="1"/>
    <xf numFmtId="44" fontId="2" fillId="6" borderId="1" xfId="0" applyNumberFormat="1" applyFont="1" applyFill="1" applyBorder="1"/>
    <xf numFmtId="44" fontId="2" fillId="7" borderId="1" xfId="0" applyNumberFormat="1" applyFont="1" applyFill="1" applyBorder="1"/>
    <xf numFmtId="44" fontId="2" fillId="8" borderId="1" xfId="0" applyNumberFormat="1" applyFont="1" applyFill="1" applyBorder="1"/>
    <xf numFmtId="44" fontId="2" fillId="5" borderId="1" xfId="0" applyNumberFormat="1" applyFont="1" applyFill="1" applyBorder="1"/>
    <xf numFmtId="0" fontId="7" fillId="4" borderId="16" xfId="0" applyFont="1" applyFill="1" applyBorder="1" applyAlignment="1">
      <alignment wrapText="1"/>
    </xf>
    <xf numFmtId="44" fontId="2" fillId="6" borderId="8" xfId="0" applyNumberFormat="1" applyFont="1" applyFill="1" applyBorder="1"/>
    <xf numFmtId="0" fontId="2" fillId="0" borderId="1" xfId="0" applyFont="1" applyBorder="1"/>
    <xf numFmtId="0" fontId="2" fillId="0" borderId="1" xfId="0" applyFont="1" applyBorder="1" applyAlignment="1">
      <alignment horizontal="left"/>
    </xf>
  </cellXfs>
  <cellStyles count="32">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Normal" xfId="0" builtinId="0"/>
  </cellStyles>
  <dxfs count="1">
    <dxf>
      <font>
        <color theme="1"/>
      </font>
      <fill>
        <patternFill patternType="solid">
          <fgColor indexed="64"/>
          <bgColor theme="7" tint="0.3999755851924192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chartsheet" Target="chartsheets/sheet1.xml"/><Relationship Id="rId2"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pPr>
            <a:r>
              <a:rPr lang="en-US"/>
              <a:t>Learning Curve</a:t>
            </a:r>
          </a:p>
        </c:rich>
      </c:tx>
      <c:layout/>
      <c:overlay val="0"/>
    </c:title>
    <c:autoTitleDeleted val="0"/>
    <c:plotArea>
      <c:layout/>
      <c:lineChart>
        <c:grouping val="standard"/>
        <c:varyColors val="0"/>
        <c:ser>
          <c:idx val="0"/>
          <c:order val="0"/>
          <c:val>
            <c:numRef>
              <c:f>Sheet5!$B$19:$B$68</c:f>
              <c:numCache>
                <c:formatCode>General</c:formatCode>
                <c:ptCount val="50"/>
                <c:pt idx="0">
                  <c:v>1000.0</c:v>
                </c:pt>
                <c:pt idx="1">
                  <c:v>800.0</c:v>
                </c:pt>
                <c:pt idx="2">
                  <c:v>702.10370277856</c:v>
                </c:pt>
                <c:pt idx="3">
                  <c:v>640.0000000000001</c:v>
                </c:pt>
                <c:pt idx="4">
                  <c:v>595.6373436127807</c:v>
                </c:pt>
                <c:pt idx="5">
                  <c:v>561.6829622228482</c:v>
                </c:pt>
                <c:pt idx="6">
                  <c:v>534.4895246561236</c:v>
                </c:pt>
                <c:pt idx="7">
                  <c:v>512.0</c:v>
                </c:pt>
                <c:pt idx="8">
                  <c:v>492.9496094553647</c:v>
                </c:pt>
                <c:pt idx="9">
                  <c:v>476.5098748902245</c:v>
                </c:pt>
                <c:pt idx="10">
                  <c:v>462.111138682534</c:v>
                </c:pt>
                <c:pt idx="11">
                  <c:v>449.3463697782785</c:v>
                </c:pt>
                <c:pt idx="12">
                  <c:v>437.9155216601238</c:v>
                </c:pt>
                <c:pt idx="13">
                  <c:v>427.591619724899</c:v>
                </c:pt>
                <c:pt idx="14">
                  <c:v>418.1991844637188</c:v>
                </c:pt>
                <c:pt idx="15">
                  <c:v>409.6000000000001</c:v>
                </c:pt>
                <c:pt idx="16">
                  <c:v>401.6834355814091</c:v>
                </c:pt>
                <c:pt idx="17">
                  <c:v>394.3596875642918</c:v>
                </c:pt>
                <c:pt idx="18">
                  <c:v>387.5549510524306</c:v>
                </c:pt>
                <c:pt idx="19">
                  <c:v>381.2078999121797</c:v>
                </c:pt>
                <c:pt idx="20">
                  <c:v>375.267074357417</c:v>
                </c:pt>
                <c:pt idx="21">
                  <c:v>369.6889109460271</c:v>
                </c:pt>
                <c:pt idx="22">
                  <c:v>364.436235599169</c:v>
                </c:pt>
                <c:pt idx="23">
                  <c:v>359.4770958226229</c:v>
                </c:pt>
                <c:pt idx="24">
                  <c:v>354.7838451060898</c:v>
                </c:pt>
                <c:pt idx="25">
                  <c:v>350.332417328099</c:v>
                </c:pt>
                <c:pt idx="26">
                  <c:v>346.1017460818566</c:v>
                </c:pt>
                <c:pt idx="27">
                  <c:v>342.0732957799192</c:v>
                </c:pt>
                <c:pt idx="28">
                  <c:v>338.2306798678978</c:v>
                </c:pt>
                <c:pt idx="29">
                  <c:v>334.559347570975</c:v>
                </c:pt>
                <c:pt idx="30">
                  <c:v>331.0463250356059</c:v>
                </c:pt>
                <c:pt idx="31">
                  <c:v>327.6800000000001</c:v>
                </c:pt>
                <c:pt idx="32">
                  <c:v>324.4499415642238</c:v>
                </c:pt>
                <c:pt idx="33">
                  <c:v>321.3467484651273</c:v>
                </c:pt>
                <c:pt idx="34">
                  <c:v>318.3619206550313</c:v>
                </c:pt>
                <c:pt idx="35">
                  <c:v>315.4877500514335</c:v>
                </c:pt>
                <c:pt idx="36">
                  <c:v>312.717227150707</c:v>
                </c:pt>
                <c:pt idx="37">
                  <c:v>310.0439608419445</c:v>
                </c:pt>
                <c:pt idx="38">
                  <c:v>307.4621092617778</c:v>
                </c:pt>
                <c:pt idx="39">
                  <c:v>304.9663199297437</c:v>
                </c:pt>
                <c:pt idx="40">
                  <c:v>302.5516777208754</c:v>
                </c:pt>
                <c:pt idx="41">
                  <c:v>300.2136594859335</c:v>
                </c:pt>
                <c:pt idx="42">
                  <c:v>297.9480943339222</c:v>
                </c:pt>
                <c:pt idx="43">
                  <c:v>295.7511287568217</c:v>
                </c:pt>
                <c:pt idx="44">
                  <c:v>293.6191959109511</c:v>
                </c:pt>
                <c:pt idx="45">
                  <c:v>291.5489884793352</c:v>
                </c:pt>
                <c:pt idx="46">
                  <c:v>289.537434629802</c:v>
                </c:pt>
                <c:pt idx="47">
                  <c:v>287.5816766580983</c:v>
                </c:pt>
                <c:pt idx="48">
                  <c:v>285.679051967129</c:v>
                </c:pt>
                <c:pt idx="49">
                  <c:v>283.8270760848718</c:v>
                </c:pt>
              </c:numCache>
            </c:numRef>
          </c:val>
          <c:smooth val="0"/>
        </c:ser>
        <c:dLbls>
          <c:showLegendKey val="0"/>
          <c:showVal val="0"/>
          <c:showCatName val="0"/>
          <c:showSerName val="0"/>
          <c:showPercent val="0"/>
          <c:showBubbleSize val="0"/>
        </c:dLbls>
        <c:marker val="1"/>
        <c:smooth val="0"/>
        <c:axId val="2136426168"/>
        <c:axId val="2136407128"/>
      </c:lineChart>
      <c:catAx>
        <c:axId val="2136426168"/>
        <c:scaling>
          <c:orientation val="minMax"/>
        </c:scaling>
        <c:delete val="0"/>
        <c:axPos val="b"/>
        <c:title>
          <c:tx>
            <c:rich>
              <a:bodyPr/>
              <a:lstStyle/>
              <a:p>
                <a:pPr>
                  <a:defRPr lang="en-US"/>
                </a:pPr>
                <a:r>
                  <a:rPr lang="en-US"/>
                  <a:t>Unit</a:t>
                </a:r>
              </a:p>
            </c:rich>
          </c:tx>
          <c:layout/>
          <c:overlay val="0"/>
        </c:title>
        <c:majorTickMark val="out"/>
        <c:minorTickMark val="none"/>
        <c:tickLblPos val="nextTo"/>
        <c:crossAx val="2136407128"/>
        <c:crosses val="autoZero"/>
        <c:auto val="1"/>
        <c:lblAlgn val="ctr"/>
        <c:lblOffset val="100"/>
        <c:noMultiLvlLbl val="0"/>
      </c:catAx>
      <c:valAx>
        <c:axId val="2136407128"/>
        <c:scaling>
          <c:orientation val="minMax"/>
        </c:scaling>
        <c:delete val="0"/>
        <c:axPos val="l"/>
        <c:majorGridlines/>
        <c:title>
          <c:tx>
            <c:rich>
              <a:bodyPr/>
              <a:lstStyle/>
              <a:p>
                <a:pPr>
                  <a:defRPr lang="en-US"/>
                </a:pPr>
                <a:r>
                  <a:rPr lang="en-US"/>
                  <a:t>Time</a:t>
                </a:r>
              </a:p>
            </c:rich>
          </c:tx>
          <c:layout/>
          <c:overlay val="0"/>
        </c:title>
        <c:numFmt formatCode="General" sourceLinked="1"/>
        <c:majorTickMark val="out"/>
        <c:minorTickMark val="none"/>
        <c:tickLblPos val="nextTo"/>
        <c:crossAx val="2136426168"/>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46" workbookViewId="0" zoomToFit="1"/>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568151" cy="582808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88900</xdr:rowOff>
    </xdr:from>
    <xdr:to>
      <xdr:col>6</xdr:col>
      <xdr:colOff>812800</xdr:colOff>
      <xdr:row>4</xdr:row>
      <xdr:rowOff>38100</xdr:rowOff>
    </xdr:to>
    <xdr:sp macro="" textlink="">
      <xdr:nvSpPr>
        <xdr:cNvPr id="2" name="messageTextbox"/>
        <xdr:cNvSpPr txBox="1"/>
      </xdr:nvSpPr>
      <xdr:spPr>
        <a:xfrm>
          <a:off x="4279900" y="88900"/>
          <a:ext cx="2463800" cy="711200"/>
        </a:xfrm>
        <a:prstGeom prst="rect">
          <a:avLst/>
        </a:prstGeom>
        <a:solidFill>
          <a:srgbClr val="FFEB9C"/>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US" sz="900" b="0" i="0" u="none" strike="noStrike" baseline="0">
              <a:solidFill>
                <a:srgbClr val="9C6500"/>
              </a:solidFill>
              <a:latin typeface="Arial"/>
            </a:rPr>
            <a:t>Enter the unit number for the base unit. This is generally 1 but does not need to be 1. Enter the time that this base unit took and enter the learning curve coefficient. Do not change the numbers in the red shaded area.</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8"/>
  <sheetViews>
    <sheetView tabSelected="1" workbookViewId="0">
      <selection activeCell="K20" sqref="K20"/>
    </sheetView>
  </sheetViews>
  <sheetFormatPr baseColWidth="10" defaultRowHeight="14" x14ac:dyDescent="0"/>
  <cols>
    <col min="1" max="1" width="24.6640625" style="1" bestFit="1" customWidth="1"/>
    <col min="2" max="2" width="10.83203125" style="1"/>
    <col min="3" max="3" width="12.1640625" style="1" bestFit="1" customWidth="1"/>
    <col min="4" max="16384" width="10.83203125" style="1"/>
  </cols>
  <sheetData>
    <row r="1" spans="1:8">
      <c r="A1" s="21" t="s">
        <v>33</v>
      </c>
    </row>
    <row r="2" spans="1:8">
      <c r="A2" s="20">
        <f ca="1">NOW()</f>
        <v>41655.477128587961</v>
      </c>
    </row>
    <row r="4" spans="1:8" ht="18">
      <c r="A4" s="19" t="s">
        <v>32</v>
      </c>
    </row>
    <row r="6" spans="1:8" ht="16">
      <c r="A6" s="3" t="s">
        <v>0</v>
      </c>
      <c r="B6" s="3" t="s">
        <v>1</v>
      </c>
      <c r="C6" s="3"/>
      <c r="D6" s="3"/>
      <c r="E6" s="3"/>
      <c r="F6" s="3"/>
      <c r="G6" s="3"/>
      <c r="H6" s="3"/>
    </row>
    <row r="7" spans="1:8">
      <c r="A7" s="2"/>
      <c r="B7" s="2"/>
    </row>
    <row r="9" spans="1:8" ht="15" thickBot="1">
      <c r="A9" s="4" t="s">
        <v>2</v>
      </c>
      <c r="C9" s="1" t="s">
        <v>34</v>
      </c>
    </row>
    <row r="10" spans="1:8">
      <c r="A10" s="6" t="s">
        <v>3</v>
      </c>
      <c r="B10" s="7">
        <v>1</v>
      </c>
    </row>
    <row r="11" spans="1:8">
      <c r="A11" s="8" t="s">
        <v>4</v>
      </c>
      <c r="B11" s="9">
        <v>1000</v>
      </c>
    </row>
    <row r="12" spans="1:8" ht="15" thickBot="1">
      <c r="A12" s="10" t="s">
        <v>5</v>
      </c>
      <c r="B12" s="11">
        <v>0.8</v>
      </c>
    </row>
    <row r="14" spans="1:8">
      <c r="A14" s="1" t="s">
        <v>6</v>
      </c>
      <c r="B14" s="5">
        <f>B11/B10^(LN(B12)/LN(2))</f>
        <v>1000</v>
      </c>
    </row>
    <row r="15" spans="1:8">
      <c r="A15" s="1" t="s">
        <v>7</v>
      </c>
      <c r="B15" s="5">
        <f>LOG(B12)/LOG(2)</f>
        <v>-0.32192809488736229</v>
      </c>
    </row>
    <row r="16" spans="1:8">
      <c r="A16" s="1" t="s">
        <v>66</v>
      </c>
      <c r="B16" s="22">
        <v>1.08</v>
      </c>
    </row>
    <row r="17" spans="1:6" ht="15" thickBot="1">
      <c r="A17" s="12" t="s">
        <v>8</v>
      </c>
    </row>
    <row r="18" spans="1:6" ht="28">
      <c r="A18" s="13" t="s">
        <v>9</v>
      </c>
      <c r="B18" s="14" t="s">
        <v>10</v>
      </c>
      <c r="C18" s="30" t="s">
        <v>11</v>
      </c>
      <c r="D18" s="32" t="s">
        <v>65</v>
      </c>
    </row>
    <row r="19" spans="1:6">
      <c r="A19" s="15" t="s">
        <v>12</v>
      </c>
      <c r="B19" s="16">
        <f>$B$14*POWER( 1,$B$15)</f>
        <v>1000</v>
      </c>
      <c r="C19" s="24">
        <f>SUM(B19:B19)</f>
        <v>1000</v>
      </c>
      <c r="D19" s="31">
        <f>B19*$B$16</f>
        <v>1080</v>
      </c>
    </row>
    <row r="20" spans="1:6">
      <c r="A20" s="15" t="s">
        <v>13</v>
      </c>
      <c r="B20" s="16">
        <f>$B$14*POWER( 2,$B$15)</f>
        <v>800</v>
      </c>
      <c r="C20" s="24">
        <f>SUM(B19:B20)</f>
        <v>1800</v>
      </c>
      <c r="D20" s="26">
        <f t="shared" ref="D20:D68" si="0">B20*$B$16</f>
        <v>864</v>
      </c>
    </row>
    <row r="21" spans="1:6">
      <c r="A21" s="15" t="s">
        <v>14</v>
      </c>
      <c r="B21" s="16">
        <f>$B$14*POWER( 3,$B$15)</f>
        <v>702.1037027785602</v>
      </c>
      <c r="C21" s="24">
        <f>SUM(B19:B21)</f>
        <v>2502.1037027785601</v>
      </c>
      <c r="D21" s="26">
        <f t="shared" si="0"/>
        <v>758.27199900084508</v>
      </c>
    </row>
    <row r="22" spans="1:6">
      <c r="A22" s="15" t="s">
        <v>15</v>
      </c>
      <c r="B22" s="16">
        <f>$B$14*POWER( 4,$B$15)</f>
        <v>640.00000000000011</v>
      </c>
      <c r="C22" s="24">
        <f>SUM(B19:B22)</f>
        <v>3142.1037027785601</v>
      </c>
      <c r="D22" s="26">
        <f t="shared" si="0"/>
        <v>691.20000000000016</v>
      </c>
      <c r="E22" s="33" t="s">
        <v>67</v>
      </c>
      <c r="F22" s="33" t="s">
        <v>68</v>
      </c>
    </row>
    <row r="23" spans="1:6">
      <c r="A23" s="15" t="s">
        <v>16</v>
      </c>
      <c r="B23" s="16">
        <f>$B$14*POWER( 5,$B$15)</f>
        <v>595.63734361278068</v>
      </c>
      <c r="C23" s="24">
        <f>SUM(B19:B23)</f>
        <v>3737.7410463913407</v>
      </c>
      <c r="D23" s="26">
        <f t="shared" si="0"/>
        <v>643.28833110180312</v>
      </c>
      <c r="E23" s="26">
        <f>AVERAGE(D19:D23)</f>
        <v>807.35206602052972</v>
      </c>
      <c r="F23" s="26">
        <f>MEDIAN(D19:D23)</f>
        <v>758.27199900084508</v>
      </c>
    </row>
    <row r="24" spans="1:6">
      <c r="A24" s="15" t="s">
        <v>17</v>
      </c>
      <c r="B24" s="16">
        <f>$B$14*POWER( 6,$B$15)</f>
        <v>561.68296222284823</v>
      </c>
      <c r="C24" s="24">
        <f>SUM(B19:B24)</f>
        <v>4299.424008614189</v>
      </c>
      <c r="D24" s="27">
        <f t="shared" si="0"/>
        <v>606.61759920067618</v>
      </c>
    </row>
    <row r="25" spans="1:6">
      <c r="A25" s="15" t="s">
        <v>18</v>
      </c>
      <c r="B25" s="16">
        <f>$B$14*POWER( 7,$B$15)</f>
        <v>534.48952465612365</v>
      </c>
      <c r="C25" s="24">
        <f>SUM(B19:B25)</f>
        <v>4833.9135332703127</v>
      </c>
      <c r="D25" s="27">
        <f t="shared" si="0"/>
        <v>577.24868662861354</v>
      </c>
    </row>
    <row r="26" spans="1:6">
      <c r="A26" s="15" t="s">
        <v>19</v>
      </c>
      <c r="B26" s="16">
        <f>$B$14*POWER( 8,$B$15)</f>
        <v>512</v>
      </c>
      <c r="C26" s="24">
        <f>SUM(B19:B26)</f>
        <v>5345.9135332703127</v>
      </c>
      <c r="D26" s="27">
        <f t="shared" si="0"/>
        <v>552.96</v>
      </c>
    </row>
    <row r="27" spans="1:6">
      <c r="A27" s="15" t="s">
        <v>20</v>
      </c>
      <c r="B27" s="16">
        <f>$B$14*POWER( 9,$B$15)</f>
        <v>492.94960945536474</v>
      </c>
      <c r="C27" s="24">
        <f>SUM(B19:B27)</f>
        <v>5838.8631427256778</v>
      </c>
      <c r="D27" s="27">
        <f t="shared" si="0"/>
        <v>532.38557821179393</v>
      </c>
    </row>
    <row r="28" spans="1:6">
      <c r="A28" s="15" t="s">
        <v>21</v>
      </c>
      <c r="B28" s="16">
        <f>$B$14*POWER( 10,$B$15)</f>
        <v>476.50987489022447</v>
      </c>
      <c r="C28" s="24">
        <f>SUM(B19:B28)</f>
        <v>6315.3730176159024</v>
      </c>
      <c r="D28" s="27">
        <f t="shared" si="0"/>
        <v>514.6306648814425</v>
      </c>
      <c r="E28" s="23"/>
      <c r="F28" s="23"/>
    </row>
    <row r="29" spans="1:6">
      <c r="A29" s="15" t="s">
        <v>22</v>
      </c>
      <c r="B29" s="16">
        <f>$B$14*POWER( 11,$B$15)</f>
        <v>462.11113868253398</v>
      </c>
      <c r="C29" s="24">
        <f>SUM(B19:B29)</f>
        <v>6777.4841562984366</v>
      </c>
      <c r="D29" s="27">
        <f t="shared" si="0"/>
        <v>499.0800297771367</v>
      </c>
    </row>
    <row r="30" spans="1:6">
      <c r="A30" s="15" t="s">
        <v>23</v>
      </c>
      <c r="B30" s="16">
        <f>$B$14*POWER( 12,$B$15)</f>
        <v>449.34636977827853</v>
      </c>
      <c r="C30" s="24">
        <f>SUM(B19:B30)</f>
        <v>7226.8305260767147</v>
      </c>
      <c r="D30" s="27">
        <f t="shared" si="0"/>
        <v>485.29407936054082</v>
      </c>
    </row>
    <row r="31" spans="1:6">
      <c r="A31" s="15" t="s">
        <v>24</v>
      </c>
      <c r="B31" s="16">
        <f>$B$14*POWER( 13,$B$15)</f>
        <v>437.91552166012383</v>
      </c>
      <c r="C31" s="24">
        <f>SUM(B19:B31)</f>
        <v>7664.7460477368386</v>
      </c>
      <c r="D31" s="27">
        <f t="shared" si="0"/>
        <v>472.94876339293376</v>
      </c>
    </row>
    <row r="32" spans="1:6">
      <c r="A32" s="15" t="s">
        <v>25</v>
      </c>
      <c r="B32" s="16">
        <f>$B$14*POWER( 14,$B$15)</f>
        <v>427.59161972489898</v>
      </c>
      <c r="C32" s="24">
        <f>SUM(B19:B32)</f>
        <v>8092.3376674617375</v>
      </c>
      <c r="D32" s="27">
        <f t="shared" si="0"/>
        <v>461.79894930289095</v>
      </c>
      <c r="E32" s="33" t="s">
        <v>67</v>
      </c>
      <c r="F32" s="33" t="s">
        <v>68</v>
      </c>
    </row>
    <row r="33" spans="1:6">
      <c r="A33" s="15" t="s">
        <v>26</v>
      </c>
      <c r="B33" s="16">
        <f>$B$14*POWER( 15,$B$15)</f>
        <v>418.19918446371884</v>
      </c>
      <c r="C33" s="24">
        <f>SUM(B19:B33)</f>
        <v>8510.5368519254571</v>
      </c>
      <c r="D33" s="27">
        <f t="shared" si="0"/>
        <v>451.65511922081635</v>
      </c>
      <c r="E33" s="27">
        <f>AVERAGE(D24:D33)</f>
        <v>515.46194699768444</v>
      </c>
      <c r="F33" s="27">
        <f>MEDIAN(D24:D33)</f>
        <v>506.8553473292896</v>
      </c>
    </row>
    <row r="34" spans="1:6">
      <c r="A34" s="15" t="s">
        <v>27</v>
      </c>
      <c r="B34" s="16">
        <f>$B$14*POWER( 16,$B$15)</f>
        <v>409.60000000000008</v>
      </c>
      <c r="C34" s="24">
        <f>SUM(B19:B34)</f>
        <v>8920.1368519254574</v>
      </c>
      <c r="D34" s="28">
        <f t="shared" si="0"/>
        <v>442.36800000000011</v>
      </c>
    </row>
    <row r="35" spans="1:6">
      <c r="A35" s="15" t="s">
        <v>28</v>
      </c>
      <c r="B35" s="16">
        <f>$B$14*POWER( 17,$B$15)</f>
        <v>401.68343558140913</v>
      </c>
      <c r="C35" s="24">
        <f>SUM(B19:B35)</f>
        <v>9321.8202875068673</v>
      </c>
      <c r="D35" s="28">
        <f t="shared" si="0"/>
        <v>433.81811042792191</v>
      </c>
    </row>
    <row r="36" spans="1:6">
      <c r="A36" s="15" t="s">
        <v>29</v>
      </c>
      <c r="B36" s="16">
        <f>$B$14*POWER( 18,$B$15)</f>
        <v>394.35968756429185</v>
      </c>
      <c r="C36" s="24">
        <f>SUM(B19:B36)</f>
        <v>9716.1799750711598</v>
      </c>
      <c r="D36" s="28">
        <f t="shared" si="0"/>
        <v>425.90846256943524</v>
      </c>
    </row>
    <row r="37" spans="1:6">
      <c r="A37" s="15" t="s">
        <v>30</v>
      </c>
      <c r="B37" s="16">
        <f>$B$14*POWER( 19,$B$15)</f>
        <v>387.55495105243062</v>
      </c>
      <c r="C37" s="24">
        <f>SUM(B19:B37)</f>
        <v>10103.73492612359</v>
      </c>
      <c r="D37" s="28">
        <f t="shared" si="0"/>
        <v>418.55934713662509</v>
      </c>
    </row>
    <row r="38" spans="1:6">
      <c r="A38" s="15" t="s">
        <v>31</v>
      </c>
      <c r="B38" s="16">
        <f>$B$14*POWER( 20,$B$15)</f>
        <v>381.2078999121797</v>
      </c>
      <c r="C38" s="24">
        <f>SUM(B19:B38)</f>
        <v>10484.942826035771</v>
      </c>
      <c r="D38" s="28">
        <f t="shared" si="0"/>
        <v>411.70453190515411</v>
      </c>
      <c r="E38" s="23"/>
      <c r="F38" s="23"/>
    </row>
    <row r="39" spans="1:6">
      <c r="A39" s="15" t="s">
        <v>35</v>
      </c>
      <c r="B39" s="16">
        <f>$B$14*POWER( 21,$B$15)</f>
        <v>375.2670743574169</v>
      </c>
      <c r="C39" s="24">
        <f>SUM(B19:B39)</f>
        <v>10860.209900393187</v>
      </c>
      <c r="D39" s="28">
        <f t="shared" si="0"/>
        <v>405.28844030601027</v>
      </c>
    </row>
    <row r="40" spans="1:6">
      <c r="A40" s="15" t="s">
        <v>36</v>
      </c>
      <c r="B40" s="16">
        <f>$B$14*POWER( 22,$B$15)</f>
        <v>369.68891094602714</v>
      </c>
      <c r="C40" s="24">
        <f>SUM(B19:B40)</f>
        <v>11229.898811339215</v>
      </c>
      <c r="D40" s="28">
        <f t="shared" si="0"/>
        <v>399.26402382170932</v>
      </c>
    </row>
    <row r="41" spans="1:6">
      <c r="A41" s="15" t="s">
        <v>37</v>
      </c>
      <c r="B41" s="16">
        <f>$B$14*POWER( 23,$B$15)</f>
        <v>364.43623559916898</v>
      </c>
      <c r="C41" s="24">
        <f>SUM(B19:B41)</f>
        <v>11594.335046938384</v>
      </c>
      <c r="D41" s="28">
        <f t="shared" si="0"/>
        <v>393.59113444710255</v>
      </c>
    </row>
    <row r="42" spans="1:6">
      <c r="A42" s="15" t="s">
        <v>38</v>
      </c>
      <c r="B42" s="16">
        <f>$B$14*POWER( 24,$B$15)</f>
        <v>359.47709582262286</v>
      </c>
      <c r="C42" s="24">
        <f>SUM(B19:B42)</f>
        <v>11953.812142761008</v>
      </c>
      <c r="D42" s="28">
        <f t="shared" si="0"/>
        <v>388.23526348843274</v>
      </c>
    </row>
    <row r="43" spans="1:6">
      <c r="A43" s="15" t="s">
        <v>39</v>
      </c>
      <c r="B43" s="16">
        <f>$B$14*POWER( 25,$B$15)</f>
        <v>354.78384510608976</v>
      </c>
      <c r="C43" s="24">
        <f>SUM(B19:B43)</f>
        <v>12308.595987867098</v>
      </c>
      <c r="D43" s="28">
        <f t="shared" si="0"/>
        <v>383.16655271457694</v>
      </c>
      <c r="E43" s="23"/>
      <c r="F43" s="23"/>
    </row>
    <row r="44" spans="1:6">
      <c r="A44" s="15" t="s">
        <v>40</v>
      </c>
      <c r="B44" s="16">
        <f>$B$14*POWER( 26,$B$15)</f>
        <v>350.33241732809904</v>
      </c>
      <c r="C44" s="24">
        <f>SUM(B19:B44)</f>
        <v>12658.928405195198</v>
      </c>
      <c r="D44" s="28">
        <f t="shared" si="0"/>
        <v>378.35901071434699</v>
      </c>
    </row>
    <row r="45" spans="1:6">
      <c r="A45" s="15" t="s">
        <v>41</v>
      </c>
      <c r="B45" s="16">
        <f>$B$14*POWER( 27,$B$15)</f>
        <v>346.10174608185667</v>
      </c>
      <c r="C45" s="24">
        <f>SUM(B19:B45)</f>
        <v>13005.030151277055</v>
      </c>
      <c r="D45" s="28">
        <f t="shared" si="0"/>
        <v>373.78988576840521</v>
      </c>
    </row>
    <row r="46" spans="1:6">
      <c r="A46" s="15" t="s">
        <v>42</v>
      </c>
      <c r="B46" s="16">
        <f>$B$14*POWER( 28,$B$15)</f>
        <v>342.07329577991919</v>
      </c>
      <c r="C46" s="24">
        <f>SUM(B19:B46)</f>
        <v>13347.103447056974</v>
      </c>
      <c r="D46" s="28">
        <f t="shared" si="0"/>
        <v>369.43915944231276</v>
      </c>
    </row>
    <row r="47" spans="1:6">
      <c r="A47" s="15" t="s">
        <v>43</v>
      </c>
      <c r="B47" s="16">
        <f>$B$14*POWER( 29,$B$15)</f>
        <v>338.23067986789783</v>
      </c>
      <c r="C47" s="24">
        <f>SUM(B19:B47)</f>
        <v>13685.334126924872</v>
      </c>
      <c r="D47" s="28">
        <f t="shared" si="0"/>
        <v>365.28913425732969</v>
      </c>
      <c r="E47" s="33" t="s">
        <v>67</v>
      </c>
      <c r="F47" s="33" t="s">
        <v>68</v>
      </c>
    </row>
    <row r="48" spans="1:6">
      <c r="A48" s="15" t="s">
        <v>44</v>
      </c>
      <c r="B48" s="16">
        <f>$B$14*POWER( 30,$B$15)</f>
        <v>334.55934757097504</v>
      </c>
      <c r="C48" s="24">
        <f>SUM(B19:B48)</f>
        <v>14019.893474495848</v>
      </c>
      <c r="D48" s="28">
        <f t="shared" si="0"/>
        <v>361.32409537665308</v>
      </c>
      <c r="E48" s="28">
        <f>AVERAGE(D34:D48)</f>
        <v>396.67367682506762</v>
      </c>
      <c r="F48" s="28">
        <f>MEDIAN(D34:D48)</f>
        <v>393.59113444710255</v>
      </c>
    </row>
    <row r="49" spans="1:6">
      <c r="A49" s="15" t="s">
        <v>45</v>
      </c>
      <c r="B49" s="16">
        <f>$B$14*POWER( 31,$B$15)</f>
        <v>331.04632503560589</v>
      </c>
      <c r="C49" s="24">
        <f>SUM(B19:B49)</f>
        <v>14350.939799531454</v>
      </c>
      <c r="D49" s="29">
        <f t="shared" si="0"/>
        <v>357.53003103845441</v>
      </c>
    </row>
    <row r="50" spans="1:6">
      <c r="A50" s="15" t="s">
        <v>46</v>
      </c>
      <c r="B50" s="16">
        <f>$B$14*POWER( 32,$B$15)</f>
        <v>327.68000000000006</v>
      </c>
      <c r="C50" s="24">
        <f>SUM(B19:B50)</f>
        <v>14678.619799531454</v>
      </c>
      <c r="D50" s="29">
        <f t="shared" si="0"/>
        <v>353.89440000000008</v>
      </c>
    </row>
    <row r="51" spans="1:6">
      <c r="A51" s="15" t="s">
        <v>47</v>
      </c>
      <c r="B51" s="16">
        <f>$B$14*POWER( 33,$B$15)</f>
        <v>324.44994156422382</v>
      </c>
      <c r="C51" s="24">
        <f>SUM(B19:B51)</f>
        <v>15003.069741095678</v>
      </c>
      <c r="D51" s="29">
        <f t="shared" si="0"/>
        <v>350.40593688936173</v>
      </c>
    </row>
    <row r="52" spans="1:6">
      <c r="A52" s="15" t="s">
        <v>48</v>
      </c>
      <c r="B52" s="16">
        <f>$B$14*POWER( 34,$B$15)</f>
        <v>321.34674846512729</v>
      </c>
      <c r="C52" s="24">
        <f>SUM(B19:B52)</f>
        <v>15324.416489560805</v>
      </c>
      <c r="D52" s="29">
        <f t="shared" si="0"/>
        <v>347.05448834233749</v>
      </c>
    </row>
    <row r="53" spans="1:6">
      <c r="A53" s="15" t="s">
        <v>49</v>
      </c>
      <c r="B53" s="16">
        <f>$B$14*POWER( 35,$B$15)</f>
        <v>318.36192065503133</v>
      </c>
      <c r="C53" s="24">
        <f>SUM(B19:B53)</f>
        <v>15642.778410215837</v>
      </c>
      <c r="D53" s="29">
        <f t="shared" si="0"/>
        <v>343.83087430743387</v>
      </c>
      <c r="E53" s="23"/>
      <c r="F53" s="23"/>
    </row>
    <row r="54" spans="1:6">
      <c r="A54" s="15" t="s">
        <v>50</v>
      </c>
      <c r="B54" s="16">
        <f>$B$14*POWER( 36,$B$15)</f>
        <v>315.48775005143352</v>
      </c>
      <c r="C54" s="24">
        <f>SUM(B19:B54)</f>
        <v>15958.266160267271</v>
      </c>
      <c r="D54" s="29">
        <f t="shared" si="0"/>
        <v>340.72677005554823</v>
      </c>
    </row>
    <row r="55" spans="1:6">
      <c r="A55" s="15" t="s">
        <v>51</v>
      </c>
      <c r="B55" s="16">
        <f>$B$14*POWER( 37,$B$15)</f>
        <v>312.71722715070695</v>
      </c>
      <c r="C55" s="24">
        <f>SUM(B19:B55)</f>
        <v>16270.983387417977</v>
      </c>
      <c r="D55" s="29">
        <f t="shared" si="0"/>
        <v>337.73460532276351</v>
      </c>
    </row>
    <row r="56" spans="1:6">
      <c r="A56" s="15" t="s">
        <v>52</v>
      </c>
      <c r="B56" s="16">
        <f>$B$14*POWER( 38,$B$15)</f>
        <v>310.04396084194451</v>
      </c>
      <c r="C56" s="24">
        <f>SUM(B19:B56)</f>
        <v>16581.027348259922</v>
      </c>
      <c r="D56" s="29">
        <f t="shared" si="0"/>
        <v>334.84747770930011</v>
      </c>
    </row>
    <row r="57" spans="1:6">
      <c r="A57" s="15" t="s">
        <v>53</v>
      </c>
      <c r="B57" s="16">
        <f>$B$14*POWER( 39,$B$15)</f>
        <v>307.46210926177781</v>
      </c>
      <c r="C57" s="24">
        <f>SUM(B19:B57)</f>
        <v>16888.4894575217</v>
      </c>
      <c r="D57" s="29">
        <f t="shared" si="0"/>
        <v>332.05907800272007</v>
      </c>
    </row>
    <row r="58" spans="1:6">
      <c r="A58" s="15" t="s">
        <v>54</v>
      </c>
      <c r="B58" s="16">
        <f>$B$14*POWER( 40,$B$15)</f>
        <v>304.96631992974369</v>
      </c>
      <c r="C58" s="24">
        <f>SUM(B19:B58)</f>
        <v>17193.455777451443</v>
      </c>
      <c r="D58" s="29">
        <f t="shared" si="0"/>
        <v>329.36362552412322</v>
      </c>
      <c r="E58" s="23"/>
      <c r="F58" s="23"/>
    </row>
    <row r="59" spans="1:6">
      <c r="A59" s="15" t="s">
        <v>55</v>
      </c>
      <c r="B59" s="16">
        <f>$B$14*POWER( 41,$B$15)</f>
        <v>302.55167772087543</v>
      </c>
      <c r="C59" s="24">
        <f>SUM(B19:B59)</f>
        <v>17496.007455172319</v>
      </c>
      <c r="D59" s="29">
        <f t="shared" si="0"/>
        <v>326.75581193854549</v>
      </c>
    </row>
    <row r="60" spans="1:6">
      <c r="A60" s="15" t="s">
        <v>56</v>
      </c>
      <c r="B60" s="16">
        <f>$B$14*POWER( 42,$B$15)</f>
        <v>300.21365948593353</v>
      </c>
      <c r="C60" s="24">
        <f>SUM(B19:B60)</f>
        <v>17796.221114658252</v>
      </c>
      <c r="D60" s="29">
        <f t="shared" si="0"/>
        <v>324.23075224480823</v>
      </c>
    </row>
    <row r="61" spans="1:6">
      <c r="A61" s="15" t="s">
        <v>57</v>
      </c>
      <c r="B61" s="16">
        <f>$B$14*POWER( 43,$B$15)</f>
        <v>297.9480943339222</v>
      </c>
      <c r="C61" s="24">
        <f>SUM(B19:B61)</f>
        <v>18094.169208992174</v>
      </c>
      <c r="D61" s="29">
        <f t="shared" si="0"/>
        <v>321.78394188063601</v>
      </c>
    </row>
    <row r="62" spans="1:6">
      <c r="A62" s="15" t="s">
        <v>58</v>
      </c>
      <c r="B62" s="16">
        <f>$B$14*POWER( 44,$B$15)</f>
        <v>295.75112875682174</v>
      </c>
      <c r="C62" s="24">
        <f>SUM(B19:B62)</f>
        <v>18389.920337748998</v>
      </c>
      <c r="D62" s="29">
        <f t="shared" si="0"/>
        <v>319.41121905736748</v>
      </c>
    </row>
    <row r="63" spans="1:6">
      <c r="A63" s="15" t="s">
        <v>59</v>
      </c>
      <c r="B63" s="16">
        <f>$B$14*POWER( 45,$B$15)</f>
        <v>293.61919591095113</v>
      </c>
      <c r="C63" s="24">
        <f>SUM(B19:B63)</f>
        <v>18683.53953365995</v>
      </c>
      <c r="D63" s="29">
        <f t="shared" si="0"/>
        <v>317.10873158382725</v>
      </c>
      <c r="E63" s="23"/>
      <c r="F63" s="23"/>
    </row>
    <row r="64" spans="1:6">
      <c r="A64" s="15" t="s">
        <v>60</v>
      </c>
      <c r="B64" s="16">
        <f>$B$14*POWER( 46,$B$15)</f>
        <v>291.54898847933521</v>
      </c>
      <c r="C64" s="24">
        <f>SUM(B19:B64)</f>
        <v>18975.088522139285</v>
      </c>
      <c r="D64" s="29">
        <f t="shared" si="0"/>
        <v>314.87290755768203</v>
      </c>
    </row>
    <row r="65" spans="1:6">
      <c r="A65" s="15" t="s">
        <v>61</v>
      </c>
      <c r="B65" s="16">
        <f>$B$14*POWER( 47,$B$15)</f>
        <v>289.53743462980196</v>
      </c>
      <c r="C65" s="24">
        <f>SUM(B19:B65)</f>
        <v>19264.625956769087</v>
      </c>
      <c r="D65" s="29">
        <f t="shared" si="0"/>
        <v>312.70042940018612</v>
      </c>
    </row>
    <row r="66" spans="1:6">
      <c r="A66" s="15" t="s">
        <v>62</v>
      </c>
      <c r="B66" s="16">
        <f>$B$14*POWER( 48,$B$15)</f>
        <v>287.58167665809827</v>
      </c>
      <c r="C66" s="24">
        <f>SUM(B19:B66)</f>
        <v>19552.207633427184</v>
      </c>
      <c r="D66" s="29">
        <f t="shared" si="0"/>
        <v>310.58821079074613</v>
      </c>
    </row>
    <row r="67" spans="1:6">
      <c r="A67" s="15" t="s">
        <v>63</v>
      </c>
      <c r="B67" s="16">
        <f>$B$14*POWER( 49,$B$15)</f>
        <v>285.679051967129</v>
      </c>
      <c r="C67" s="24">
        <f>SUM(B19:B67)</f>
        <v>19837.886685394315</v>
      </c>
      <c r="D67" s="29">
        <f t="shared" si="0"/>
        <v>308.53337612449934</v>
      </c>
      <c r="E67" s="33" t="s">
        <v>67</v>
      </c>
      <c r="F67" s="33" t="s">
        <v>68</v>
      </c>
    </row>
    <row r="68" spans="1:6" ht="15" thickBot="1">
      <c r="A68" s="17" t="s">
        <v>64</v>
      </c>
      <c r="B68" s="18">
        <f>$B$14*POWER( 50,$B$15)</f>
        <v>283.82707608487181</v>
      </c>
      <c r="C68" s="25">
        <f>SUM(B19:B68)</f>
        <v>20121.713761479186</v>
      </c>
      <c r="D68" s="29">
        <f t="shared" si="0"/>
        <v>306.53324217166158</v>
      </c>
      <c r="E68" s="29">
        <f>AVERAGE(D49:D68)</f>
        <v>329.49829549710012</v>
      </c>
      <c r="F68" s="29">
        <f>MEDIAN(D49:D68)</f>
        <v>328.05971873133433</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Charts</vt:lpstr>
      </vt:variant>
      <vt:variant>
        <vt:i4>1</vt:i4>
      </vt:variant>
    </vt:vector>
  </HeadingPairs>
  <TitlesOfParts>
    <vt:vector size="2" baseType="lpstr">
      <vt:lpstr>Sheet5</vt:lpstr>
      <vt:lpstr>Graph for Sheet5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Camacho</dc:creator>
  <cp:lastModifiedBy>Aaron Camacho</cp:lastModifiedBy>
  <dcterms:created xsi:type="dcterms:W3CDTF">2014-01-16T00:07:52Z</dcterms:created>
  <dcterms:modified xsi:type="dcterms:W3CDTF">2014-01-16T19:11:05Z</dcterms:modified>
</cp:coreProperties>
</file>