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880" yWindow="2420" windowWidth="31660" windowHeight="18720" tabRatio="500"/>
  </bookViews>
  <sheets>
    <sheet name="Single Channel" sheetId="2" r:id="rId1"/>
    <sheet name="Multiple Channel" sheetId="3" r:id="rId2"/>
    <sheet name="Comparison Single vs. Multipl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3" l="1"/>
  <c r="F14" i="3"/>
  <c r="F13" i="2"/>
  <c r="I6" i="4"/>
  <c r="I7" i="4"/>
  <c r="I8" i="4"/>
  <c r="I9" i="4"/>
  <c r="I10" i="4"/>
  <c r="I11" i="4"/>
  <c r="I12" i="4"/>
  <c r="I5" i="4"/>
  <c r="J6" i="4"/>
  <c r="J7" i="4"/>
  <c r="J8" i="4"/>
  <c r="J9" i="4"/>
  <c r="J10" i="4"/>
  <c r="J11" i="4"/>
  <c r="J12" i="4"/>
  <c r="J5" i="4"/>
  <c r="H17" i="3"/>
  <c r="H16" i="3"/>
  <c r="H15" i="3"/>
  <c r="H14" i="3"/>
  <c r="H13" i="3"/>
  <c r="H12" i="3"/>
  <c r="H11" i="3"/>
  <c r="H10" i="3"/>
  <c r="E11" i="2"/>
  <c r="D6" i="4"/>
  <c r="E12" i="2"/>
  <c r="D7" i="4"/>
  <c r="E13" i="2"/>
  <c r="D8" i="4"/>
  <c r="E14" i="2"/>
  <c r="D9" i="4"/>
  <c r="E10" i="2"/>
  <c r="E15" i="2"/>
  <c r="D10" i="4"/>
  <c r="E16" i="2"/>
  <c r="D11" i="4"/>
  <c r="E17" i="2"/>
  <c r="D12" i="4"/>
  <c r="D5" i="4"/>
  <c r="B43" i="3"/>
  <c r="B44" i="3"/>
  <c r="C45" i="3"/>
  <c r="B45" i="3"/>
  <c r="D45" i="3"/>
  <c r="E45" i="3"/>
  <c r="F45" i="3"/>
  <c r="G45" i="3"/>
  <c r="C44" i="3"/>
  <c r="D44" i="3"/>
  <c r="E44" i="3"/>
  <c r="F44" i="3"/>
  <c r="G44" i="3"/>
  <c r="E11" i="3"/>
  <c r="E6" i="4"/>
  <c r="E12" i="3"/>
  <c r="E7" i="4"/>
  <c r="E13" i="3"/>
  <c r="E8" i="4"/>
  <c r="E14" i="3"/>
  <c r="E9" i="4"/>
  <c r="E15" i="3"/>
  <c r="E10" i="4"/>
  <c r="E16" i="3"/>
  <c r="E11" i="4"/>
  <c r="E17" i="3"/>
  <c r="E12" i="4"/>
  <c r="E10" i="3"/>
  <c r="E5" i="4"/>
  <c r="F11" i="3"/>
  <c r="F15" i="3"/>
  <c r="F12" i="3"/>
  <c r="F10" i="3"/>
  <c r="H11" i="2"/>
  <c r="H12" i="2"/>
  <c r="H13" i="2"/>
  <c r="H14" i="2"/>
  <c r="H15" i="2"/>
  <c r="H16" i="2"/>
  <c r="H17" i="2"/>
  <c r="H10" i="2"/>
  <c r="F10" i="2"/>
  <c r="F14" i="2"/>
  <c r="F12" i="2"/>
  <c r="F11" i="2"/>
  <c r="F15" i="2"/>
  <c r="A2" i="3"/>
  <c r="A22" i="3"/>
  <c r="A23" i="3"/>
  <c r="D43" i="3"/>
  <c r="C43" i="3"/>
  <c r="E43" i="3"/>
  <c r="B23" i="3"/>
  <c r="B21" i="3"/>
  <c r="C21" i="3"/>
  <c r="B22" i="3"/>
  <c r="C22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16" i="3"/>
  <c r="F43" i="3"/>
  <c r="G43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C64" i="3"/>
  <c r="B64" i="3"/>
  <c r="D64" i="3"/>
  <c r="E64" i="3"/>
  <c r="F64" i="3"/>
  <c r="G64" i="3"/>
  <c r="I64" i="3"/>
  <c r="J64" i="3"/>
  <c r="H64" i="3"/>
  <c r="C63" i="3"/>
  <c r="D63" i="3"/>
  <c r="E63" i="3"/>
  <c r="F63" i="3"/>
  <c r="G63" i="3"/>
  <c r="I63" i="3"/>
  <c r="J63" i="3"/>
  <c r="H63" i="3"/>
  <c r="C62" i="3"/>
  <c r="D62" i="3"/>
  <c r="E62" i="3"/>
  <c r="F62" i="3"/>
  <c r="G62" i="3"/>
  <c r="I62" i="3"/>
  <c r="J62" i="3"/>
  <c r="H62" i="3"/>
  <c r="C61" i="3"/>
  <c r="D61" i="3"/>
  <c r="E61" i="3"/>
  <c r="F61" i="3"/>
  <c r="G61" i="3"/>
  <c r="I61" i="3"/>
  <c r="J61" i="3"/>
  <c r="H61" i="3"/>
  <c r="C60" i="3"/>
  <c r="D60" i="3"/>
  <c r="E60" i="3"/>
  <c r="F60" i="3"/>
  <c r="G60" i="3"/>
  <c r="I60" i="3"/>
  <c r="J60" i="3"/>
  <c r="H60" i="3"/>
  <c r="C59" i="3"/>
  <c r="D59" i="3"/>
  <c r="E59" i="3"/>
  <c r="F59" i="3"/>
  <c r="G59" i="3"/>
  <c r="I59" i="3"/>
  <c r="J59" i="3"/>
  <c r="H59" i="3"/>
  <c r="C58" i="3"/>
  <c r="D58" i="3"/>
  <c r="E58" i="3"/>
  <c r="F58" i="3"/>
  <c r="G58" i="3"/>
  <c r="I58" i="3"/>
  <c r="J58" i="3"/>
  <c r="H58" i="3"/>
  <c r="C57" i="3"/>
  <c r="D57" i="3"/>
  <c r="E57" i="3"/>
  <c r="F57" i="3"/>
  <c r="G57" i="3"/>
  <c r="I57" i="3"/>
  <c r="J57" i="3"/>
  <c r="H57" i="3"/>
  <c r="C56" i="3"/>
  <c r="D56" i="3"/>
  <c r="E56" i="3"/>
  <c r="F56" i="3"/>
  <c r="G56" i="3"/>
  <c r="I56" i="3"/>
  <c r="J56" i="3"/>
  <c r="H56" i="3"/>
  <c r="C55" i="3"/>
  <c r="D55" i="3"/>
  <c r="E55" i="3"/>
  <c r="F55" i="3"/>
  <c r="G55" i="3"/>
  <c r="I55" i="3"/>
  <c r="J55" i="3"/>
  <c r="H55" i="3"/>
  <c r="C54" i="3"/>
  <c r="D54" i="3"/>
  <c r="E54" i="3"/>
  <c r="F54" i="3"/>
  <c r="G54" i="3"/>
  <c r="I54" i="3"/>
  <c r="J54" i="3"/>
  <c r="H54" i="3"/>
  <c r="C53" i="3"/>
  <c r="D53" i="3"/>
  <c r="E53" i="3"/>
  <c r="F53" i="3"/>
  <c r="G53" i="3"/>
  <c r="I53" i="3"/>
  <c r="J53" i="3"/>
  <c r="H53" i="3"/>
  <c r="C52" i="3"/>
  <c r="D52" i="3"/>
  <c r="E52" i="3"/>
  <c r="F52" i="3"/>
  <c r="G52" i="3"/>
  <c r="I52" i="3"/>
  <c r="J52" i="3"/>
  <c r="H52" i="3"/>
  <c r="C51" i="3"/>
  <c r="D51" i="3"/>
  <c r="E51" i="3"/>
  <c r="F51" i="3"/>
  <c r="G51" i="3"/>
  <c r="I51" i="3"/>
  <c r="J51" i="3"/>
  <c r="H51" i="3"/>
  <c r="C50" i="3"/>
  <c r="D50" i="3"/>
  <c r="E50" i="3"/>
  <c r="F50" i="3"/>
  <c r="G50" i="3"/>
  <c r="I50" i="3"/>
  <c r="J50" i="3"/>
  <c r="H50" i="3"/>
  <c r="C49" i="3"/>
  <c r="D49" i="3"/>
  <c r="E49" i="3"/>
  <c r="F49" i="3"/>
  <c r="G49" i="3"/>
  <c r="I49" i="3"/>
  <c r="J49" i="3"/>
  <c r="H49" i="3"/>
  <c r="C48" i="3"/>
  <c r="D48" i="3"/>
  <c r="E48" i="3"/>
  <c r="F48" i="3"/>
  <c r="G48" i="3"/>
  <c r="I48" i="3"/>
  <c r="J48" i="3"/>
  <c r="H48" i="3"/>
  <c r="C47" i="3"/>
  <c r="D47" i="3"/>
  <c r="E47" i="3"/>
  <c r="F47" i="3"/>
  <c r="G47" i="3"/>
  <c r="I47" i="3"/>
  <c r="J47" i="3"/>
  <c r="H47" i="3"/>
  <c r="C46" i="3"/>
  <c r="D46" i="3"/>
  <c r="E46" i="3"/>
  <c r="F46" i="3"/>
  <c r="G46" i="3"/>
  <c r="I46" i="3"/>
  <c r="J46" i="3"/>
  <c r="H46" i="3"/>
  <c r="I45" i="3"/>
  <c r="J45" i="3"/>
  <c r="H45" i="3"/>
  <c r="I44" i="3"/>
  <c r="J44" i="3"/>
  <c r="H44" i="3"/>
  <c r="I43" i="3"/>
  <c r="J43" i="3"/>
  <c r="H43" i="3"/>
  <c r="A2" i="2"/>
  <c r="B22" i="2"/>
  <c r="B23" i="2"/>
  <c r="B24" i="2"/>
  <c r="C22" i="2"/>
  <c r="C23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16" i="2"/>
</calcChain>
</file>

<file path=xl/comments1.xml><?xml version="1.0" encoding="utf-8"?>
<comments xmlns="http://schemas.openxmlformats.org/spreadsheetml/2006/main">
  <authors>
    <author>Aaron Camacho</author>
  </authors>
  <commentList>
    <comment ref="A9" authorId="0">
      <text>
        <r>
          <rPr>
            <sz val="9"/>
            <color indexed="81"/>
            <rFont val="Calibri"/>
            <family val="2"/>
          </rPr>
          <t>Waiting Lines: Submodel =  0; Problem size @  2 by 2</t>
        </r>
      </text>
    </comment>
  </commentList>
</comments>
</file>

<file path=xl/comments2.xml><?xml version="1.0" encoding="utf-8"?>
<comments xmlns="http://schemas.openxmlformats.org/spreadsheetml/2006/main">
  <authors>
    <author>Aaron Camacho</author>
  </authors>
  <commentList>
    <comment ref="A9" authorId="0">
      <text>
        <r>
          <rPr>
            <sz val="9"/>
            <color indexed="81"/>
            <rFont val="Calibri"/>
            <family val="2"/>
          </rPr>
          <t>Waiting Lines: Submodel =  0; Problem size @  2 by 2</t>
        </r>
      </text>
    </comment>
  </commentList>
</comments>
</file>

<file path=xl/sharedStrings.xml><?xml version="1.0" encoding="utf-8"?>
<sst xmlns="http://schemas.openxmlformats.org/spreadsheetml/2006/main" count="86" uniqueCount="42">
  <si>
    <t>Waiting Lines</t>
  </si>
  <si>
    <t>M/M/1 (Single Server Model)</t>
  </si>
  <si>
    <r>
      <t>Arrival rate (</t>
    </r>
    <r>
      <rPr>
        <sz val="11"/>
        <color theme="1"/>
        <rFont val="Symbol"/>
      </rPr>
      <t>l</t>
    </r>
    <r>
      <rPr>
        <sz val="11"/>
        <color theme="1"/>
        <rFont val="Calibri"/>
        <scheme val="minor"/>
      </rPr>
      <t>)</t>
    </r>
  </si>
  <si>
    <r>
      <t>Service rate (</t>
    </r>
    <r>
      <rPr>
        <sz val="11"/>
        <color theme="1"/>
        <rFont val="Symbol"/>
      </rPr>
      <t>m</t>
    </r>
    <r>
      <rPr>
        <sz val="11"/>
        <color theme="1"/>
        <rFont val="Calibri"/>
        <scheme val="minor"/>
      </rPr>
      <t>)</t>
    </r>
  </si>
  <si>
    <t>Data</t>
  </si>
  <si>
    <t>Results</t>
  </si>
  <si>
    <t>Number of servers</t>
  </si>
  <si>
    <t>Server cost $/time)</t>
  </si>
  <si>
    <t>Waiting cost ($/time)</t>
  </si>
  <si>
    <t>Cost - based on waiting</t>
  </si>
  <si>
    <t>Cost - based on system</t>
  </si>
  <si>
    <r>
      <t>Average server utilization(</t>
    </r>
    <r>
      <rPr>
        <b/>
        <sz val="11"/>
        <color rgb="FF3F3F3F"/>
        <rFont val="Symbol"/>
      </rPr>
      <t>r</t>
    </r>
    <r>
      <rPr>
        <b/>
        <sz val="11"/>
        <color rgb="FF3F3F3F"/>
        <rFont val="Calibri"/>
        <scheme val="minor"/>
      </rPr>
      <t>)</t>
    </r>
  </si>
  <si>
    <r>
      <t>Average number of customers in the queue(L</t>
    </r>
    <r>
      <rPr>
        <b/>
        <vertAlign val="subscript"/>
        <sz val="11"/>
        <color rgb="FF3F3F3F"/>
        <rFont val="Calibri"/>
        <scheme val="minor"/>
      </rPr>
      <t>q</t>
    </r>
    <r>
      <rPr>
        <b/>
        <sz val="11"/>
        <color rgb="FF3F3F3F"/>
        <rFont val="Calibri"/>
        <scheme val="minor"/>
      </rPr>
      <t>)</t>
    </r>
  </si>
  <si>
    <r>
      <t>Average number of customers in the system(L</t>
    </r>
    <r>
      <rPr>
        <b/>
        <vertAlign val="subscript"/>
        <sz val="11"/>
        <color rgb="FF3F3F3F"/>
        <rFont val="Calibri"/>
        <scheme val="minor"/>
      </rPr>
      <t>s</t>
    </r>
    <r>
      <rPr>
        <b/>
        <sz val="11"/>
        <color rgb="FF3F3F3F"/>
        <rFont val="Calibri"/>
        <scheme val="minor"/>
      </rPr>
      <t>)</t>
    </r>
  </si>
  <si>
    <r>
      <t>Average waiting time in the queue(W</t>
    </r>
    <r>
      <rPr>
        <b/>
        <vertAlign val="subscript"/>
        <sz val="11"/>
        <color rgb="FF3F3F3F"/>
        <rFont val="Calibri"/>
        <scheme val="minor"/>
      </rPr>
      <t>q</t>
    </r>
    <r>
      <rPr>
        <b/>
        <sz val="11"/>
        <color rgb="FF3F3F3F"/>
        <rFont val="Calibri"/>
        <scheme val="minor"/>
      </rPr>
      <t>)</t>
    </r>
  </si>
  <si>
    <r>
      <t>Average time in the system(W</t>
    </r>
    <r>
      <rPr>
        <b/>
        <vertAlign val="subscript"/>
        <sz val="11"/>
        <color rgb="FF3F3F3F"/>
        <rFont val="Calibri"/>
        <scheme val="minor"/>
      </rPr>
      <t>s</t>
    </r>
    <r>
      <rPr>
        <b/>
        <sz val="11"/>
        <color rgb="FF3F3F3F"/>
        <rFont val="Calibri"/>
        <scheme val="minor"/>
      </rPr>
      <t>)</t>
    </r>
  </si>
  <si>
    <r>
      <t>Probability (% of time) system is empty (P</t>
    </r>
    <r>
      <rPr>
        <b/>
        <vertAlign val="subscript"/>
        <sz val="11"/>
        <color rgb="FF3F3F3F"/>
        <rFont val="Calibri"/>
        <scheme val="minor"/>
      </rPr>
      <t>0</t>
    </r>
    <r>
      <rPr>
        <b/>
        <sz val="11"/>
        <color rgb="FF3F3F3F"/>
        <rFont val="Calibri"/>
        <scheme val="minor"/>
      </rPr>
      <t>)</t>
    </r>
  </si>
  <si>
    <t>Number</t>
  </si>
  <si>
    <t>Probability</t>
  </si>
  <si>
    <t>Cumulative Probability</t>
  </si>
  <si>
    <t>Probabilities</t>
  </si>
  <si>
    <t xml:space="preserve">Customer Service Standards </t>
  </si>
  <si>
    <t xml:space="preserve"> </t>
  </si>
  <si>
    <t>M/M/s</t>
  </si>
  <si>
    <t>Number of servers(s)</t>
  </si>
  <si>
    <t>term2</t>
  </si>
  <si>
    <t>P0(s)</t>
  </si>
  <si>
    <t>Rho(s)</t>
  </si>
  <si>
    <t>Lq(s)</t>
  </si>
  <si>
    <t>L(s)</t>
  </si>
  <si>
    <t>Wq(s)</t>
  </si>
  <si>
    <t>W(S)</t>
  </si>
  <si>
    <t>Customer Service Standard</t>
  </si>
  <si>
    <t>K</t>
  </si>
  <si>
    <t>Normal Store Operation:  1 Customer in the System on Average</t>
  </si>
  <si>
    <t>Probabilities of More 
Than "K" Units in Store</t>
  </si>
  <si>
    <t>Normal Store Operation:  0.5333 Customer in the System on Average</t>
  </si>
  <si>
    <t xml:space="preserve">Converted Result Terms </t>
  </si>
  <si>
    <t>Probabilities of More
 Than "K" Units in Store</t>
  </si>
  <si>
    <t>One Cashier</t>
  </si>
  <si>
    <t>Two Cashiers</t>
  </si>
  <si>
    <t xml:space="preserve">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</si>
</sst>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FF"/>
      <name val="Calibri"/>
      <scheme val="minor"/>
    </font>
    <font>
      <b/>
      <sz val="13"/>
      <color rgb="FF1F497D"/>
      <name val="Calibri"/>
      <scheme val="minor"/>
    </font>
    <font>
      <sz val="11"/>
      <color theme="1"/>
      <name val="Symbol"/>
    </font>
    <font>
      <sz val="9"/>
      <color indexed="81"/>
      <name val="Calibri"/>
      <family val="2"/>
    </font>
    <font>
      <b/>
      <sz val="11"/>
      <color rgb="FFFF6600"/>
      <name val="Calibri"/>
      <scheme val="minor"/>
    </font>
    <font>
      <b/>
      <sz val="11"/>
      <color rgb="FF3F3F3F"/>
      <name val="Calibri"/>
      <scheme val="minor"/>
    </font>
    <font>
      <sz val="11"/>
      <color rgb="FFFF0000"/>
      <name val="Calibri"/>
      <scheme val="minor"/>
    </font>
    <font>
      <b/>
      <sz val="11"/>
      <color theme="1"/>
      <name val="Calibri"/>
      <scheme val="minor"/>
    </font>
    <font>
      <b/>
      <sz val="11"/>
      <color rgb="FF3F3F3F"/>
      <name val="Symbol"/>
    </font>
    <font>
      <b/>
      <vertAlign val="subscript"/>
      <sz val="11"/>
      <color rgb="FF3F3F3F"/>
      <name val="Calibri"/>
      <scheme val="minor"/>
    </font>
    <font>
      <b/>
      <sz val="14"/>
      <color rgb="FF800000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  <font>
      <b/>
      <sz val="11"/>
      <color theme="0"/>
      <name val="Calibri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2" fillId="0" borderId="3" xfId="0" applyFont="1" applyBorder="1"/>
    <xf numFmtId="0" fontId="2" fillId="2" borderId="4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0" borderId="7" xfId="0" applyFont="1" applyBorder="1"/>
    <xf numFmtId="0" fontId="2" fillId="2" borderId="8" xfId="0" applyFont="1" applyFill="1" applyBorder="1"/>
    <xf numFmtId="0" fontId="2" fillId="3" borderId="6" xfId="0" applyFont="1" applyFill="1" applyBorder="1"/>
    <xf numFmtId="0" fontId="9" fillId="0" borderId="0" xfId="0" applyFont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4" xfId="0" applyFont="1" applyFill="1" applyBorder="1"/>
    <xf numFmtId="0" fontId="8" fillId="4" borderId="6" xfId="0" applyFont="1" applyFill="1" applyBorder="1"/>
    <xf numFmtId="0" fontId="8" fillId="4" borderId="8" xfId="0" applyFont="1" applyFill="1" applyBorder="1"/>
    <xf numFmtId="164" fontId="2" fillId="0" borderId="0" xfId="0" applyNumberFormat="1" applyFont="1"/>
    <xf numFmtId="164" fontId="8" fillId="4" borderId="1" xfId="0" applyNumberFormat="1" applyFont="1" applyFill="1" applyBorder="1"/>
    <xf numFmtId="164" fontId="8" fillId="4" borderId="16" xfId="0" applyNumberFormat="1" applyFont="1" applyFill="1" applyBorder="1"/>
    <xf numFmtId="164" fontId="8" fillId="4" borderId="6" xfId="0" applyNumberFormat="1" applyFont="1" applyFill="1" applyBorder="1"/>
    <xf numFmtId="164" fontId="8" fillId="4" borderId="8" xfId="0" applyNumberFormat="1" applyFont="1" applyFill="1" applyBorder="1"/>
    <xf numFmtId="0" fontId="2" fillId="0" borderId="0" xfId="0" applyFont="1" applyAlignment="1">
      <alignment wrapText="1"/>
    </xf>
    <xf numFmtId="0" fontId="13" fillId="0" borderId="0" xfId="0" applyFont="1"/>
    <xf numFmtId="14" fontId="14" fillId="0" borderId="0" xfId="0" applyNumberFormat="1" applyFont="1"/>
    <xf numFmtId="0" fontId="14" fillId="0" borderId="0" xfId="0" applyFont="1"/>
    <xf numFmtId="0" fontId="2" fillId="0" borderId="5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8" fillId="4" borderId="12" xfId="0" applyFont="1" applyFill="1" applyBorder="1" applyAlignment="1">
      <alignment wrapText="1"/>
    </xf>
    <xf numFmtId="0" fontId="10" fillId="0" borderId="0" xfId="0" applyFont="1"/>
    <xf numFmtId="0" fontId="18" fillId="6" borderId="9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10" fontId="2" fillId="8" borderId="10" xfId="1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0" fontId="2" fillId="8" borderId="11" xfId="1" applyNumberFormat="1" applyFont="1" applyFill="1" applyBorder="1" applyAlignment="1">
      <alignment horizontal="center"/>
    </xf>
    <xf numFmtId="0" fontId="8" fillId="4" borderId="17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4" borderId="18" xfId="0" applyFont="1" applyFill="1" applyBorder="1" applyAlignment="1">
      <alignment wrapText="1"/>
    </xf>
    <xf numFmtId="0" fontId="2" fillId="5" borderId="20" xfId="0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2" fillId="10" borderId="0" xfId="0" applyFont="1" applyFill="1" applyBorder="1" applyAlignment="1">
      <alignment horizontal="center"/>
    </xf>
    <xf numFmtId="10" fontId="2" fillId="10" borderId="0" xfId="1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0" fontId="2" fillId="8" borderId="9" xfId="1" applyNumberFormat="1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0" fontId="2" fillId="8" borderId="6" xfId="1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0" fontId="2" fillId="8" borderId="8" xfId="1" applyNumberFormat="1" applyFont="1" applyFill="1" applyBorder="1" applyAlignment="1">
      <alignment horizontal="center"/>
    </xf>
    <xf numFmtId="0" fontId="2" fillId="11" borderId="23" xfId="0" applyFont="1" applyFill="1" applyBorder="1"/>
    <xf numFmtId="0" fontId="2" fillId="11" borderId="24" xfId="0" applyFont="1" applyFill="1" applyBorder="1"/>
    <xf numFmtId="0" fontId="2" fillId="11" borderId="25" xfId="0" applyFont="1" applyFill="1" applyBorder="1"/>
    <xf numFmtId="0" fontId="0" fillId="11" borderId="14" xfId="0" applyFill="1" applyBorder="1"/>
    <xf numFmtId="0" fontId="0" fillId="11" borderId="1" xfId="0" applyFill="1" applyBorder="1"/>
    <xf numFmtId="165" fontId="0" fillId="11" borderId="1" xfId="0" applyNumberFormat="1" applyFill="1" applyBorder="1"/>
    <xf numFmtId="0" fontId="0" fillId="11" borderId="16" xfId="0" applyFill="1" applyBorder="1"/>
    <xf numFmtId="0" fontId="18" fillId="12" borderId="2" xfId="0" applyFont="1" applyFill="1" applyBorder="1"/>
    <xf numFmtId="0" fontId="18" fillId="13" borderId="0" xfId="0" applyFont="1" applyFill="1"/>
    <xf numFmtId="0" fontId="18" fillId="9" borderId="13" xfId="0" applyFont="1" applyFill="1" applyBorder="1" applyAlignment="1">
      <alignment horizontal="center" wrapText="1"/>
    </xf>
    <xf numFmtId="0" fontId="18" fillId="9" borderId="4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 wrapText="1"/>
    </xf>
    <xf numFmtId="0" fontId="18" fillId="9" borderId="9" xfId="0" applyFont="1" applyFill="1" applyBorder="1" applyAlignment="1">
      <alignment horizontal="center" wrapText="1"/>
    </xf>
    <xf numFmtId="0" fontId="18" fillId="9" borderId="7" xfId="0" applyFont="1" applyFill="1" applyBorder="1" applyAlignment="1">
      <alignment horizontal="center" wrapText="1"/>
    </xf>
    <xf numFmtId="0" fontId="18" fillId="9" borderId="11" xfId="0" applyFont="1" applyFill="1" applyBorder="1" applyAlignment="1">
      <alignment horizontal="center" wrapText="1"/>
    </xf>
    <xf numFmtId="165" fontId="8" fillId="4" borderId="18" xfId="0" applyNumberFormat="1" applyFont="1" applyFill="1" applyBorder="1"/>
    <xf numFmtId="0" fontId="0" fillId="14" borderId="4" xfId="0" applyFill="1" applyBorder="1"/>
    <xf numFmtId="165" fontId="0" fillId="14" borderId="6" xfId="0" applyNumberFormat="1" applyFill="1" applyBorder="1"/>
    <xf numFmtId="0" fontId="0" fillId="14" borderId="6" xfId="0" applyFill="1" applyBorder="1"/>
    <xf numFmtId="0" fontId="0" fillId="14" borderId="8" xfId="0" applyFill="1" applyBorder="1"/>
    <xf numFmtId="0" fontId="8" fillId="4" borderId="26" xfId="0" applyFont="1" applyFill="1" applyBorder="1"/>
    <xf numFmtId="0" fontId="8" fillId="4" borderId="27" xfId="0" applyFont="1" applyFill="1" applyBorder="1"/>
    <xf numFmtId="0" fontId="8" fillId="4" borderId="27" xfId="0" applyFont="1" applyFill="1" applyBorder="1" applyAlignment="1">
      <alignment wrapText="1"/>
    </xf>
    <xf numFmtId="0" fontId="8" fillId="4" borderId="28" xfId="0" applyFont="1" applyFill="1" applyBorder="1"/>
    <xf numFmtId="0" fontId="17" fillId="6" borderId="2" xfId="0" applyFont="1" applyFill="1" applyBorder="1"/>
    <xf numFmtId="0" fontId="0" fillId="15" borderId="3" xfId="0" applyFill="1" applyBorder="1"/>
    <xf numFmtId="0" fontId="0" fillId="15" borderId="29" xfId="0" applyFill="1" applyBorder="1"/>
    <xf numFmtId="0" fontId="0" fillId="15" borderId="9" xfId="0" applyFill="1" applyBorder="1"/>
    <xf numFmtId="0" fontId="0" fillId="15" borderId="5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15" borderId="7" xfId="0" applyFill="1" applyBorder="1"/>
    <xf numFmtId="0" fontId="0" fillId="15" borderId="30" xfId="0" applyFill="1" applyBorder="1"/>
    <xf numFmtId="0" fontId="0" fillId="15" borderId="11" xfId="0" applyFill="1" applyBorder="1"/>
    <xf numFmtId="0" fontId="19" fillId="12" borderId="31" xfId="0" applyFont="1" applyFill="1" applyBorder="1" applyAlignment="1"/>
    <xf numFmtId="0" fontId="19" fillId="13" borderId="4" xfId="0" applyFont="1" applyFill="1" applyBorder="1" applyAlignment="1"/>
    <xf numFmtId="0" fontId="20" fillId="6" borderId="32" xfId="0" applyFont="1" applyFill="1" applyBorder="1" applyAlignment="1">
      <alignment horizontal="center"/>
    </xf>
    <xf numFmtId="0" fontId="0" fillId="15" borderId="33" xfId="0" applyFill="1" applyBorder="1"/>
    <xf numFmtId="0" fontId="0" fillId="15" borderId="34" xfId="0" applyFill="1" applyBorder="1"/>
    <xf numFmtId="0" fontId="0" fillId="15" borderId="35" xfId="0" applyFill="1" applyBorder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6">
    <dxf>
      <font>
        <color theme="1"/>
      </font>
      <fill>
        <patternFill patternType="solid">
          <fgColor indexed="64"/>
          <bgColor theme="7" tint="0.59999389629810485"/>
        </patternFill>
      </fill>
    </dxf>
    <dxf>
      <font>
        <color theme="1"/>
      </font>
      <fill>
        <patternFill patternType="solid">
          <fgColor indexed="64"/>
          <bgColor theme="6" tint="0.59999389629810485"/>
        </patternFill>
      </fill>
    </dxf>
    <dxf>
      <font>
        <color theme="1"/>
      </font>
      <fill>
        <patternFill patternType="solid">
          <fgColor indexed="64"/>
          <bgColor theme="6" tint="0.59999389629810485"/>
        </patternFill>
      </fill>
    </dxf>
    <dxf>
      <font>
        <color theme="1"/>
      </font>
      <fill>
        <patternFill patternType="solid">
          <fgColor indexed="64"/>
          <bgColor theme="7" tint="0.59999389629810485"/>
        </patternFill>
      </fill>
    </dxf>
    <dxf>
      <font>
        <color theme="1"/>
      </font>
      <fill>
        <patternFill patternType="solid">
          <fgColor indexed="64"/>
          <bgColor theme="6" tint="0.59999389629810485"/>
        </patternFill>
      </fill>
    </dxf>
    <dxf>
      <font>
        <color theme="1"/>
      </font>
      <fill>
        <patternFill patternType="solid">
          <fgColor indexed="64"/>
          <bgColor theme="6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0</xdr:rowOff>
    </xdr:from>
    <xdr:to>
      <xdr:col>3</xdr:col>
      <xdr:colOff>2209800</xdr:colOff>
      <xdr:row>7</xdr:row>
      <xdr:rowOff>139700</xdr:rowOff>
    </xdr:to>
    <xdr:sp macro="" textlink="">
      <xdr:nvSpPr>
        <xdr:cNvPr id="2" name="messageTextbox"/>
        <xdr:cNvSpPr txBox="1"/>
      </xdr:nvSpPr>
      <xdr:spPr>
        <a:xfrm>
          <a:off x="254000" y="1143000"/>
          <a:ext cx="5080000" cy="3175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The arrival RATE and service RATE both must be rates and use the same time unit. Given a time such as 10 minutes, convert it to a rate such as 6 per hour.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0</xdr:rowOff>
    </xdr:from>
    <xdr:to>
      <xdr:col>3</xdr:col>
      <xdr:colOff>2247900</xdr:colOff>
      <xdr:row>7</xdr:row>
      <xdr:rowOff>139700</xdr:rowOff>
    </xdr:to>
    <xdr:sp macro="" textlink="">
      <xdr:nvSpPr>
        <xdr:cNvPr id="2" name="messageTextbox"/>
        <xdr:cNvSpPr txBox="1"/>
      </xdr:nvSpPr>
      <xdr:spPr>
        <a:xfrm>
          <a:off x="254000" y="1143000"/>
          <a:ext cx="5080000" cy="3175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The arrival RATE and service RATE both must be rates and use the same time unit. Given a time such as 10 minutes, convert it to a rate such as 6 per hour.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13" sqref="F13"/>
    </sheetView>
  </sheetViews>
  <sheetFormatPr baseColWidth="10" defaultRowHeight="14" x14ac:dyDescent="0"/>
  <cols>
    <col min="1" max="1" width="20.83203125" style="1" customWidth="1"/>
    <col min="2" max="2" width="9.6640625" style="1" bestFit="1" customWidth="1"/>
    <col min="3" max="3" width="10.5" style="1" customWidth="1"/>
    <col min="4" max="4" width="37.5" style="1" bestFit="1" customWidth="1"/>
    <col min="5" max="5" width="10.83203125" style="1"/>
    <col min="6" max="6" width="23.6640625" style="1" bestFit="1" customWidth="1"/>
    <col min="7" max="16384" width="10.83203125" style="1"/>
  </cols>
  <sheetData>
    <row r="1" spans="1:9">
      <c r="A1" s="29" t="s">
        <v>22</v>
      </c>
    </row>
    <row r="2" spans="1:9">
      <c r="A2" s="28">
        <f ca="1">NOW()</f>
        <v>41660.871457060188</v>
      </c>
    </row>
    <row r="4" spans="1:9" ht="18">
      <c r="A4" s="27" t="s">
        <v>21</v>
      </c>
    </row>
    <row r="6" spans="1:9" ht="17" thickBot="1">
      <c r="A6" s="3" t="s">
        <v>0</v>
      </c>
      <c r="B6" s="3"/>
      <c r="C6" s="3" t="s">
        <v>1</v>
      </c>
      <c r="D6" s="3"/>
      <c r="E6" s="3"/>
      <c r="F6" s="3"/>
      <c r="G6" s="3"/>
      <c r="H6" s="3"/>
    </row>
    <row r="7" spans="1:9" ht="15" customHeight="1">
      <c r="A7" s="2"/>
      <c r="B7" s="2"/>
      <c r="G7" s="66" t="s">
        <v>38</v>
      </c>
      <c r="H7" s="67"/>
    </row>
    <row r="8" spans="1:9" ht="15" thickBot="1">
      <c r="G8" s="68"/>
      <c r="H8" s="69"/>
    </row>
    <row r="9" spans="1:9" ht="15" thickBot="1">
      <c r="A9" s="4" t="s">
        <v>4</v>
      </c>
      <c r="D9" s="5" t="s">
        <v>5</v>
      </c>
      <c r="F9" s="64" t="s">
        <v>37</v>
      </c>
      <c r="G9" s="51" t="s">
        <v>33</v>
      </c>
      <c r="H9" s="52" t="s">
        <v>18</v>
      </c>
    </row>
    <row r="10" spans="1:9">
      <c r="A10" s="6" t="s">
        <v>2</v>
      </c>
      <c r="B10" s="7">
        <v>6</v>
      </c>
      <c r="D10" s="15" t="s">
        <v>11</v>
      </c>
      <c r="E10" s="18">
        <f>B10/B11</f>
        <v>0.5</v>
      </c>
      <c r="F10" s="57" t="str">
        <f>CONCATENATE(100*E10, "%")</f>
        <v>50%</v>
      </c>
      <c r="G10" s="53">
        <v>0</v>
      </c>
      <c r="H10" s="54">
        <f>($B$10/$B$11)^(G10+1)</f>
        <v>0.5</v>
      </c>
      <c r="I10" s="33" t="s">
        <v>34</v>
      </c>
    </row>
    <row r="11" spans="1:9" ht="16">
      <c r="A11" s="8" t="s">
        <v>3</v>
      </c>
      <c r="B11" s="9">
        <v>12</v>
      </c>
      <c r="D11" s="14" t="s">
        <v>12</v>
      </c>
      <c r="E11" s="19">
        <f>B10^2/(B11*(B11-B10))</f>
        <v>0.5</v>
      </c>
      <c r="F11" s="58" t="str">
        <f>CONCATENATE(E11,"/", "Customer")</f>
        <v>0.5/Customer</v>
      </c>
      <c r="G11" s="53">
        <v>1</v>
      </c>
      <c r="H11" s="54">
        <f t="shared" ref="H11:H17" si="0">($B$10/$B$11)^(G11+1)</f>
        <v>0.25</v>
      </c>
    </row>
    <row r="12" spans="1:9" ht="16">
      <c r="A12" s="8" t="s">
        <v>6</v>
      </c>
      <c r="B12" s="12">
        <v>1</v>
      </c>
      <c r="D12" s="14" t="s">
        <v>13</v>
      </c>
      <c r="E12" s="19">
        <f>B10/(B11-B10)</f>
        <v>1</v>
      </c>
      <c r="F12" s="58" t="str">
        <f>CONCATENATE(E12,"/", "Customer")</f>
        <v>1/Customer</v>
      </c>
      <c r="G12" s="53">
        <v>2</v>
      </c>
      <c r="H12" s="54">
        <f t="shared" si="0"/>
        <v>0.125</v>
      </c>
    </row>
    <row r="13" spans="1:9" ht="16">
      <c r="A13" s="8" t="s">
        <v>7</v>
      </c>
      <c r="B13" s="9"/>
      <c r="D13" s="14" t="s">
        <v>14</v>
      </c>
      <c r="E13" s="19">
        <f>B10/(B11*(B11-B10))</f>
        <v>8.3333333333333329E-2</v>
      </c>
      <c r="F13" s="58" t="str">
        <f>CONCATENATE(60*E13,"/", "Min")</f>
        <v>5/Min</v>
      </c>
      <c r="G13" s="53">
        <v>3</v>
      </c>
      <c r="H13" s="54">
        <f t="shared" si="0"/>
        <v>6.25E-2</v>
      </c>
    </row>
    <row r="14" spans="1:9" ht="17" thickBot="1">
      <c r="A14" s="10" t="s">
        <v>8</v>
      </c>
      <c r="B14" s="11"/>
      <c r="D14" s="14" t="s">
        <v>15</v>
      </c>
      <c r="E14" s="19">
        <f>1/(B11-B10)</f>
        <v>0.16666666666666666</v>
      </c>
      <c r="F14" s="58" t="str">
        <f>CONCATENATE(60*E14,"/", "Min")</f>
        <v>10/Min</v>
      </c>
      <c r="G14" s="53">
        <v>4</v>
      </c>
      <c r="H14" s="54">
        <f t="shared" si="0"/>
        <v>3.125E-2</v>
      </c>
    </row>
    <row r="15" spans="1:9" ht="16">
      <c r="D15" s="14" t="s">
        <v>16</v>
      </c>
      <c r="E15" s="19">
        <f>1 - E10</f>
        <v>0.5</v>
      </c>
      <c r="F15" s="58" t="str">
        <f>CONCATENATE(100*E15, "%")</f>
        <v>50%</v>
      </c>
      <c r="G15" s="53">
        <v>5</v>
      </c>
      <c r="H15" s="54">
        <f t="shared" si="0"/>
        <v>1.5625E-2</v>
      </c>
    </row>
    <row r="16" spans="1:9">
      <c r="A16" s="13" t="str">
        <f>IF(B10&gt;=B11,"The service rate must be greater than the arrival rate","")</f>
        <v/>
      </c>
      <c r="D16" s="14" t="s">
        <v>9</v>
      </c>
      <c r="E16" s="19">
        <f>B13+B14*E11</f>
        <v>0</v>
      </c>
      <c r="F16" s="58"/>
      <c r="G16" s="53">
        <v>6</v>
      </c>
      <c r="H16" s="54">
        <f t="shared" si="0"/>
        <v>7.8125E-3</v>
      </c>
    </row>
    <row r="17" spans="1:9" ht="15" thickBot="1">
      <c r="D17" s="17" t="s">
        <v>10</v>
      </c>
      <c r="E17" s="20">
        <f>B13+B14*E12</f>
        <v>0</v>
      </c>
      <c r="F17" s="59"/>
      <c r="G17" s="55">
        <v>7</v>
      </c>
      <c r="H17" s="56">
        <f t="shared" si="0"/>
        <v>3.90625E-3</v>
      </c>
      <c r="I17" s="26"/>
    </row>
    <row r="19" spans="1:9" s="26" customFormat="1"/>
    <row r="20" spans="1:9" ht="15" thickBot="1">
      <c r="A20" s="5" t="s">
        <v>20</v>
      </c>
      <c r="G20" s="26"/>
      <c r="H20" s="26"/>
    </row>
    <row r="21" spans="1:9">
      <c r="A21" s="15" t="s">
        <v>17</v>
      </c>
      <c r="B21" s="16" t="s">
        <v>18</v>
      </c>
      <c r="C21" s="18" t="s">
        <v>19</v>
      </c>
    </row>
    <row r="22" spans="1:9">
      <c r="A22" s="14">
        <v>0</v>
      </c>
      <c r="B22" s="22">
        <f>1-B10/B11</f>
        <v>0.5</v>
      </c>
      <c r="C22" s="24">
        <f>1-B10/B11</f>
        <v>0.5</v>
      </c>
    </row>
    <row r="23" spans="1:9">
      <c r="A23" s="14">
        <f>A22+1</f>
        <v>1</v>
      </c>
      <c r="B23" s="22">
        <f>B22*B$10/B$11</f>
        <v>0.25</v>
      </c>
      <c r="C23" s="24">
        <f>C22+B23</f>
        <v>0.75</v>
      </c>
    </row>
    <row r="24" spans="1:9">
      <c r="A24" s="14">
        <f t="shared" ref="A24:A42" si="1">A23+1</f>
        <v>2</v>
      </c>
      <c r="B24" s="22">
        <f t="shared" ref="B24:B42" si="2">B23*B$10/B$11</f>
        <v>0.125</v>
      </c>
      <c r="C24" s="24">
        <f t="shared" ref="C24:C42" si="3">C23+B24</f>
        <v>0.875</v>
      </c>
    </row>
    <row r="25" spans="1:9">
      <c r="A25" s="14">
        <f t="shared" si="1"/>
        <v>3</v>
      </c>
      <c r="B25" s="22">
        <f t="shared" si="2"/>
        <v>6.25E-2</v>
      </c>
      <c r="C25" s="24">
        <f t="shared" si="3"/>
        <v>0.9375</v>
      </c>
    </row>
    <row r="26" spans="1:9">
      <c r="A26" s="14">
        <f t="shared" si="1"/>
        <v>4</v>
      </c>
      <c r="B26" s="22">
        <f t="shared" si="2"/>
        <v>3.125E-2</v>
      </c>
      <c r="C26" s="24">
        <f t="shared" si="3"/>
        <v>0.96875</v>
      </c>
    </row>
    <row r="27" spans="1:9">
      <c r="A27" s="14">
        <f t="shared" si="1"/>
        <v>5</v>
      </c>
      <c r="B27" s="22">
        <f t="shared" si="2"/>
        <v>1.5625E-2</v>
      </c>
      <c r="C27" s="24">
        <f t="shared" si="3"/>
        <v>0.984375</v>
      </c>
    </row>
    <row r="28" spans="1:9">
      <c r="A28" s="14">
        <f t="shared" si="1"/>
        <v>6</v>
      </c>
      <c r="B28" s="22">
        <f t="shared" si="2"/>
        <v>7.8125E-3</v>
      </c>
      <c r="C28" s="24">
        <f t="shared" si="3"/>
        <v>0.9921875</v>
      </c>
    </row>
    <row r="29" spans="1:9">
      <c r="A29" s="14">
        <f t="shared" si="1"/>
        <v>7</v>
      </c>
      <c r="B29" s="22">
        <f t="shared" si="2"/>
        <v>3.90625E-3</v>
      </c>
      <c r="C29" s="24">
        <f t="shared" si="3"/>
        <v>0.99609375</v>
      </c>
    </row>
    <row r="30" spans="1:9">
      <c r="A30" s="14">
        <f t="shared" si="1"/>
        <v>8</v>
      </c>
      <c r="B30" s="22">
        <f t="shared" si="2"/>
        <v>1.953125E-3</v>
      </c>
      <c r="C30" s="24">
        <f t="shared" si="3"/>
        <v>0.998046875</v>
      </c>
    </row>
    <row r="31" spans="1:9">
      <c r="A31" s="14">
        <f t="shared" si="1"/>
        <v>9</v>
      </c>
      <c r="B31" s="22">
        <f t="shared" si="2"/>
        <v>9.765625E-4</v>
      </c>
      <c r="C31" s="24">
        <f t="shared" si="3"/>
        <v>0.9990234375</v>
      </c>
    </row>
    <row r="32" spans="1:9">
      <c r="A32" s="14">
        <f t="shared" si="1"/>
        <v>10</v>
      </c>
      <c r="B32" s="22">
        <f t="shared" si="2"/>
        <v>4.8828125E-4</v>
      </c>
      <c r="C32" s="24">
        <f t="shared" si="3"/>
        <v>0.99951171875</v>
      </c>
    </row>
    <row r="33" spans="1:3">
      <c r="A33" s="14">
        <f t="shared" si="1"/>
        <v>11</v>
      </c>
      <c r="B33" s="22">
        <f t="shared" si="2"/>
        <v>2.44140625E-4</v>
      </c>
      <c r="C33" s="24">
        <f t="shared" si="3"/>
        <v>0.999755859375</v>
      </c>
    </row>
    <row r="34" spans="1:3">
      <c r="A34" s="14">
        <f t="shared" si="1"/>
        <v>12</v>
      </c>
      <c r="B34" s="22">
        <f t="shared" si="2"/>
        <v>1.220703125E-4</v>
      </c>
      <c r="C34" s="24">
        <f t="shared" si="3"/>
        <v>0.9998779296875</v>
      </c>
    </row>
    <row r="35" spans="1:3">
      <c r="A35" s="14">
        <f t="shared" si="1"/>
        <v>13</v>
      </c>
      <c r="B35" s="22">
        <f t="shared" si="2"/>
        <v>6.103515625E-5</v>
      </c>
      <c r="C35" s="24">
        <f t="shared" si="3"/>
        <v>0.99993896484375</v>
      </c>
    </row>
    <row r="36" spans="1:3">
      <c r="A36" s="14">
        <f t="shared" si="1"/>
        <v>14</v>
      </c>
      <c r="B36" s="22">
        <f t="shared" si="2"/>
        <v>3.0517578125E-5</v>
      </c>
      <c r="C36" s="24">
        <f t="shared" si="3"/>
        <v>0.999969482421875</v>
      </c>
    </row>
    <row r="37" spans="1:3">
      <c r="A37" s="14">
        <f t="shared" si="1"/>
        <v>15</v>
      </c>
      <c r="B37" s="22">
        <f t="shared" si="2"/>
        <v>1.52587890625E-5</v>
      </c>
      <c r="C37" s="24">
        <f t="shared" si="3"/>
        <v>0.9999847412109375</v>
      </c>
    </row>
    <row r="38" spans="1:3">
      <c r="A38" s="14">
        <f t="shared" si="1"/>
        <v>16</v>
      </c>
      <c r="B38" s="22">
        <f t="shared" si="2"/>
        <v>7.62939453125E-6</v>
      </c>
      <c r="C38" s="24">
        <f t="shared" si="3"/>
        <v>0.99999237060546875</v>
      </c>
    </row>
    <row r="39" spans="1:3">
      <c r="A39" s="14">
        <f t="shared" si="1"/>
        <v>17</v>
      </c>
      <c r="B39" s="22">
        <f t="shared" si="2"/>
        <v>3.814697265625E-6</v>
      </c>
      <c r="C39" s="24">
        <f t="shared" si="3"/>
        <v>0.99999618530273438</v>
      </c>
    </row>
    <row r="40" spans="1:3">
      <c r="A40" s="14">
        <f t="shared" si="1"/>
        <v>18</v>
      </c>
      <c r="B40" s="22">
        <f t="shared" si="2"/>
        <v>1.9073486328125E-6</v>
      </c>
      <c r="C40" s="24">
        <f t="shared" si="3"/>
        <v>0.99999809265136719</v>
      </c>
    </row>
    <row r="41" spans="1:3">
      <c r="A41" s="14">
        <f t="shared" si="1"/>
        <v>19</v>
      </c>
      <c r="B41" s="22">
        <f t="shared" si="2"/>
        <v>9.5367431640625E-7</v>
      </c>
      <c r="C41" s="24">
        <f t="shared" si="3"/>
        <v>0.99999904632568359</v>
      </c>
    </row>
    <row r="42" spans="1:3" ht="15" thickBot="1">
      <c r="A42" s="17">
        <f t="shared" si="1"/>
        <v>20</v>
      </c>
      <c r="B42" s="23">
        <f t="shared" si="2"/>
        <v>4.76837158203125E-7</v>
      </c>
      <c r="C42" s="25">
        <f t="shared" si="3"/>
        <v>0.9999995231628418</v>
      </c>
    </row>
    <row r="43" spans="1:3">
      <c r="B43" s="21"/>
      <c r="C43" s="21"/>
    </row>
  </sheetData>
  <mergeCells count="1">
    <mergeCell ref="G7:H8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"/>
  <sheetViews>
    <sheetView topLeftCell="A4" zoomScale="95" zoomScaleNormal="95" zoomScalePageLayoutView="95" workbookViewId="0">
      <selection activeCell="F25" sqref="F25"/>
    </sheetView>
  </sheetViews>
  <sheetFormatPr baseColWidth="10" defaultRowHeight="14" x14ac:dyDescent="0"/>
  <cols>
    <col min="1" max="1" width="17.83203125" style="1" customWidth="1"/>
    <col min="2" max="2" width="12.1640625" style="1" bestFit="1" customWidth="1"/>
    <col min="3" max="3" width="10.5" style="1" customWidth="1"/>
    <col min="4" max="4" width="37.5" style="1" bestFit="1" customWidth="1"/>
    <col min="5" max="5" width="7.83203125" style="1" customWidth="1"/>
    <col min="6" max="6" width="25.6640625" style="1" bestFit="1" customWidth="1"/>
    <col min="7" max="16384" width="10.83203125" style="1"/>
  </cols>
  <sheetData>
    <row r="1" spans="1:9">
      <c r="A1" s="29" t="s">
        <v>22</v>
      </c>
    </row>
    <row r="2" spans="1:9">
      <c r="A2" s="28">
        <f ca="1">NOW()</f>
        <v>41660.871457060188</v>
      </c>
    </row>
    <row r="4" spans="1:9" ht="18">
      <c r="A4" s="27" t="s">
        <v>32</v>
      </c>
    </row>
    <row r="6" spans="1:9" ht="17" thickBot="1">
      <c r="A6" s="3" t="s">
        <v>0</v>
      </c>
      <c r="B6" s="3"/>
      <c r="C6" s="3" t="s">
        <v>23</v>
      </c>
      <c r="D6" s="3"/>
      <c r="E6" s="3"/>
      <c r="F6" s="3"/>
      <c r="G6" s="3"/>
      <c r="H6" s="3"/>
    </row>
    <row r="7" spans="1:9" ht="17" customHeight="1">
      <c r="A7" s="2"/>
      <c r="B7" s="2"/>
      <c r="G7" s="70" t="s">
        <v>35</v>
      </c>
      <c r="H7" s="71"/>
    </row>
    <row r="8" spans="1:9" ht="17" customHeight="1" thickBot="1">
      <c r="G8" s="72"/>
      <c r="H8" s="73"/>
    </row>
    <row r="9" spans="1:9" ht="16" customHeight="1" thickBot="1">
      <c r="A9" s="4" t="s">
        <v>4</v>
      </c>
      <c r="D9" s="5" t="s">
        <v>5</v>
      </c>
      <c r="F9" s="65" t="s">
        <v>37</v>
      </c>
      <c r="G9" s="50" t="s">
        <v>33</v>
      </c>
      <c r="H9" s="34" t="s">
        <v>18</v>
      </c>
    </row>
    <row r="10" spans="1:9">
      <c r="A10" s="6" t="s">
        <v>2</v>
      </c>
      <c r="B10" s="7">
        <v>6</v>
      </c>
      <c r="D10" s="15" t="s">
        <v>11</v>
      </c>
      <c r="E10" s="39">
        <f>B10/(B11*B12)</f>
        <v>0.25</v>
      </c>
      <c r="F10" s="43" t="str">
        <f>CONCATENATE(100*E10, "%")</f>
        <v>25%</v>
      </c>
      <c r="G10" s="48">
        <v>0</v>
      </c>
      <c r="H10" s="49">
        <f t="shared" ref="H10:H17" si="0">($B$10/$B$11)^(G10+1)</f>
        <v>0.5</v>
      </c>
      <c r="I10" s="33" t="s">
        <v>36</v>
      </c>
    </row>
    <row r="11" spans="1:9" ht="16">
      <c r="A11" s="8" t="s">
        <v>3</v>
      </c>
      <c r="B11" s="9">
        <v>12</v>
      </c>
      <c r="D11" s="14" t="s">
        <v>12</v>
      </c>
      <c r="E11" s="74">
        <f>VLOOKUP($B$12,$A$43:$G$64,7)</f>
        <v>3.3333333333333333E-2</v>
      </c>
      <c r="F11" s="44" t="str">
        <f>CONCATENATE(E11,"/", "Customer")</f>
        <v>0.0333333333333333/Customer</v>
      </c>
      <c r="G11" s="35">
        <v>1</v>
      </c>
      <c r="H11" s="36">
        <f t="shared" si="0"/>
        <v>0.25</v>
      </c>
    </row>
    <row r="12" spans="1:9" s="26" customFormat="1" ht="16">
      <c r="A12" s="30" t="s">
        <v>24</v>
      </c>
      <c r="B12" s="31">
        <v>2</v>
      </c>
      <c r="D12" s="32" t="s">
        <v>13</v>
      </c>
      <c r="E12" s="42">
        <f>E11+B10/B11</f>
        <v>0.53333333333333333</v>
      </c>
      <c r="F12" s="44" t="str">
        <f>CONCATENATE(E12,"/", "Customer")</f>
        <v>0.533333333333333/Customer</v>
      </c>
      <c r="G12" s="35">
        <v>2</v>
      </c>
      <c r="H12" s="36">
        <f t="shared" si="0"/>
        <v>0.125</v>
      </c>
      <c r="I12" s="1"/>
    </row>
    <row r="13" spans="1:9" ht="16">
      <c r="A13" s="8" t="s">
        <v>7</v>
      </c>
      <c r="B13" s="9"/>
      <c r="D13" s="14" t="s">
        <v>14</v>
      </c>
      <c r="E13" s="40">
        <f>E11/B10</f>
        <v>5.5555555555555558E-3</v>
      </c>
      <c r="F13" s="44" t="str">
        <f>CONCATENATE(60*E13,"/", "Min")</f>
        <v>0.333333333333333/Min</v>
      </c>
      <c r="G13" s="35">
        <v>3</v>
      </c>
      <c r="H13" s="36">
        <f t="shared" si="0"/>
        <v>6.25E-2</v>
      </c>
    </row>
    <row r="14" spans="1:9" ht="17" thickBot="1">
      <c r="A14" s="10" t="s">
        <v>8</v>
      </c>
      <c r="B14" s="11"/>
      <c r="D14" s="14" t="s">
        <v>15</v>
      </c>
      <c r="E14" s="40">
        <f>E13+1/B11</f>
        <v>8.8888888888888878E-2</v>
      </c>
      <c r="F14" s="44" t="str">
        <f>CONCATENATE(60*E14,"/", "Min")</f>
        <v>5.33333333333333/Min</v>
      </c>
      <c r="G14" s="35">
        <v>4</v>
      </c>
      <c r="H14" s="36">
        <f t="shared" si="0"/>
        <v>3.125E-2</v>
      </c>
    </row>
    <row r="15" spans="1:9" ht="16">
      <c r="D15" s="14" t="s">
        <v>16</v>
      </c>
      <c r="E15" s="40">
        <f>VLOOKUP($B$12,$A$43:$G$64,5)</f>
        <v>0.6</v>
      </c>
      <c r="F15" s="44" t="str">
        <f>CONCATENATE(100*E15, "%")</f>
        <v>60%</v>
      </c>
      <c r="G15" s="35">
        <v>5</v>
      </c>
      <c r="H15" s="36">
        <f t="shared" si="0"/>
        <v>1.5625E-2</v>
      </c>
    </row>
    <row r="16" spans="1:9">
      <c r="A16" s="13" t="str">
        <f>IF(B10&gt;=B11*B12,"The total service rate (rate*servers) must be greater than the arrival rate","")</f>
        <v/>
      </c>
      <c r="D16" s="14" t="s">
        <v>9</v>
      </c>
      <c r="E16" s="40">
        <f>B13*B12+B14*E11</f>
        <v>0</v>
      </c>
      <c r="F16" s="44"/>
      <c r="G16" s="35">
        <v>6</v>
      </c>
      <c r="H16" s="36">
        <f t="shared" si="0"/>
        <v>7.8125E-3</v>
      </c>
    </row>
    <row r="17" spans="1:9" ht="15" thickBot="1">
      <c r="D17" s="17" t="s">
        <v>10</v>
      </c>
      <c r="E17" s="41">
        <f>B13*B12+B14*E12</f>
        <v>0</v>
      </c>
      <c r="F17" s="45"/>
      <c r="G17" s="37">
        <v>7</v>
      </c>
      <c r="H17" s="38">
        <f t="shared" si="0"/>
        <v>3.90625E-3</v>
      </c>
      <c r="I17" s="26"/>
    </row>
    <row r="19" spans="1:9" ht="15" thickBot="1">
      <c r="A19" s="5" t="s">
        <v>20</v>
      </c>
      <c r="G19" s="46"/>
      <c r="H19" s="47"/>
      <c r="I19" s="26"/>
    </row>
    <row r="20" spans="1:9">
      <c r="A20" s="15" t="s">
        <v>17</v>
      </c>
      <c r="B20" s="16" t="s">
        <v>18</v>
      </c>
      <c r="C20" s="18" t="s">
        <v>19</v>
      </c>
    </row>
    <row r="21" spans="1:9">
      <c r="A21" s="14">
        <v>0</v>
      </c>
      <c r="B21" s="22">
        <f>VLOOKUP(B12,A42:E64,5)</f>
        <v>0.6</v>
      </c>
      <c r="C21" s="24">
        <f>B21</f>
        <v>0.6</v>
      </c>
    </row>
    <row r="22" spans="1:9">
      <c r="A22" s="14">
        <f>A21+1</f>
        <v>1</v>
      </c>
      <c r="B22" s="22">
        <f>IF(A22&lt;=$B$12,($B$10/$B$11)^A22*$E$15/FACT(A22),($B$10/$B$11)^A22*$E$15/(FACT($B$12)*$B$12^(A22-$B$12)))</f>
        <v>0.3</v>
      </c>
      <c r="C22" s="24">
        <f>C21+B22</f>
        <v>0.89999999999999991</v>
      </c>
    </row>
    <row r="23" spans="1:9">
      <c r="A23" s="14">
        <f t="shared" ref="A23:A41" si="1">A22+1</f>
        <v>2</v>
      </c>
      <c r="B23" s="22">
        <f t="shared" ref="B23:B41" si="2">IF(A23&lt;=$B$12,($B$10/$B$11)^A23*$E$15/FACT(A23),($B$10/$B$11)^A23*$E$15/(FACT($B$12)*$B$12^(A23-$B$12)))</f>
        <v>7.4999999999999997E-2</v>
      </c>
      <c r="C23" s="24">
        <f t="shared" ref="C23:C41" si="3">C22+B23</f>
        <v>0.97499999999999987</v>
      </c>
    </row>
    <row r="24" spans="1:9">
      <c r="A24" s="14">
        <f t="shared" si="1"/>
        <v>3</v>
      </c>
      <c r="B24" s="22">
        <f t="shared" si="2"/>
        <v>1.8749999999999999E-2</v>
      </c>
      <c r="C24" s="24">
        <f t="shared" si="3"/>
        <v>0.99374999999999991</v>
      </c>
    </row>
    <row r="25" spans="1:9">
      <c r="A25" s="14">
        <f t="shared" si="1"/>
        <v>4</v>
      </c>
      <c r="B25" s="22">
        <f t="shared" si="2"/>
        <v>4.6874999999999998E-3</v>
      </c>
      <c r="C25" s="24">
        <f t="shared" si="3"/>
        <v>0.99843749999999987</v>
      </c>
    </row>
    <row r="26" spans="1:9">
      <c r="A26" s="14">
        <f t="shared" si="1"/>
        <v>5</v>
      </c>
      <c r="B26" s="22">
        <f t="shared" si="2"/>
        <v>1.171875E-3</v>
      </c>
      <c r="C26" s="24">
        <f t="shared" si="3"/>
        <v>0.99960937499999991</v>
      </c>
    </row>
    <row r="27" spans="1:9">
      <c r="A27" s="14">
        <f t="shared" si="1"/>
        <v>6</v>
      </c>
      <c r="B27" s="22">
        <f t="shared" si="2"/>
        <v>2.9296874999999999E-4</v>
      </c>
      <c r="C27" s="24">
        <f t="shared" si="3"/>
        <v>0.99990234374999987</v>
      </c>
    </row>
    <row r="28" spans="1:9">
      <c r="A28" s="14">
        <f t="shared" si="1"/>
        <v>7</v>
      </c>
      <c r="B28" s="22">
        <f t="shared" si="2"/>
        <v>7.3242187499999997E-5</v>
      </c>
      <c r="C28" s="24">
        <f t="shared" si="3"/>
        <v>0.99997558593749991</v>
      </c>
    </row>
    <row r="29" spans="1:9">
      <c r="A29" s="14">
        <f t="shared" si="1"/>
        <v>8</v>
      </c>
      <c r="B29" s="22">
        <f t="shared" si="2"/>
        <v>1.8310546874999999E-5</v>
      </c>
      <c r="C29" s="24">
        <f t="shared" si="3"/>
        <v>0.99999389648437487</v>
      </c>
    </row>
    <row r="30" spans="1:9">
      <c r="A30" s="14">
        <f t="shared" si="1"/>
        <v>9</v>
      </c>
      <c r="B30" s="22">
        <f t="shared" si="2"/>
        <v>4.5776367187499998E-6</v>
      </c>
      <c r="C30" s="24">
        <f t="shared" si="3"/>
        <v>0.99999847412109366</v>
      </c>
    </row>
    <row r="31" spans="1:9">
      <c r="A31" s="14">
        <f t="shared" si="1"/>
        <v>10</v>
      </c>
      <c r="B31" s="22">
        <f t="shared" si="2"/>
        <v>1.1444091796875E-6</v>
      </c>
      <c r="C31" s="24">
        <f t="shared" si="3"/>
        <v>0.9999996185302733</v>
      </c>
    </row>
    <row r="32" spans="1:9">
      <c r="A32" s="14">
        <f t="shared" si="1"/>
        <v>11</v>
      </c>
      <c r="B32" s="22">
        <f t="shared" si="2"/>
        <v>2.8610229492187499E-7</v>
      </c>
      <c r="C32" s="24">
        <f t="shared" si="3"/>
        <v>0.99999990463256827</v>
      </c>
    </row>
    <row r="33" spans="1:10">
      <c r="A33" s="14">
        <f t="shared" si="1"/>
        <v>12</v>
      </c>
      <c r="B33" s="22">
        <f t="shared" si="2"/>
        <v>7.1525573730468747E-8</v>
      </c>
      <c r="C33" s="24">
        <f t="shared" si="3"/>
        <v>0.99999997615814196</v>
      </c>
    </row>
    <row r="34" spans="1:10">
      <c r="A34" s="14">
        <f t="shared" si="1"/>
        <v>13</v>
      </c>
      <c r="B34" s="22">
        <f t="shared" si="2"/>
        <v>1.7881393432617187E-8</v>
      </c>
      <c r="C34" s="24">
        <f t="shared" si="3"/>
        <v>0.99999999403953543</v>
      </c>
    </row>
    <row r="35" spans="1:10">
      <c r="A35" s="14">
        <f t="shared" si="1"/>
        <v>14</v>
      </c>
      <c r="B35" s="22">
        <f t="shared" si="2"/>
        <v>4.4703483581542967E-9</v>
      </c>
      <c r="C35" s="24">
        <f t="shared" si="3"/>
        <v>0.99999999850988375</v>
      </c>
    </row>
    <row r="36" spans="1:10">
      <c r="A36" s="14">
        <f t="shared" si="1"/>
        <v>15</v>
      </c>
      <c r="B36" s="22">
        <f t="shared" si="2"/>
        <v>1.1175870895385742E-9</v>
      </c>
      <c r="C36" s="24">
        <f t="shared" si="3"/>
        <v>0.99999999962747088</v>
      </c>
    </row>
    <row r="37" spans="1:10">
      <c r="A37" s="14">
        <f t="shared" si="1"/>
        <v>16</v>
      </c>
      <c r="B37" s="22">
        <f t="shared" si="2"/>
        <v>2.7939677238464354E-10</v>
      </c>
      <c r="C37" s="24">
        <f t="shared" si="3"/>
        <v>0.99999999990686761</v>
      </c>
    </row>
    <row r="38" spans="1:10">
      <c r="A38" s="14">
        <f t="shared" si="1"/>
        <v>17</v>
      </c>
      <c r="B38" s="22">
        <f t="shared" si="2"/>
        <v>6.9849193096160886E-11</v>
      </c>
      <c r="C38" s="24">
        <f t="shared" si="3"/>
        <v>0.99999999997671685</v>
      </c>
    </row>
    <row r="39" spans="1:10">
      <c r="A39" s="14">
        <f t="shared" si="1"/>
        <v>18</v>
      </c>
      <c r="B39" s="22">
        <f t="shared" si="2"/>
        <v>1.7462298274040222E-11</v>
      </c>
      <c r="C39" s="24">
        <f t="shared" si="3"/>
        <v>0.9999999999941791</v>
      </c>
    </row>
    <row r="40" spans="1:10">
      <c r="A40" s="14">
        <f t="shared" si="1"/>
        <v>19</v>
      </c>
      <c r="B40" s="22">
        <f t="shared" si="2"/>
        <v>4.3655745685100554E-12</v>
      </c>
      <c r="C40" s="24">
        <f t="shared" si="3"/>
        <v>0.99999999999854472</v>
      </c>
    </row>
    <row r="41" spans="1:10" ht="15" thickBot="1">
      <c r="A41" s="17">
        <f t="shared" si="1"/>
        <v>20</v>
      </c>
      <c r="B41" s="23">
        <f t="shared" si="2"/>
        <v>1.0913936421275138E-12</v>
      </c>
      <c r="C41" s="25">
        <f t="shared" si="3"/>
        <v>0.99999999999963607</v>
      </c>
      <c r="D41" s="1" t="s">
        <v>25</v>
      </c>
      <c r="E41" s="1" t="s">
        <v>26</v>
      </c>
      <c r="F41" s="1" t="s">
        <v>27</v>
      </c>
      <c r="G41" s="1" t="s">
        <v>28</v>
      </c>
      <c r="H41" s="1" t="s">
        <v>29</v>
      </c>
      <c r="I41" s="1" t="s">
        <v>30</v>
      </c>
      <c r="J41" s="1" t="s">
        <v>31</v>
      </c>
    </row>
    <row r="42" spans="1:10">
      <c r="A42" s="1">
        <v>0</v>
      </c>
      <c r="B42" s="21">
        <v>1</v>
      </c>
      <c r="C42" s="21"/>
    </row>
    <row r="43" spans="1:10">
      <c r="A43" s="1">
        <v>1</v>
      </c>
      <c r="B43" s="1">
        <f>($B$10/$B$11)^A43/FACT(A43)</f>
        <v>0.5</v>
      </c>
      <c r="C43" s="1">
        <f>SUM(B42:$B$42)</f>
        <v>1</v>
      </c>
      <c r="D43" s="1">
        <f>+B43/(1-$B$10/(A43*$B$11))</f>
        <v>1</v>
      </c>
      <c r="E43" s="1">
        <f>1/(C43+D43)</f>
        <v>0.5</v>
      </c>
      <c r="F43" s="1">
        <f>$B$10/($B$11*A43)</f>
        <v>0.5</v>
      </c>
      <c r="G43" s="1">
        <f t="shared" ref="G43:G64" si="4">+E43*B43*F43/(1-F43)^2</f>
        <v>0.5</v>
      </c>
      <c r="H43" s="1">
        <f>G43+$B$10/$B$11</f>
        <v>1</v>
      </c>
      <c r="I43" s="1">
        <f>G43/$B$10</f>
        <v>8.3333333333333329E-2</v>
      </c>
      <c r="J43" s="1">
        <f>I43+1/$B$11</f>
        <v>0.16666666666666666</v>
      </c>
    </row>
    <row r="44" spans="1:10">
      <c r="A44" s="1">
        <v>2</v>
      </c>
      <c r="B44" s="1">
        <f t="shared" ref="B44:B64" si="5">($B$10/$B$11)^A44/FACT(A44)</f>
        <v>0.125</v>
      </c>
      <c r="C44" s="1">
        <f>SUM(B$42:$B43)</f>
        <v>1.5</v>
      </c>
      <c r="D44" s="1">
        <f t="shared" ref="D44:D64" si="6">+B44/(1-$B$10/(A44*$B$11))</f>
        <v>0.16666666666666666</v>
      </c>
      <c r="E44" s="1">
        <f t="shared" ref="E44:E64" si="7">1/(C44+D44)</f>
        <v>0.6</v>
      </c>
      <c r="F44" s="1">
        <f t="shared" ref="F44:F64" si="8">$B$10/($B$11*A44)</f>
        <v>0.25</v>
      </c>
      <c r="G44" s="1">
        <f t="shared" si="4"/>
        <v>3.3333333333333333E-2</v>
      </c>
      <c r="H44" s="1">
        <f t="shared" ref="H44:H64" si="9">G44+$B$10/$B$11</f>
        <v>0.53333333333333333</v>
      </c>
      <c r="I44" s="1">
        <f t="shared" ref="I44:I64" si="10">G44/$B$10</f>
        <v>5.5555555555555558E-3</v>
      </c>
      <c r="J44" s="1">
        <f t="shared" ref="J44:J64" si="11">I44+1/$B$11</f>
        <v>8.8888888888888878E-2</v>
      </c>
    </row>
    <row r="45" spans="1:10">
      <c r="A45" s="1">
        <v>3</v>
      </c>
      <c r="B45" s="1">
        <f t="shared" si="5"/>
        <v>2.0833333333333332E-2</v>
      </c>
      <c r="C45" s="1">
        <f>SUM(B$42:$B44)</f>
        <v>1.625</v>
      </c>
      <c r="D45" s="1">
        <f t="shared" si="6"/>
        <v>2.4999999999999998E-2</v>
      </c>
      <c r="E45" s="1">
        <f t="shared" si="7"/>
        <v>0.60606060606060608</v>
      </c>
      <c r="F45" s="1">
        <f t="shared" si="8"/>
        <v>0.16666666666666666</v>
      </c>
      <c r="G45" s="1">
        <f t="shared" si="4"/>
        <v>3.0303030303030299E-3</v>
      </c>
      <c r="H45" s="1">
        <f t="shared" si="9"/>
        <v>0.50303030303030305</v>
      </c>
      <c r="I45" s="1">
        <f t="shared" si="10"/>
        <v>5.0505050505050494E-4</v>
      </c>
      <c r="J45" s="1">
        <f t="shared" si="11"/>
        <v>8.3838383838383837E-2</v>
      </c>
    </row>
    <row r="46" spans="1:10">
      <c r="A46" s="1">
        <v>4</v>
      </c>
      <c r="B46" s="1">
        <f t="shared" si="5"/>
        <v>2.6041666666666665E-3</v>
      </c>
      <c r="C46" s="1">
        <f>SUM(B$42:$B45)</f>
        <v>1.6458333333333333</v>
      </c>
      <c r="D46" s="1">
        <f t="shared" si="6"/>
        <v>2.976190476190476E-3</v>
      </c>
      <c r="E46" s="1">
        <f t="shared" si="7"/>
        <v>0.60649819494584845</v>
      </c>
      <c r="F46" s="1">
        <f t="shared" si="8"/>
        <v>0.125</v>
      </c>
      <c r="G46" s="1">
        <f t="shared" si="4"/>
        <v>2.5786487880350697E-4</v>
      </c>
      <c r="H46" s="1">
        <f t="shared" si="9"/>
        <v>0.50025786487880353</v>
      </c>
      <c r="I46" s="1">
        <f t="shared" si="10"/>
        <v>4.2977479800584495E-5</v>
      </c>
      <c r="J46" s="1">
        <f t="shared" si="11"/>
        <v>8.3376310813133916E-2</v>
      </c>
    </row>
    <row r="47" spans="1:10">
      <c r="A47" s="1">
        <v>5</v>
      </c>
      <c r="B47" s="1">
        <f t="shared" si="5"/>
        <v>2.6041666666666666E-4</v>
      </c>
      <c r="C47" s="1">
        <f>SUM(B$42:$B46)</f>
        <v>1.6484375</v>
      </c>
      <c r="D47" s="1">
        <f t="shared" si="6"/>
        <v>2.8935185185185184E-4</v>
      </c>
      <c r="E47" s="1">
        <f t="shared" si="7"/>
        <v>0.60652860652860652</v>
      </c>
      <c r="F47" s="1">
        <f t="shared" si="8"/>
        <v>0.1</v>
      </c>
      <c r="G47" s="1">
        <f t="shared" si="4"/>
        <v>1.9500019500019498E-5</v>
      </c>
      <c r="H47" s="1">
        <f t="shared" si="9"/>
        <v>0.50001950001950002</v>
      </c>
      <c r="I47" s="1">
        <f t="shared" si="10"/>
        <v>3.2500032500032496E-6</v>
      </c>
      <c r="J47" s="1">
        <f t="shared" si="11"/>
        <v>8.3336583336583336E-2</v>
      </c>
    </row>
    <row r="48" spans="1:10">
      <c r="A48" s="1">
        <v>6</v>
      </c>
      <c r="B48" s="1">
        <f t="shared" si="5"/>
        <v>2.170138888888889E-5</v>
      </c>
      <c r="C48" s="1">
        <f>SUM(B$42:$B47)</f>
        <v>1.6486979166666667</v>
      </c>
      <c r="D48" s="1">
        <f t="shared" si="6"/>
        <v>2.3674242424242428E-5</v>
      </c>
      <c r="E48" s="1">
        <f t="shared" si="7"/>
        <v>0.60653054191436206</v>
      </c>
      <c r="F48" s="1">
        <f t="shared" si="8"/>
        <v>8.3333333333333329E-2</v>
      </c>
      <c r="G48" s="1">
        <f t="shared" si="4"/>
        <v>1.30537737154434E-6</v>
      </c>
      <c r="H48" s="1">
        <f t="shared" si="9"/>
        <v>0.50000130537737153</v>
      </c>
      <c r="I48" s="1">
        <f t="shared" si="10"/>
        <v>2.1756289525739001E-7</v>
      </c>
      <c r="J48" s="1">
        <f t="shared" si="11"/>
        <v>8.3333550896228584E-2</v>
      </c>
    </row>
    <row r="49" spans="1:10">
      <c r="A49" s="1">
        <v>7</v>
      </c>
      <c r="B49" s="1">
        <f t="shared" si="5"/>
        <v>1.5500992063492063E-6</v>
      </c>
      <c r="C49" s="1">
        <f>SUM(B$42:$B48)</f>
        <v>1.6487196180555554</v>
      </c>
      <c r="D49" s="1">
        <f t="shared" si="6"/>
        <v>1.6693376068376068E-6</v>
      </c>
      <c r="E49" s="1">
        <f t="shared" si="7"/>
        <v>0.6065306535716094</v>
      </c>
      <c r="F49" s="1">
        <f t="shared" si="8"/>
        <v>7.1428571428571425E-2</v>
      </c>
      <c r="G49" s="1">
        <f t="shared" si="4"/>
        <v>7.7884956131298456E-8</v>
      </c>
      <c r="H49" s="1">
        <f t="shared" si="9"/>
        <v>0.50000007788495615</v>
      </c>
      <c r="I49" s="1">
        <f t="shared" si="10"/>
        <v>1.2980826021883076E-8</v>
      </c>
      <c r="J49" s="1">
        <f t="shared" si="11"/>
        <v>8.3333346314159354E-2</v>
      </c>
    </row>
    <row r="50" spans="1:10">
      <c r="A50" s="1">
        <v>8</v>
      </c>
      <c r="B50" s="1">
        <f t="shared" si="5"/>
        <v>9.6881200396825397E-8</v>
      </c>
      <c r="C50" s="1">
        <f>SUM(B$42:$B49)</f>
        <v>1.6487211681547618</v>
      </c>
      <c r="D50" s="1">
        <f t="shared" si="6"/>
        <v>1.0333994708994709E-7</v>
      </c>
      <c r="E50" s="1">
        <f t="shared" si="7"/>
        <v>0.60653065942032358</v>
      </c>
      <c r="F50" s="1">
        <f t="shared" si="8"/>
        <v>6.25E-2</v>
      </c>
      <c r="G50" s="1">
        <f t="shared" si="4"/>
        <v>4.1785897501951299E-9</v>
      </c>
      <c r="H50" s="1">
        <f t="shared" si="9"/>
        <v>0.5000000041785897</v>
      </c>
      <c r="I50" s="1">
        <f t="shared" si="10"/>
        <v>6.9643162503252169E-10</v>
      </c>
      <c r="J50" s="1">
        <f t="shared" si="11"/>
        <v>8.3333334029764949E-2</v>
      </c>
    </row>
    <row r="51" spans="1:10">
      <c r="A51" s="1">
        <v>9</v>
      </c>
      <c r="B51" s="1">
        <f t="shared" si="5"/>
        <v>5.3822889109347446E-9</v>
      </c>
      <c r="C51" s="1">
        <f>SUM(B$42:$B50)</f>
        <v>1.6487212650359622</v>
      </c>
      <c r="D51" s="1">
        <f t="shared" si="6"/>
        <v>5.6988941409897297E-9</v>
      </c>
      <c r="E51" s="1">
        <f t="shared" si="7"/>
        <v>0.60653065969985764</v>
      </c>
      <c r="F51" s="1">
        <f t="shared" si="8"/>
        <v>5.5555555555555552E-2</v>
      </c>
      <c r="G51" s="1">
        <f t="shared" si="4"/>
        <v>2.0332670722906787E-10</v>
      </c>
      <c r="H51" s="1">
        <f t="shared" si="9"/>
        <v>0.50000000020332669</v>
      </c>
      <c r="I51" s="1">
        <f t="shared" si="10"/>
        <v>3.3887784538177981E-11</v>
      </c>
      <c r="J51" s="1">
        <f t="shared" si="11"/>
        <v>8.333333336722111E-2</v>
      </c>
    </row>
    <row r="52" spans="1:10">
      <c r="A52" s="1">
        <v>10</v>
      </c>
      <c r="B52" s="1">
        <f t="shared" si="5"/>
        <v>2.6911444554673719E-10</v>
      </c>
      <c r="C52" s="1">
        <f>SUM(B$42:$B51)</f>
        <v>1.648721270418251</v>
      </c>
      <c r="D52" s="1">
        <f t="shared" si="6"/>
        <v>2.8327836373340759E-10</v>
      </c>
      <c r="E52" s="1">
        <f t="shared" si="7"/>
        <v>0.60653065971211795</v>
      </c>
      <c r="F52" s="1">
        <f t="shared" si="8"/>
        <v>0.05</v>
      </c>
      <c r="G52" s="1">
        <f t="shared" si="4"/>
        <v>9.0430006756522639E-12</v>
      </c>
      <c r="H52" s="1">
        <f t="shared" si="9"/>
        <v>0.50000000000904299</v>
      </c>
      <c r="I52" s="1">
        <f t="shared" si="10"/>
        <v>1.5071667792753774E-12</v>
      </c>
      <c r="J52" s="1">
        <f t="shared" si="11"/>
        <v>8.3333333334840498E-2</v>
      </c>
    </row>
    <row r="53" spans="1:10">
      <c r="A53" s="1">
        <v>11</v>
      </c>
      <c r="B53" s="1">
        <f t="shared" si="5"/>
        <v>1.2232474797578965E-11</v>
      </c>
      <c r="C53" s="1">
        <f>SUM(B$42:$B52)</f>
        <v>1.6487212706873655</v>
      </c>
      <c r="D53" s="1">
        <f t="shared" si="6"/>
        <v>1.2814973597463678E-11</v>
      </c>
      <c r="E53" s="1">
        <f t="shared" si="7"/>
        <v>0.60653065971261411</v>
      </c>
      <c r="F53" s="1">
        <f t="shared" si="8"/>
        <v>4.5454545454545456E-2</v>
      </c>
      <c r="G53" s="1">
        <f t="shared" si="4"/>
        <v>3.7012735191758934E-13</v>
      </c>
      <c r="H53" s="1">
        <f t="shared" si="9"/>
        <v>0.50000000000037015</v>
      </c>
      <c r="I53" s="1">
        <f t="shared" si="10"/>
        <v>6.1687891986264885E-14</v>
      </c>
      <c r="J53" s="1">
        <f t="shared" si="11"/>
        <v>8.3333333333395015E-2</v>
      </c>
    </row>
    <row r="54" spans="1:10">
      <c r="A54" s="1">
        <v>12</v>
      </c>
      <c r="B54" s="1">
        <f t="shared" si="5"/>
        <v>5.0968644989912354E-13</v>
      </c>
      <c r="C54" s="1">
        <f>SUM(B$42:$B53)</f>
        <v>1.648721270699598</v>
      </c>
      <c r="D54" s="1">
        <f t="shared" si="6"/>
        <v>5.3184673032952017E-13</v>
      </c>
      <c r="E54" s="1">
        <f t="shared" si="7"/>
        <v>0.60653065971263287</v>
      </c>
      <c r="F54" s="1">
        <f t="shared" si="8"/>
        <v>4.1666666666666664E-2</v>
      </c>
      <c r="G54" s="1">
        <f t="shared" si="4"/>
        <v>1.4025276009250894E-14</v>
      </c>
      <c r="H54" s="1">
        <f t="shared" si="9"/>
        <v>0.50000000000001399</v>
      </c>
      <c r="I54" s="1">
        <f t="shared" si="10"/>
        <v>2.3375460015418158E-15</v>
      </c>
      <c r="J54" s="1">
        <f t="shared" si="11"/>
        <v>8.333333333333566E-2</v>
      </c>
    </row>
    <row r="55" spans="1:10">
      <c r="A55" s="1">
        <v>13</v>
      </c>
      <c r="B55" s="1">
        <f t="shared" si="5"/>
        <v>1.9603324996120133E-14</v>
      </c>
      <c r="C55" s="1">
        <f>SUM(B$42:$B54)</f>
        <v>1.6487212707001075</v>
      </c>
      <c r="D55" s="1">
        <f t="shared" si="6"/>
        <v>2.0387457995964938E-14</v>
      </c>
      <c r="E55" s="1">
        <f t="shared" si="7"/>
        <v>0.60653065971263354</v>
      </c>
      <c r="F55" s="1">
        <f t="shared" si="8"/>
        <v>3.8461538461538464E-2</v>
      </c>
      <c r="G55" s="1">
        <f t="shared" si="4"/>
        <v>4.9462473392624886E-16</v>
      </c>
      <c r="H55" s="1">
        <f t="shared" si="9"/>
        <v>0.50000000000000044</v>
      </c>
      <c r="I55" s="1">
        <f t="shared" si="10"/>
        <v>8.2437455654374805E-17</v>
      </c>
      <c r="J55" s="1">
        <f t="shared" si="11"/>
        <v>8.3333333333333412E-2</v>
      </c>
    </row>
    <row r="56" spans="1:10">
      <c r="A56" s="1">
        <v>14</v>
      </c>
      <c r="B56" s="1">
        <f t="shared" si="5"/>
        <v>7.0011874986143338E-16</v>
      </c>
      <c r="C56" s="1">
        <f>SUM(B$42:$B55)</f>
        <v>1.6487212707001271</v>
      </c>
      <c r="D56" s="1">
        <f t="shared" si="6"/>
        <v>7.2604907393037532E-16</v>
      </c>
      <c r="E56" s="1">
        <f t="shared" si="7"/>
        <v>0.60653065971263354</v>
      </c>
      <c r="F56" s="1">
        <f t="shared" si="8"/>
        <v>3.5714285714285712E-2</v>
      </c>
      <c r="G56" s="1">
        <f t="shared" si="4"/>
        <v>1.6310037918323598E-17</v>
      </c>
      <c r="H56" s="1">
        <f t="shared" si="9"/>
        <v>0.5</v>
      </c>
      <c r="I56" s="1">
        <f t="shared" si="10"/>
        <v>2.7183396530539331E-18</v>
      </c>
      <c r="J56" s="1">
        <f t="shared" si="11"/>
        <v>8.3333333333333329E-2</v>
      </c>
    </row>
    <row r="57" spans="1:10">
      <c r="A57" s="1">
        <v>15</v>
      </c>
      <c r="B57" s="1">
        <f t="shared" si="5"/>
        <v>2.333729166204778E-17</v>
      </c>
      <c r="C57" s="1">
        <f>SUM(B$42:$B56)</f>
        <v>1.6487212707001278</v>
      </c>
      <c r="D57" s="1">
        <f t="shared" si="6"/>
        <v>2.4142025857290806E-17</v>
      </c>
      <c r="E57" s="1">
        <f t="shared" si="7"/>
        <v>0.60653065971263354</v>
      </c>
      <c r="F57" s="1">
        <f t="shared" si="8"/>
        <v>3.3333333333333333E-2</v>
      </c>
      <c r="G57" s="1">
        <f t="shared" si="4"/>
        <v>5.0492685758696728E-19</v>
      </c>
      <c r="H57" s="1">
        <f t="shared" si="9"/>
        <v>0.5</v>
      </c>
      <c r="I57" s="1">
        <f t="shared" si="10"/>
        <v>8.4154476264494547E-20</v>
      </c>
      <c r="J57" s="1">
        <f t="shared" si="11"/>
        <v>8.3333333333333329E-2</v>
      </c>
    </row>
    <row r="58" spans="1:10">
      <c r="A58" s="1">
        <v>16</v>
      </c>
      <c r="B58" s="1">
        <f t="shared" si="5"/>
        <v>7.2929036443899311E-19</v>
      </c>
      <c r="C58" s="1">
        <f>SUM(B$42:$B57)</f>
        <v>1.6487212707001278</v>
      </c>
      <c r="D58" s="1">
        <f t="shared" si="6"/>
        <v>7.5281586006605745E-19</v>
      </c>
      <c r="E58" s="1">
        <f t="shared" si="7"/>
        <v>0.60653065971263354</v>
      </c>
      <c r="F58" s="1">
        <f t="shared" si="8"/>
        <v>3.125E-2</v>
      </c>
      <c r="G58" s="1">
        <f t="shared" si="4"/>
        <v>1.4729222588645142E-20</v>
      </c>
      <c r="H58" s="1">
        <f t="shared" si="9"/>
        <v>0.5</v>
      </c>
      <c r="I58" s="1">
        <f t="shared" si="10"/>
        <v>2.4548704314408569E-21</v>
      </c>
      <c r="J58" s="1">
        <f t="shared" si="11"/>
        <v>8.3333333333333329E-2</v>
      </c>
    </row>
    <row r="59" spans="1:10">
      <c r="A59" s="1">
        <v>17</v>
      </c>
      <c r="B59" s="1">
        <f t="shared" si="5"/>
        <v>2.1449716601146855E-20</v>
      </c>
      <c r="C59" s="1">
        <f>SUM(B$42:$B58)</f>
        <v>1.6487212707001278</v>
      </c>
      <c r="D59" s="1">
        <f t="shared" si="6"/>
        <v>2.209970801330282E-20</v>
      </c>
      <c r="E59" s="1">
        <f t="shared" si="7"/>
        <v>0.60653065971263354</v>
      </c>
      <c r="F59" s="1">
        <f t="shared" si="8"/>
        <v>2.9411764705882353E-2</v>
      </c>
      <c r="G59" s="1">
        <f t="shared" si="4"/>
        <v>4.061863782050041E-22</v>
      </c>
      <c r="H59" s="1">
        <f t="shared" si="9"/>
        <v>0.5</v>
      </c>
      <c r="I59" s="1">
        <f t="shared" si="10"/>
        <v>6.7697729700834021E-23</v>
      </c>
      <c r="J59" s="1">
        <f t="shared" si="11"/>
        <v>8.3333333333333329E-2</v>
      </c>
    </row>
    <row r="60" spans="1:10">
      <c r="A60" s="1">
        <v>18</v>
      </c>
      <c r="B60" s="1">
        <f t="shared" si="5"/>
        <v>5.9582546114296819E-22</v>
      </c>
      <c r="C60" s="1">
        <f>SUM(B$42:$B59)</f>
        <v>1.6487212707001278</v>
      </c>
      <c r="D60" s="1">
        <f t="shared" si="6"/>
        <v>6.1284904574705302E-22</v>
      </c>
      <c r="E60" s="1">
        <f t="shared" si="7"/>
        <v>0.60653065971263354</v>
      </c>
      <c r="F60" s="1">
        <f t="shared" si="8"/>
        <v>2.7777777777777776E-2</v>
      </c>
      <c r="G60" s="1">
        <f t="shared" si="4"/>
        <v>1.0620335314891944E-23</v>
      </c>
      <c r="H60" s="1">
        <f t="shared" si="9"/>
        <v>0.5</v>
      </c>
      <c r="I60" s="1">
        <f t="shared" si="10"/>
        <v>1.7700558858153241E-24</v>
      </c>
      <c r="J60" s="1">
        <f t="shared" si="11"/>
        <v>8.3333333333333329E-2</v>
      </c>
    </row>
    <row r="61" spans="1:10">
      <c r="A61" s="1">
        <v>19</v>
      </c>
      <c r="B61" s="1">
        <f t="shared" si="5"/>
        <v>1.5679617398499164E-23</v>
      </c>
      <c r="C61" s="1">
        <f>SUM(B$42:$B60)</f>
        <v>1.6487212707001278</v>
      </c>
      <c r="D61" s="1">
        <f t="shared" si="6"/>
        <v>1.6103390841701844E-23</v>
      </c>
      <c r="E61" s="1">
        <f t="shared" si="7"/>
        <v>0.60653065971263354</v>
      </c>
      <c r="F61" s="1">
        <f t="shared" si="8"/>
        <v>2.6315789473684209E-2</v>
      </c>
      <c r="G61" s="1">
        <f t="shared" si="4"/>
        <v>2.6397838569804861E-25</v>
      </c>
      <c r="H61" s="1">
        <f t="shared" si="9"/>
        <v>0.5</v>
      </c>
      <c r="I61" s="1">
        <f t="shared" si="10"/>
        <v>4.3996397616341435E-26</v>
      </c>
      <c r="J61" s="1">
        <f t="shared" si="11"/>
        <v>8.3333333333333329E-2</v>
      </c>
    </row>
    <row r="62" spans="1:10">
      <c r="A62" s="1">
        <v>20</v>
      </c>
      <c r="B62" s="1">
        <f t="shared" si="5"/>
        <v>3.919904349624791E-25</v>
      </c>
      <c r="C62" s="1">
        <f>SUM(B$42:$B61)</f>
        <v>1.6487212707001278</v>
      </c>
      <c r="D62" s="1">
        <f t="shared" si="6"/>
        <v>4.0204147175638884E-25</v>
      </c>
      <c r="E62" s="1">
        <f t="shared" si="7"/>
        <v>0.60653065971263354</v>
      </c>
      <c r="F62" s="1">
        <f t="shared" si="8"/>
        <v>2.5000000000000001E-2</v>
      </c>
      <c r="G62" s="1">
        <f t="shared" si="4"/>
        <v>6.2525763870830942E-27</v>
      </c>
      <c r="H62" s="1">
        <f t="shared" si="9"/>
        <v>0.5</v>
      </c>
      <c r="I62" s="1">
        <f t="shared" si="10"/>
        <v>1.042096064513849E-27</v>
      </c>
      <c r="J62" s="1">
        <f t="shared" si="11"/>
        <v>8.3333333333333329E-2</v>
      </c>
    </row>
    <row r="63" spans="1:10">
      <c r="A63" s="1">
        <v>21</v>
      </c>
      <c r="B63" s="1">
        <f t="shared" si="5"/>
        <v>9.3331055943447412E-27</v>
      </c>
      <c r="C63" s="1">
        <f>SUM(B$42:$B62)</f>
        <v>1.6487212707001278</v>
      </c>
      <c r="D63" s="1">
        <f t="shared" si="6"/>
        <v>9.5607423161580282E-27</v>
      </c>
      <c r="E63" s="1">
        <f t="shared" si="7"/>
        <v>0.60653065971263354</v>
      </c>
      <c r="F63" s="1">
        <f t="shared" si="8"/>
        <v>2.3809523809523808E-2</v>
      </c>
      <c r="G63" s="1">
        <f t="shared" si="4"/>
        <v>1.4143617913077611E-28</v>
      </c>
      <c r="H63" s="1">
        <f t="shared" si="9"/>
        <v>0.5</v>
      </c>
      <c r="I63" s="1">
        <f t="shared" si="10"/>
        <v>2.3572696521796018E-29</v>
      </c>
      <c r="J63" s="1">
        <f t="shared" si="11"/>
        <v>8.3333333333333329E-2</v>
      </c>
    </row>
    <row r="64" spans="1:10">
      <c r="A64" s="1">
        <v>22</v>
      </c>
      <c r="B64" s="1">
        <f t="shared" si="5"/>
        <v>2.1211603623510776E-28</v>
      </c>
      <c r="C64" s="1">
        <f>SUM(B$42:$B63)</f>
        <v>1.6487212707001278</v>
      </c>
      <c r="D64" s="1">
        <f t="shared" si="6"/>
        <v>2.1704896731034283E-28</v>
      </c>
      <c r="E64" s="1">
        <f t="shared" si="7"/>
        <v>0.60653065971263354</v>
      </c>
      <c r="F64" s="1">
        <f t="shared" si="8"/>
        <v>2.2727272727272728E-2</v>
      </c>
      <c r="G64" s="1">
        <f t="shared" si="4"/>
        <v>3.0615547286671644E-30</v>
      </c>
      <c r="H64" s="1">
        <f t="shared" si="9"/>
        <v>0.5</v>
      </c>
      <c r="I64" s="1">
        <f t="shared" si="10"/>
        <v>5.1025912144452738E-31</v>
      </c>
      <c r="J64" s="1">
        <f t="shared" si="11"/>
        <v>8.3333333333333329E-2</v>
      </c>
    </row>
    <row r="65" spans="1:1">
      <c r="A65" s="1">
        <v>23</v>
      </c>
    </row>
    <row r="66" spans="1:1">
      <c r="A66" s="1">
        <v>24</v>
      </c>
    </row>
    <row r="67" spans="1:1">
      <c r="A67" s="1">
        <v>25</v>
      </c>
    </row>
    <row r="68" spans="1:1">
      <c r="A68" s="1">
        <v>26</v>
      </c>
    </row>
    <row r="69" spans="1:1">
      <c r="A69" s="1">
        <v>27</v>
      </c>
    </row>
    <row r="70" spans="1:1">
      <c r="A70" s="1">
        <v>28</v>
      </c>
    </row>
    <row r="71" spans="1:1">
      <c r="A71" s="1">
        <v>29</v>
      </c>
    </row>
    <row r="72" spans="1:1">
      <c r="A72" s="1">
        <v>30</v>
      </c>
    </row>
  </sheetData>
  <mergeCells count="1">
    <mergeCell ref="G7:H8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opLeftCell="B1" workbookViewId="0">
      <selection activeCell="D18" sqref="D18"/>
    </sheetView>
  </sheetViews>
  <sheetFormatPr baseColWidth="10" defaultRowHeight="15" x14ac:dyDescent="0"/>
  <cols>
    <col min="1" max="1" width="2.5" customWidth="1"/>
    <col min="2" max="2" width="3.6640625" customWidth="1"/>
    <col min="3" max="3" width="41.5" customWidth="1"/>
    <col min="4" max="4" width="11.5" customWidth="1"/>
    <col min="5" max="5" width="12" bestFit="1" customWidth="1"/>
    <col min="6" max="7" width="3.83203125" customWidth="1"/>
    <col min="8" max="8" width="37.5" bestFit="1" customWidth="1"/>
    <col min="9" max="9" width="18.6640625" customWidth="1"/>
    <col min="10" max="10" width="27.6640625" bestFit="1" customWidth="1"/>
    <col min="11" max="11" width="3.6640625" customWidth="1"/>
  </cols>
  <sheetData>
    <row r="1" spans="2:11" ht="16" thickBot="1"/>
    <row r="2" spans="2:11">
      <c r="B2" s="84"/>
      <c r="C2" s="85"/>
      <c r="D2" s="85"/>
      <c r="E2" s="85"/>
      <c r="F2" s="85"/>
      <c r="G2" s="96"/>
      <c r="H2" s="85"/>
      <c r="I2" s="85"/>
      <c r="J2" s="85"/>
      <c r="K2" s="86"/>
    </row>
    <row r="3" spans="2:11" ht="19" thickBot="1">
      <c r="B3" s="87"/>
      <c r="C3" s="88"/>
      <c r="D3" s="88"/>
      <c r="E3" s="88"/>
      <c r="F3" s="88"/>
      <c r="G3" s="97"/>
      <c r="H3" s="88"/>
      <c r="I3" s="95" t="s">
        <v>37</v>
      </c>
      <c r="J3" s="95"/>
      <c r="K3" s="89"/>
    </row>
    <row r="4" spans="2:11" ht="19" thickBot="1">
      <c r="B4" s="87"/>
      <c r="C4" s="83" t="s">
        <v>41</v>
      </c>
      <c r="D4" s="93" t="s">
        <v>39</v>
      </c>
      <c r="E4" s="94" t="s">
        <v>40</v>
      </c>
      <c r="F4" s="88"/>
      <c r="G4" s="97"/>
      <c r="H4" s="83" t="s">
        <v>5</v>
      </c>
      <c r="I4" s="93" t="s">
        <v>39</v>
      </c>
      <c r="J4" s="94" t="s">
        <v>40</v>
      </c>
      <c r="K4" s="89"/>
    </row>
    <row r="5" spans="2:11">
      <c r="B5" s="87"/>
      <c r="C5" s="15" t="s">
        <v>11</v>
      </c>
      <c r="D5" s="60">
        <f>'Single Channel'!E10</f>
        <v>0.5</v>
      </c>
      <c r="E5" s="75">
        <f>'Multiple Channel'!E10</f>
        <v>0.25</v>
      </c>
      <c r="F5" s="88"/>
      <c r="G5" s="97"/>
      <c r="H5" s="79" t="s">
        <v>11</v>
      </c>
      <c r="I5" s="61" t="str">
        <f>'Single Channel'!F10</f>
        <v>50%</v>
      </c>
      <c r="J5" s="77" t="str">
        <f>'Multiple Channel'!F10</f>
        <v>25%</v>
      </c>
      <c r="K5" s="89"/>
    </row>
    <row r="6" spans="2:11" ht="16">
      <c r="B6" s="87"/>
      <c r="C6" s="14" t="s">
        <v>12</v>
      </c>
      <c r="D6" s="61">
        <f>'Single Channel'!E11</f>
        <v>0.5</v>
      </c>
      <c r="E6" s="76">
        <f>'Multiple Channel'!E11</f>
        <v>3.3333333333333333E-2</v>
      </c>
      <c r="F6" s="88"/>
      <c r="G6" s="97"/>
      <c r="H6" s="80" t="s">
        <v>12</v>
      </c>
      <c r="I6" s="61" t="str">
        <f>'Single Channel'!F11</f>
        <v>0.5/Customer</v>
      </c>
      <c r="J6" s="77" t="str">
        <f>'Multiple Channel'!F11</f>
        <v>0.0333333333333333/Customer</v>
      </c>
      <c r="K6" s="89"/>
    </row>
    <row r="7" spans="2:11" ht="16">
      <c r="B7" s="87"/>
      <c r="C7" s="32" t="s">
        <v>13</v>
      </c>
      <c r="D7" s="61">
        <f>'Single Channel'!E12</f>
        <v>1</v>
      </c>
      <c r="E7" s="76">
        <f>'Multiple Channel'!E12</f>
        <v>0.53333333333333333</v>
      </c>
      <c r="F7" s="88"/>
      <c r="G7" s="97"/>
      <c r="H7" s="81" t="s">
        <v>13</v>
      </c>
      <c r="I7" s="61" t="str">
        <f>'Single Channel'!F12</f>
        <v>1/Customer</v>
      </c>
      <c r="J7" s="77" t="str">
        <f>'Multiple Channel'!F12</f>
        <v>0.533333333333333/Customer</v>
      </c>
      <c r="K7" s="89"/>
    </row>
    <row r="8" spans="2:11" ht="16">
      <c r="B8" s="87"/>
      <c r="C8" s="14" t="s">
        <v>14</v>
      </c>
      <c r="D8" s="62">
        <f>'Single Channel'!E13</f>
        <v>8.3333333333333329E-2</v>
      </c>
      <c r="E8" s="76">
        <f>'Multiple Channel'!E13</f>
        <v>5.5555555555555558E-3</v>
      </c>
      <c r="F8" s="88"/>
      <c r="G8" s="97"/>
      <c r="H8" s="80" t="s">
        <v>14</v>
      </c>
      <c r="I8" s="61" t="str">
        <f>'Single Channel'!F13</f>
        <v>5/Min</v>
      </c>
      <c r="J8" s="77" t="str">
        <f>'Multiple Channel'!F13</f>
        <v>0.333333333333333/Min</v>
      </c>
      <c r="K8" s="89"/>
    </row>
    <row r="9" spans="2:11" ht="16">
      <c r="B9" s="87"/>
      <c r="C9" s="14" t="s">
        <v>15</v>
      </c>
      <c r="D9" s="62">
        <f>'Single Channel'!E14</f>
        <v>0.16666666666666666</v>
      </c>
      <c r="E9" s="76">
        <f>'Multiple Channel'!E14</f>
        <v>8.8888888888888878E-2</v>
      </c>
      <c r="F9" s="88"/>
      <c r="G9" s="97"/>
      <c r="H9" s="80" t="s">
        <v>15</v>
      </c>
      <c r="I9" s="61" t="str">
        <f>'Single Channel'!F14</f>
        <v>10/Min</v>
      </c>
      <c r="J9" s="77" t="str">
        <f>'Multiple Channel'!F14</f>
        <v>5.33333333333333/Min</v>
      </c>
      <c r="K9" s="89"/>
    </row>
    <row r="10" spans="2:11" ht="16">
      <c r="B10" s="87"/>
      <c r="C10" s="14" t="s">
        <v>16</v>
      </c>
      <c r="D10" s="61">
        <f>'Single Channel'!E15</f>
        <v>0.5</v>
      </c>
      <c r="E10" s="77">
        <f>'Multiple Channel'!E15</f>
        <v>0.6</v>
      </c>
      <c r="F10" s="88"/>
      <c r="G10" s="97"/>
      <c r="H10" s="80" t="s">
        <v>16</v>
      </c>
      <c r="I10" s="61" t="str">
        <f>'Single Channel'!F15</f>
        <v>50%</v>
      </c>
      <c r="J10" s="77" t="str">
        <f>'Multiple Channel'!F15</f>
        <v>60%</v>
      </c>
      <c r="K10" s="89"/>
    </row>
    <row r="11" spans="2:11">
      <c r="B11" s="87"/>
      <c r="C11" s="14" t="s">
        <v>9</v>
      </c>
      <c r="D11" s="61">
        <f>'Single Channel'!E16</f>
        <v>0</v>
      </c>
      <c r="E11" s="77">
        <f>'Multiple Channel'!E16</f>
        <v>0</v>
      </c>
      <c r="F11" s="88"/>
      <c r="G11" s="97"/>
      <c r="H11" s="80" t="s">
        <v>9</v>
      </c>
      <c r="I11" s="61">
        <f>'Single Channel'!F16</f>
        <v>0</v>
      </c>
      <c r="J11" s="77">
        <f>'Multiple Channel'!F16</f>
        <v>0</v>
      </c>
      <c r="K11" s="89"/>
    </row>
    <row r="12" spans="2:11" ht="16" thickBot="1">
      <c r="B12" s="87"/>
      <c r="C12" s="17" t="s">
        <v>10</v>
      </c>
      <c r="D12" s="63">
        <f>'Single Channel'!E17</f>
        <v>0</v>
      </c>
      <c r="E12" s="78">
        <f>'Multiple Channel'!E17</f>
        <v>0</v>
      </c>
      <c r="F12" s="88"/>
      <c r="G12" s="97"/>
      <c r="H12" s="82" t="s">
        <v>10</v>
      </c>
      <c r="I12" s="63">
        <f>'Single Channel'!F17</f>
        <v>0</v>
      </c>
      <c r="J12" s="78">
        <f>'Multiple Channel'!F17</f>
        <v>0</v>
      </c>
      <c r="K12" s="89"/>
    </row>
    <row r="13" spans="2:11" ht="16" thickBot="1">
      <c r="B13" s="90"/>
      <c r="C13" s="91"/>
      <c r="D13" s="91"/>
      <c r="E13" s="91"/>
      <c r="F13" s="91"/>
      <c r="G13" s="98"/>
      <c r="H13" s="91"/>
      <c r="I13" s="91"/>
      <c r="J13" s="91"/>
      <c r="K13" s="92"/>
    </row>
  </sheetData>
  <mergeCells count="1">
    <mergeCell ref="I3:J3"/>
  </mergeCells>
  <conditionalFormatting sqref="I5:I12 D5:D12">
    <cfRule type="expression" dxfId="2" priority="3">
      <formula>MOD(ROW(),2)=1</formula>
    </cfRule>
  </conditionalFormatting>
  <conditionalFormatting sqref="I5:I12">
    <cfRule type="expression" dxfId="1" priority="2">
      <formula>MOD(ROW(),2)=1</formula>
    </cfRule>
  </conditionalFormatting>
  <conditionalFormatting sqref="E5:E12 J5:J12">
    <cfRule type="expression" dxfId="0" priority="1">
      <formula>MOD(ROW(),2)=1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Channel</vt:lpstr>
      <vt:lpstr>Multiple Channel</vt:lpstr>
      <vt:lpstr>Comparison Single vs. Multiple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Camacho</dc:creator>
  <cp:lastModifiedBy>Aaron Camacho</cp:lastModifiedBy>
  <dcterms:created xsi:type="dcterms:W3CDTF">2014-01-20T20:31:46Z</dcterms:created>
  <dcterms:modified xsi:type="dcterms:W3CDTF">2014-01-22T04:19:40Z</dcterms:modified>
</cp:coreProperties>
</file>