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1.xml" ContentType="application/vnd.openxmlformats-officedocument.spreadsheetml.chartsheet+xml"/>
  <Override PartName="/xl/worksheets/sheet5.xml" ContentType="application/vnd.openxmlformats-officedocument.spreadsheetml.worksheet+xml"/>
  <Override PartName="/xl/chartsheets/sheet2.xml" ContentType="application/vnd.openxmlformats-officedocument.spreadsheetml.chartsheet+xml"/>
  <Override PartName="/xl/worksheets/sheet6.xml" ContentType="application/vnd.openxmlformats-officedocument.spreadsheetml.worksheet+xml"/>
  <Override PartName="/xl/chartsheets/sheet3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comments2.xml" ContentType="application/vnd.openxmlformats-officedocument.spreadsheetml.comments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comments3.xml" ContentType="application/vnd.openxmlformats-officedocument.spreadsheetml.comments+xml"/>
  <Override PartName="/xl/drawings/drawing8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/>
  <bookViews>
    <workbookView xWindow="22280" yWindow="920" windowWidth="25600" windowHeight="16060" tabRatio="754" activeTab="3"/>
  </bookViews>
  <sheets>
    <sheet name="Comparison" sheetId="125" r:id="rId1"/>
    <sheet name="Decent. ES &amp; LR DS trend line" sheetId="116" r:id="rId2"/>
    <sheet name="Solver-Decent. ES &amp; LR DS trend" sheetId="126" r:id="rId3"/>
    <sheet name="Least Squares-Linear Regression" sheetId="119" r:id="rId4"/>
    <sheet name="LS - Linear Regression Graph" sheetId="120" r:id="rId5"/>
    <sheet name="Exponential Smoothing" sheetId="129" r:id="rId6"/>
    <sheet name="Exponential Smoothing Graph " sheetId="130" r:id="rId7"/>
    <sheet name="Trend Adjusted ES" sheetId="131" r:id="rId8"/>
    <sheet name="Trend Adjusted ES Graph" sheetId="132" r:id="rId9"/>
  </sheets>
  <definedNames>
    <definedName name="__123Graph_A" localSheetId="2" hidden="1">#REF!</definedName>
    <definedName name="__123Graph_A" hidden="1">#REF!</definedName>
    <definedName name="__123Graph_ACOAL" localSheetId="2" hidden="1">'Solver-Decent. ES &amp; LR DS trend'!$C$5:$C$13</definedName>
    <definedName name="__123Graph_ACOAL" hidden="1">'Decent. ES &amp; LR DS trend line'!$C$5:$C$13</definedName>
    <definedName name="__123Graph_ACOAL2" localSheetId="2" hidden="1">'Solver-Decent. ES &amp; LR DS trend'!$C$5:$C$13</definedName>
    <definedName name="__123Graph_ACOAL2" hidden="1">'Decent. ES &amp; LR DS trend line'!$C$5:$C$13</definedName>
    <definedName name="__123Graph_ACOAL3" localSheetId="2" hidden="1">'Solver-Decent. ES &amp; LR DS trend'!$C$5:$C$15</definedName>
    <definedName name="__123Graph_ACOAL3" hidden="1">'Decent. ES &amp; LR DS trend line'!$C$5:$C$15</definedName>
    <definedName name="__123Graph_ADESEAS" localSheetId="2" hidden="1">'Solver-Decent. ES &amp; LR DS trend'!$U$5:$U$13</definedName>
    <definedName name="__123Graph_ADESEAS" hidden="1">'Decent. ES &amp; LR DS trend line'!$U$5:$U$13</definedName>
    <definedName name="__123Graph_ADESEAS2" localSheetId="2" hidden="1">'Solver-Decent. ES &amp; LR DS trend'!$V$5:$V$15</definedName>
    <definedName name="__123Graph_ADESEAS2" hidden="1">'Decent. ES &amp; LR DS trend line'!$V$5:$V$15</definedName>
    <definedName name="__123Graph_ASEASFACT" localSheetId="2" hidden="1">#REF!</definedName>
    <definedName name="__123Graph_ASEASFACT" hidden="1">#REF!</definedName>
    <definedName name="__123Graph_B" localSheetId="2" hidden="1">#REF!</definedName>
    <definedName name="__123Graph_B" hidden="1">#REF!</definedName>
    <definedName name="__123Graph_BCOAL2" localSheetId="2" hidden="1">'Solver-Decent. ES &amp; LR DS trend'!#REF!</definedName>
    <definedName name="__123Graph_BCOAL2" hidden="1">'Decent. ES &amp; LR DS trend line'!#REF!</definedName>
    <definedName name="__123Graph_BCOAL3" localSheetId="2" hidden="1">'Solver-Decent. ES &amp; LR DS trend'!$R$5:$R$15</definedName>
    <definedName name="__123Graph_BCOAL3" hidden="1">'Decent. ES &amp; LR DS trend line'!$R$5:$R$15</definedName>
    <definedName name="__123Graph_BDESEAS" localSheetId="2" hidden="1">'Solver-Decent. ES &amp; LR DS trend'!#REF!</definedName>
    <definedName name="__123Graph_BDESEAS" hidden="1">'Decent. ES &amp; LR DS trend line'!#REF!</definedName>
    <definedName name="__123Graph_BDESEAS2" localSheetId="2" hidden="1">'Solver-Decent. ES &amp; LR DS trend'!$S$5:$S$15</definedName>
    <definedName name="__123Graph_BDESEAS2" hidden="1">'Decent. ES &amp; LR DS trend line'!$S$5:$S$15</definedName>
    <definedName name="__123Graph_BSEASFACT" localSheetId="2" hidden="1">#REF!</definedName>
    <definedName name="__123Graph_BSEASFACT" hidden="1">#REF!</definedName>
    <definedName name="__123Graph_C" localSheetId="2" hidden="1">#REF!</definedName>
    <definedName name="__123Graph_C" hidden="1">#REF!</definedName>
    <definedName name="__123Graph_CCOAL3" localSheetId="2" hidden="1">'Solver-Decent. ES &amp; LR DS trend'!$Q$15:$Q$15</definedName>
    <definedName name="__123Graph_CCOAL3" hidden="1">'Decent. ES &amp; LR DS trend line'!$Q$15:$Q$15</definedName>
    <definedName name="__123Graph_CDESEAS2" localSheetId="2" hidden="1">'Solver-Decent. ES &amp; LR DS trend'!$P$15:$P$15</definedName>
    <definedName name="__123Graph_CDESEAS2" hidden="1">'Decent. ES &amp; LR DS trend line'!$P$15:$P$15</definedName>
    <definedName name="__123Graph_CSEASFACT" localSheetId="2" hidden="1">#REF!</definedName>
    <definedName name="__123Graph_CSEASFACT" hidden="1">#REF!</definedName>
    <definedName name="__123Graph_D" localSheetId="2" hidden="1">#REF!</definedName>
    <definedName name="__123Graph_D" hidden="1">#REF!</definedName>
    <definedName name="__123Graph_DSEASFACT" localSheetId="2" hidden="1">#REF!</definedName>
    <definedName name="__123Graph_DSEASFACT" hidden="1">#REF!</definedName>
    <definedName name="__123Graph_E" localSheetId="2" hidden="1">#REF!</definedName>
    <definedName name="__123Graph_E" hidden="1">#REF!</definedName>
    <definedName name="__123Graph_ESEASFACT" localSheetId="2" hidden="1">#REF!</definedName>
    <definedName name="__123Graph_ESEASFACT" hidden="1">#REF!</definedName>
    <definedName name="__123Graph_X" localSheetId="2" hidden="1">'Solver-Decent. ES &amp; LR DS trend'!$G$6:$G$16</definedName>
    <definedName name="__123Graph_X" hidden="1">'Decent. ES &amp; LR DS trend line'!$G$6:$G$16</definedName>
    <definedName name="__123Graph_XCOAL" localSheetId="2" hidden="1">'Solver-Decent. ES &amp; LR DS trend'!#REF!</definedName>
    <definedName name="__123Graph_XCOAL" hidden="1">'Decent. ES &amp; LR DS trend line'!#REF!</definedName>
    <definedName name="__123Graph_XCOAL2" localSheetId="2" hidden="1">'Solver-Decent. ES &amp; LR DS trend'!#REF!</definedName>
    <definedName name="__123Graph_XCOAL2" hidden="1">'Decent. ES &amp; LR DS trend line'!#REF!</definedName>
    <definedName name="__123Graph_XCOAL3" localSheetId="2" hidden="1">'Solver-Decent. ES &amp; LR DS trend'!#REF!</definedName>
    <definedName name="__123Graph_XCOAL3" hidden="1">'Decent. ES &amp; LR DS trend line'!#REF!</definedName>
    <definedName name="__123Graph_XDESEAS" localSheetId="2" hidden="1">'Solver-Decent. ES &amp; LR DS trend'!#REF!</definedName>
    <definedName name="__123Graph_XDESEAS" hidden="1">'Decent. ES &amp; LR DS trend line'!#REF!</definedName>
    <definedName name="__123Graph_XDESEAS2" localSheetId="2" hidden="1">'Solver-Decent. ES &amp; LR DS trend'!#REF!</definedName>
    <definedName name="__123Graph_XDESEAS2" hidden="1">'Decent. ES &amp; LR DS trend line'!#REF!</definedName>
    <definedName name="__123Graph_XSEASFACT" localSheetId="2" hidden="1">'Solver-Decent. ES &amp; LR DS trend'!$G$6:$G$16</definedName>
    <definedName name="__123Graph_XSEASFACT" hidden="1">'Decent. ES &amp; LR DS trend line'!$G$6:$G$16</definedName>
    <definedName name="_Fill" localSheetId="2" hidden="1">'Solver-Decent. ES &amp; LR DS trend'!#REF!</definedName>
    <definedName name="_Fill" hidden="1">'Decent. ES &amp; LR DS trend line'!#REF!</definedName>
    <definedName name="_Regression_Int" localSheetId="1" hidden="1">1</definedName>
    <definedName name="_Regression_Int" localSheetId="2" hidden="1">1</definedName>
    <definedName name="_SER1" localSheetId="2">'Solver-Decent. ES &amp; LR DS trend'!$C$5:$C$13</definedName>
    <definedName name="_SER1">'Decent. ES &amp; LR DS trend line'!$C$5:$C$13</definedName>
    <definedName name="_xlnm.Print_Area" localSheetId="1">'Decent. ES &amp; LR DS trend line'!$A$3:$L$15</definedName>
    <definedName name="_xlnm.Print_Area" localSheetId="2">'Solver-Decent. ES &amp; LR DS trend'!$A$3:$L$15</definedName>
    <definedName name="Print_Area_MI" localSheetId="1">'Decent. ES &amp; LR DS trend line'!$G$5:$K$13</definedName>
    <definedName name="Print_Area_MI" localSheetId="2">'Solver-Decent. ES &amp; LR DS trend'!$G$5:$K$13</definedName>
    <definedName name="solver_adj" localSheetId="1" hidden="1">'Decent. ES &amp; LR DS trend line'!$K$6</definedName>
    <definedName name="solver_adj" localSheetId="2" hidden="1">'Solver-Decent. ES &amp; LR DS trend'!$K$6</definedName>
    <definedName name="solver_cvg" localSheetId="1" hidden="1">0.00000001</definedName>
    <definedName name="solver_cvg" localSheetId="2" hidden="1">0.00000001</definedName>
    <definedName name="solver_drv" localSheetId="1" hidden="1">1</definedName>
    <definedName name="solver_drv" localSheetId="2" hidden="1">1</definedName>
    <definedName name="solver_eng" localSheetId="1" hidden="1">1</definedName>
    <definedName name="solver_eng" localSheetId="2" hidden="1">1</definedName>
    <definedName name="solver_est" localSheetId="1" hidden="1">1</definedName>
    <definedName name="solver_est" localSheetId="2" hidden="1">1</definedName>
    <definedName name="solver_itr" localSheetId="1" hidden="1">100</definedName>
    <definedName name="solver_itr" localSheetId="2" hidden="1">100</definedName>
    <definedName name="solver_lhs1" localSheetId="1" hidden="1">'Decent. ES &amp; LR DS trend line'!$K$6</definedName>
    <definedName name="solver_lhs1" localSheetId="2" hidden="1">'Solver-Decent. ES &amp; LR DS trend'!$K$6</definedName>
    <definedName name="solver_lhs2" localSheetId="1" hidden="1">'Decent. ES &amp; LR DS trend line'!#REF!</definedName>
    <definedName name="solver_lhs2" localSheetId="2" hidden="1">'Solver-Decent. ES &amp; LR DS trend'!#REF!</definedName>
    <definedName name="solver_lin" localSheetId="1" hidden="1">2</definedName>
    <definedName name="solver_lin" localSheetId="2" hidden="1">2</definedName>
    <definedName name="solver_mip" localSheetId="1" hidden="1">2147483647</definedName>
    <definedName name="solver_mip" localSheetId="2" hidden="1">2147483647</definedName>
    <definedName name="solver_mni" localSheetId="1" hidden="1">30</definedName>
    <definedName name="solver_mni" localSheetId="2" hidden="1">30</definedName>
    <definedName name="solver_mrt" localSheetId="1" hidden="1">0.075</definedName>
    <definedName name="solver_mrt" localSheetId="2" hidden="1">0.075</definedName>
    <definedName name="solver_msl" localSheetId="1" hidden="1">1</definedName>
    <definedName name="solver_msl" localSheetId="2" hidden="1">1</definedName>
    <definedName name="solver_neg" localSheetId="1" hidden="1">1</definedName>
    <definedName name="solver_neg" localSheetId="2" hidden="1">1</definedName>
    <definedName name="solver_nod" localSheetId="1" hidden="1">2147483647</definedName>
    <definedName name="solver_nod" localSheetId="2" hidden="1">2147483647</definedName>
    <definedName name="solver_num" localSheetId="1" hidden="1">1</definedName>
    <definedName name="solver_num" localSheetId="2" hidden="1">1</definedName>
    <definedName name="solver_nwt" localSheetId="1" hidden="1">1</definedName>
    <definedName name="solver_nwt" localSheetId="2" hidden="1">1</definedName>
    <definedName name="solver_opt" localSheetId="1" hidden="1">'Decent. ES &amp; LR DS trend line'!$K$10</definedName>
    <definedName name="solver_opt" localSheetId="2" hidden="1">'Solver-Decent. ES &amp; LR DS trend'!$K$10</definedName>
    <definedName name="solver_pre" localSheetId="1" hidden="1">0.0000000000001</definedName>
    <definedName name="solver_pre" localSheetId="2" hidden="1">0.0000000000001</definedName>
    <definedName name="solver_rbv" localSheetId="1" hidden="1">1</definedName>
    <definedName name="solver_rbv" localSheetId="2" hidden="1">1</definedName>
    <definedName name="solver_rel1" localSheetId="1" hidden="1">1</definedName>
    <definedName name="solver_rel1" localSheetId="2" hidden="1">1</definedName>
    <definedName name="solver_rel2" localSheetId="1" hidden="1">3</definedName>
    <definedName name="solver_rel2" localSheetId="2" hidden="1">3</definedName>
    <definedName name="solver_rhs1" localSheetId="1" hidden="1">1</definedName>
    <definedName name="solver_rhs1" localSheetId="2" hidden="1">1</definedName>
    <definedName name="solver_rhs2" localSheetId="1" hidden="1">0</definedName>
    <definedName name="solver_rhs2" localSheetId="2" hidden="1">0</definedName>
    <definedName name="solver_rlx" localSheetId="1" hidden="1">1</definedName>
    <definedName name="solver_rlx" localSheetId="2" hidden="1">1</definedName>
    <definedName name="solver_rsd" localSheetId="1" hidden="1">0</definedName>
    <definedName name="solver_rsd" localSheetId="2" hidden="1">0</definedName>
    <definedName name="solver_scl" localSheetId="1" hidden="1">2</definedName>
    <definedName name="solver_scl" localSheetId="2" hidden="1">2</definedName>
    <definedName name="solver_sho" localSheetId="1" hidden="1">2</definedName>
    <definedName name="solver_sho" localSheetId="2" hidden="1">2</definedName>
    <definedName name="solver_ssz" localSheetId="1" hidden="1">100</definedName>
    <definedName name="solver_ssz" localSheetId="2" hidden="1">100</definedName>
    <definedName name="solver_tim" localSheetId="1" hidden="1">100</definedName>
    <definedName name="solver_tim" localSheetId="2" hidden="1">100</definedName>
    <definedName name="solver_tol" localSheetId="1" hidden="1">0.05</definedName>
    <definedName name="solver_tol" localSheetId="2" hidden="1">0.05</definedName>
    <definedName name="solver_typ" localSheetId="1" hidden="1">2</definedName>
    <definedName name="solver_typ" localSheetId="2" hidden="1">2</definedName>
    <definedName name="solver_val" localSheetId="1" hidden="1">0</definedName>
    <definedName name="solver_val" localSheetId="2" hidden="1">0</definedName>
    <definedName name="solver_ver" localSheetId="1" hidden="1">2</definedName>
    <definedName name="solver_ver" localSheetId="2" hidden="1">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2" i="116" l="1"/>
  <c r="F33" i="116"/>
  <c r="F32" i="116"/>
  <c r="J6" i="116"/>
  <c r="F34" i="116"/>
  <c r="H14" i="129"/>
  <c r="H10" i="125"/>
  <c r="G10" i="125"/>
  <c r="E10" i="125"/>
  <c r="F10" i="125"/>
  <c r="D10" i="125"/>
  <c r="I9" i="125"/>
  <c r="H9" i="125"/>
  <c r="G9" i="125"/>
  <c r="E9" i="125"/>
  <c r="F9" i="125"/>
  <c r="D9" i="125"/>
  <c r="A2" i="131"/>
  <c r="D12" i="131"/>
  <c r="F12" i="131"/>
  <c r="D13" i="131"/>
  <c r="E13" i="131"/>
  <c r="F13" i="131"/>
  <c r="D14" i="131"/>
  <c r="E14" i="131"/>
  <c r="F14" i="131"/>
  <c r="D15" i="131"/>
  <c r="E15" i="131"/>
  <c r="F15" i="131"/>
  <c r="D16" i="131"/>
  <c r="E16" i="131"/>
  <c r="F16" i="131"/>
  <c r="D17" i="131"/>
  <c r="E17" i="131"/>
  <c r="F17" i="131"/>
  <c r="D18" i="131"/>
  <c r="E18" i="131"/>
  <c r="F18" i="131"/>
  <c r="D19" i="131"/>
  <c r="E19" i="131"/>
  <c r="F19" i="131"/>
  <c r="D20" i="131"/>
  <c r="E20" i="131"/>
  <c r="F20" i="131"/>
  <c r="G20" i="131"/>
  <c r="G19" i="131"/>
  <c r="G18" i="131"/>
  <c r="G17" i="131"/>
  <c r="G16" i="131"/>
  <c r="G15" i="131"/>
  <c r="G14" i="131"/>
  <c r="G13" i="131"/>
  <c r="G12" i="131"/>
  <c r="D21" i="131"/>
  <c r="E21" i="131"/>
  <c r="F21" i="131"/>
  <c r="I13" i="131"/>
  <c r="I14" i="131"/>
  <c r="I15" i="131"/>
  <c r="I16" i="131"/>
  <c r="I17" i="131"/>
  <c r="I18" i="131"/>
  <c r="I19" i="131"/>
  <c r="I20" i="131"/>
  <c r="I12" i="131"/>
  <c r="I26" i="131"/>
  <c r="I22" i="131"/>
  <c r="I25" i="131"/>
  <c r="H13" i="131"/>
  <c r="J13" i="131"/>
  <c r="H14" i="131"/>
  <c r="J14" i="131"/>
  <c r="H15" i="131"/>
  <c r="J15" i="131"/>
  <c r="H16" i="131"/>
  <c r="J16" i="131"/>
  <c r="H17" i="131"/>
  <c r="J17" i="131"/>
  <c r="H18" i="131"/>
  <c r="J18" i="131"/>
  <c r="H19" i="131"/>
  <c r="J19" i="131"/>
  <c r="H20" i="131"/>
  <c r="J20" i="131"/>
  <c r="H12" i="131"/>
  <c r="J12" i="131"/>
  <c r="J23" i="131"/>
  <c r="I23" i="131"/>
  <c r="H23" i="131"/>
  <c r="G23" i="131"/>
  <c r="J22" i="131"/>
  <c r="H22" i="131"/>
  <c r="G22" i="131"/>
  <c r="C9" i="131"/>
  <c r="C8" i="131"/>
  <c r="A2" i="129"/>
  <c r="D13" i="129"/>
  <c r="D14" i="129"/>
  <c r="E14" i="129"/>
  <c r="J14" i="129"/>
  <c r="D15" i="129"/>
  <c r="E15" i="129"/>
  <c r="J15" i="129"/>
  <c r="D16" i="129"/>
  <c r="E16" i="129"/>
  <c r="J16" i="129"/>
  <c r="D17" i="129"/>
  <c r="E17" i="129"/>
  <c r="J17" i="129"/>
  <c r="D18" i="129"/>
  <c r="E18" i="129"/>
  <c r="J18" i="129"/>
  <c r="D19" i="129"/>
  <c r="E19" i="129"/>
  <c r="J19" i="129"/>
  <c r="D20" i="129"/>
  <c r="E20" i="129"/>
  <c r="J20" i="129"/>
  <c r="D21" i="129"/>
  <c r="E21" i="129"/>
  <c r="J21" i="129"/>
  <c r="F14" i="129"/>
  <c r="F15" i="129"/>
  <c r="F16" i="129"/>
  <c r="F17" i="129"/>
  <c r="F18" i="129"/>
  <c r="F19" i="129"/>
  <c r="F20" i="129"/>
  <c r="F21" i="129"/>
  <c r="E13" i="129"/>
  <c r="F13" i="129"/>
  <c r="L21" i="129"/>
  <c r="M21" i="129"/>
  <c r="K14" i="129"/>
  <c r="K15" i="129"/>
  <c r="K16" i="129"/>
  <c r="K17" i="129"/>
  <c r="K18" i="129"/>
  <c r="K19" i="129"/>
  <c r="K20" i="129"/>
  <c r="K21" i="129"/>
  <c r="L20" i="129"/>
  <c r="M20" i="129"/>
  <c r="L19" i="129"/>
  <c r="M19" i="129"/>
  <c r="L18" i="129"/>
  <c r="M18" i="129"/>
  <c r="L17" i="129"/>
  <c r="M17" i="129"/>
  <c r="L16" i="129"/>
  <c r="M16" i="129"/>
  <c r="L15" i="129"/>
  <c r="M15" i="129"/>
  <c r="L14" i="129"/>
  <c r="M14" i="129"/>
  <c r="B26" i="129"/>
  <c r="G14" i="129"/>
  <c r="G15" i="129"/>
  <c r="G16" i="129"/>
  <c r="G17" i="129"/>
  <c r="G18" i="129"/>
  <c r="G19" i="129"/>
  <c r="G20" i="129"/>
  <c r="G21" i="129"/>
  <c r="G13" i="129"/>
  <c r="G26" i="129"/>
  <c r="G22" i="129"/>
  <c r="G25" i="129"/>
  <c r="H15" i="129"/>
  <c r="H16" i="129"/>
  <c r="H17" i="129"/>
  <c r="H18" i="129"/>
  <c r="H19" i="129"/>
  <c r="H20" i="129"/>
  <c r="H21" i="129"/>
  <c r="H13" i="129"/>
  <c r="H23" i="129"/>
  <c r="G23" i="129"/>
  <c r="F23" i="129"/>
  <c r="E23" i="129"/>
  <c r="H22" i="129"/>
  <c r="F22" i="129"/>
  <c r="E22" i="129"/>
  <c r="C10" i="129"/>
  <c r="D16" i="126"/>
  <c r="F5" i="126"/>
  <c r="A16" i="126"/>
  <c r="E6" i="126"/>
  <c r="G5" i="116"/>
  <c r="I6" i="116"/>
  <c r="K10" i="116"/>
  <c r="G34" i="116"/>
  <c r="G38" i="126"/>
  <c r="G39" i="126"/>
  <c r="G40" i="126"/>
  <c r="G37" i="126"/>
  <c r="K16" i="126"/>
  <c r="K14" i="126"/>
  <c r="K16" i="116"/>
  <c r="K14" i="116"/>
  <c r="G38" i="116"/>
  <c r="G40" i="116"/>
  <c r="H28" i="119"/>
  <c r="H27" i="119"/>
  <c r="G8" i="125"/>
  <c r="G7" i="125"/>
  <c r="G6" i="125"/>
  <c r="G5" i="125"/>
  <c r="E6" i="116"/>
  <c r="C17" i="116"/>
  <c r="K8" i="125"/>
  <c r="J8" i="125"/>
  <c r="H6" i="125"/>
  <c r="H5" i="125"/>
  <c r="F6" i="125"/>
  <c r="E6" i="125"/>
  <c r="H6" i="126"/>
  <c r="I6" i="126"/>
  <c r="H7" i="126"/>
  <c r="I7" i="126"/>
  <c r="H8" i="126"/>
  <c r="I8" i="126"/>
  <c r="H9" i="126"/>
  <c r="I9" i="126"/>
  <c r="H10" i="126"/>
  <c r="I10" i="126"/>
  <c r="H11" i="126"/>
  <c r="I11" i="126"/>
  <c r="H12" i="126"/>
  <c r="I12" i="126"/>
  <c r="H13" i="126"/>
  <c r="I13" i="126"/>
  <c r="K12" i="126"/>
  <c r="D6" i="125"/>
  <c r="D41" i="126"/>
  <c r="D6" i="126"/>
  <c r="C17" i="126"/>
  <c r="D9" i="126"/>
  <c r="E9" i="126"/>
  <c r="D17" i="126"/>
  <c r="D13" i="126"/>
  <c r="E13" i="126"/>
  <c r="E17" i="126"/>
  <c r="A17" i="126"/>
  <c r="F13" i="126"/>
  <c r="G13" i="126"/>
  <c r="C40" i="126"/>
  <c r="D40" i="126"/>
  <c r="F40" i="126"/>
  <c r="E40" i="126"/>
  <c r="D8" i="126"/>
  <c r="E8" i="126"/>
  <c r="D12" i="126"/>
  <c r="E12" i="126"/>
  <c r="E16" i="126"/>
  <c r="F12" i="126"/>
  <c r="G12" i="126"/>
  <c r="C39" i="126"/>
  <c r="D39" i="126"/>
  <c r="F39" i="126"/>
  <c r="E39" i="126"/>
  <c r="C19" i="126"/>
  <c r="D11" i="126"/>
  <c r="E11" i="126"/>
  <c r="D19" i="126"/>
  <c r="A19" i="126"/>
  <c r="F11" i="126"/>
  <c r="G11" i="126"/>
  <c r="C38" i="126"/>
  <c r="D38" i="126"/>
  <c r="F38" i="126"/>
  <c r="E38" i="126"/>
  <c r="D7" i="126"/>
  <c r="E7" i="126"/>
  <c r="C18" i="126"/>
  <c r="D10" i="126"/>
  <c r="E10" i="126"/>
  <c r="D18" i="126"/>
  <c r="A18" i="126"/>
  <c r="F10" i="126"/>
  <c r="G10" i="126"/>
  <c r="C37" i="126"/>
  <c r="D37" i="126"/>
  <c r="F37" i="126"/>
  <c r="E37" i="126"/>
  <c r="G5" i="126"/>
  <c r="C32" i="126"/>
  <c r="F6" i="126"/>
  <c r="G6" i="126"/>
  <c r="C33" i="126"/>
  <c r="F7" i="126"/>
  <c r="G7" i="126"/>
  <c r="C34" i="126"/>
  <c r="F8" i="126"/>
  <c r="G8" i="126"/>
  <c r="C35" i="126"/>
  <c r="F9" i="126"/>
  <c r="G9" i="126"/>
  <c r="C36" i="126"/>
  <c r="D32" i="126"/>
  <c r="D33" i="126"/>
  <c r="D34" i="126"/>
  <c r="D35" i="126"/>
  <c r="D36" i="126"/>
  <c r="G36" i="126"/>
  <c r="F36" i="126"/>
  <c r="E36" i="126"/>
  <c r="F35" i="126"/>
  <c r="E35" i="126"/>
  <c r="F32" i="126"/>
  <c r="F33" i="126"/>
  <c r="F34" i="126"/>
  <c r="G34" i="126"/>
  <c r="E34" i="126"/>
  <c r="E33" i="126"/>
  <c r="E32" i="126"/>
  <c r="G32" i="126"/>
  <c r="H5" i="126"/>
  <c r="H14" i="126"/>
  <c r="J21" i="126"/>
  <c r="J20" i="126"/>
  <c r="J19" i="126"/>
  <c r="J18" i="126"/>
  <c r="C16" i="126"/>
  <c r="B15" i="126"/>
  <c r="J13" i="126"/>
  <c r="J12" i="126"/>
  <c r="J11" i="126"/>
  <c r="J6" i="126"/>
  <c r="J7" i="126"/>
  <c r="J8" i="126"/>
  <c r="J9" i="126"/>
  <c r="J10" i="126"/>
  <c r="K10" i="126"/>
  <c r="K8" i="126"/>
  <c r="G7" i="116"/>
  <c r="D33" i="116"/>
  <c r="D34" i="116"/>
  <c r="D35" i="116"/>
  <c r="D36" i="116"/>
  <c r="D37" i="116"/>
  <c r="D38" i="116"/>
  <c r="D39" i="116"/>
  <c r="D40" i="116"/>
  <c r="D41" i="116"/>
  <c r="F35" i="116"/>
  <c r="F36" i="116"/>
  <c r="F37" i="116"/>
  <c r="F38" i="116"/>
  <c r="F39" i="116"/>
  <c r="F40" i="116"/>
  <c r="F7" i="125"/>
  <c r="G36" i="116"/>
  <c r="E7" i="125"/>
  <c r="E32" i="116"/>
  <c r="E34" i="116"/>
  <c r="E35" i="116"/>
  <c r="E33" i="116"/>
  <c r="E36" i="116"/>
  <c r="E37" i="116"/>
  <c r="E38" i="116"/>
  <c r="E39" i="116"/>
  <c r="E40" i="116"/>
  <c r="G32" i="116"/>
  <c r="D7" i="125"/>
  <c r="H6" i="116"/>
  <c r="H7" i="116"/>
  <c r="J7" i="116"/>
  <c r="H8" i="116"/>
  <c r="J8" i="116"/>
  <c r="H9" i="116"/>
  <c r="J9" i="116"/>
  <c r="H10" i="116"/>
  <c r="J10" i="116"/>
  <c r="H11" i="116"/>
  <c r="J11" i="116"/>
  <c r="H12" i="116"/>
  <c r="J12" i="116"/>
  <c r="H13" i="116"/>
  <c r="J13" i="116"/>
  <c r="F5" i="125"/>
  <c r="K8" i="116"/>
  <c r="E5" i="125"/>
  <c r="I7" i="116"/>
  <c r="I8" i="116"/>
  <c r="I9" i="116"/>
  <c r="I10" i="116"/>
  <c r="I11" i="116"/>
  <c r="I12" i="116"/>
  <c r="I13" i="116"/>
  <c r="K12" i="116"/>
  <c r="D5" i="125"/>
  <c r="D8" i="125"/>
  <c r="E8" i="125"/>
  <c r="F8" i="125"/>
  <c r="B23" i="119"/>
  <c r="B24" i="119"/>
  <c r="B26" i="119"/>
  <c r="H25" i="119"/>
  <c r="E13" i="119"/>
  <c r="F13" i="119"/>
  <c r="G13" i="119"/>
  <c r="I13" i="119"/>
  <c r="E14" i="119"/>
  <c r="F14" i="119"/>
  <c r="G14" i="119"/>
  <c r="I14" i="119"/>
  <c r="E15" i="119"/>
  <c r="F15" i="119"/>
  <c r="G15" i="119"/>
  <c r="I15" i="119"/>
  <c r="E16" i="119"/>
  <c r="F16" i="119"/>
  <c r="G16" i="119"/>
  <c r="I16" i="119"/>
  <c r="E17" i="119"/>
  <c r="F17" i="119"/>
  <c r="G17" i="119"/>
  <c r="I17" i="119"/>
  <c r="E18" i="119"/>
  <c r="F18" i="119"/>
  <c r="G18" i="119"/>
  <c r="I18" i="119"/>
  <c r="E19" i="119"/>
  <c r="F19" i="119"/>
  <c r="G19" i="119"/>
  <c r="I19" i="119"/>
  <c r="E20" i="119"/>
  <c r="F20" i="119"/>
  <c r="G20" i="119"/>
  <c r="I20" i="119"/>
  <c r="E21" i="119"/>
  <c r="F21" i="119"/>
  <c r="G21" i="119"/>
  <c r="I21" i="119"/>
  <c r="I23" i="119"/>
  <c r="H13" i="119"/>
  <c r="H14" i="119"/>
  <c r="H15" i="119"/>
  <c r="H16" i="119"/>
  <c r="H17" i="119"/>
  <c r="H18" i="119"/>
  <c r="H19" i="119"/>
  <c r="H20" i="119"/>
  <c r="H21" i="119"/>
  <c r="H23" i="119"/>
  <c r="G23" i="119"/>
  <c r="F23" i="119"/>
  <c r="I22" i="119"/>
  <c r="H22" i="119"/>
  <c r="G22" i="119"/>
  <c r="F22" i="119"/>
  <c r="K15" i="119"/>
  <c r="K16" i="119"/>
  <c r="K17" i="119"/>
  <c r="K18" i="119"/>
  <c r="K19" i="119"/>
  <c r="K20" i="119"/>
  <c r="K21" i="119"/>
  <c r="M21" i="119"/>
  <c r="N21" i="119"/>
  <c r="L15" i="119"/>
  <c r="L16" i="119"/>
  <c r="L17" i="119"/>
  <c r="L18" i="119"/>
  <c r="L19" i="119"/>
  <c r="L20" i="119"/>
  <c r="L21" i="119"/>
  <c r="M20" i="119"/>
  <c r="N20" i="119"/>
  <c r="M19" i="119"/>
  <c r="N19" i="119"/>
  <c r="M18" i="119"/>
  <c r="N18" i="119"/>
  <c r="M17" i="119"/>
  <c r="N17" i="119"/>
  <c r="M16" i="119"/>
  <c r="N16" i="119"/>
  <c r="M15" i="119"/>
  <c r="N15" i="119"/>
  <c r="A2" i="119"/>
  <c r="D7" i="116"/>
  <c r="E7" i="116"/>
  <c r="C18" i="116"/>
  <c r="D10" i="116"/>
  <c r="E10" i="116"/>
  <c r="D18" i="116"/>
  <c r="A18" i="116"/>
  <c r="F6" i="116"/>
  <c r="G6" i="116"/>
  <c r="D6" i="116"/>
  <c r="D9" i="116"/>
  <c r="E9" i="116"/>
  <c r="D17" i="116"/>
  <c r="D13" i="116"/>
  <c r="E13" i="116"/>
  <c r="E17" i="116"/>
  <c r="A17" i="116"/>
  <c r="F5" i="116"/>
  <c r="H5" i="116"/>
  <c r="F13" i="116"/>
  <c r="G13" i="116"/>
  <c r="C40" i="116"/>
  <c r="D8" i="116"/>
  <c r="E8" i="116"/>
  <c r="D16" i="116"/>
  <c r="D12" i="116"/>
  <c r="E12" i="116"/>
  <c r="E16" i="116"/>
  <c r="A16" i="116"/>
  <c r="F12" i="116"/>
  <c r="G12" i="116"/>
  <c r="C19" i="116"/>
  <c r="D11" i="116"/>
  <c r="E11" i="116"/>
  <c r="D19" i="116"/>
  <c r="A19" i="116"/>
  <c r="F11" i="116"/>
  <c r="G11" i="116"/>
  <c r="F10" i="116"/>
  <c r="G10" i="116"/>
  <c r="F9" i="116"/>
  <c r="G9" i="116"/>
  <c r="F8" i="116"/>
  <c r="G8" i="116"/>
  <c r="F7" i="116"/>
  <c r="C32" i="116"/>
  <c r="C36" i="116"/>
  <c r="C33" i="116"/>
  <c r="C34" i="116"/>
  <c r="C35" i="116"/>
  <c r="C37" i="116"/>
  <c r="C38" i="116"/>
  <c r="C39" i="116"/>
  <c r="H14" i="116"/>
  <c r="J21" i="116"/>
  <c r="J20" i="116"/>
  <c r="J19" i="116"/>
  <c r="J18" i="116"/>
  <c r="B15" i="116"/>
  <c r="C16" i="116"/>
</calcChain>
</file>

<file path=xl/comments1.xml><?xml version="1.0" encoding="utf-8"?>
<comments xmlns="http://schemas.openxmlformats.org/spreadsheetml/2006/main">
  <authors>
    <author>Aaron Camacho</author>
  </authors>
  <commentList>
    <comment ref="A11" authorId="0">
      <text>
        <r>
          <rPr>
            <sz val="12"/>
            <color theme="1"/>
            <rFont val="Calibri"/>
            <family val="2"/>
            <scheme val="minor"/>
          </rPr>
          <t>Forecasting: Submodel =  15; Problem size @  9 by 3</t>
        </r>
      </text>
    </comment>
  </commentList>
</comments>
</file>

<file path=xl/comments2.xml><?xml version="1.0" encoding="utf-8"?>
<comments xmlns="http://schemas.openxmlformats.org/spreadsheetml/2006/main">
  <authors>
    <author>Aaron Camacho</author>
  </authors>
  <commentList>
    <comment ref="A11" authorId="0">
      <text>
        <r>
          <rPr>
            <sz val="10"/>
            <rFont val="Courier"/>
          </rPr>
          <t>Forecasting: Submodel =  13; Problem size @  9 by 1</t>
        </r>
      </text>
    </comment>
  </commentList>
</comments>
</file>

<file path=xl/comments3.xml><?xml version="1.0" encoding="utf-8"?>
<comments xmlns="http://schemas.openxmlformats.org/spreadsheetml/2006/main">
  <authors>
    <author>Aaron Camacho</author>
  </authors>
  <commentList>
    <comment ref="A10" authorId="0">
      <text>
        <r>
          <rPr>
            <sz val="10"/>
            <rFont val="Courier"/>
          </rPr>
          <t>Forecasting: Submodel =  14; Problem size @  9 by 1</t>
        </r>
      </text>
    </comment>
  </commentList>
</comments>
</file>

<file path=xl/sharedStrings.xml><?xml version="1.0" encoding="utf-8"?>
<sst xmlns="http://schemas.openxmlformats.org/spreadsheetml/2006/main" count="276" uniqueCount="119">
  <si>
    <t>Time</t>
  </si>
  <si>
    <t>(Yr-Month)</t>
  </si>
  <si>
    <t>-----</t>
  </si>
  <si>
    <t>Sesonal Indices</t>
  </si>
  <si>
    <t xml:space="preserve">1st </t>
  </si>
  <si>
    <t>2nd</t>
  </si>
  <si>
    <t xml:space="preserve">3rd </t>
  </si>
  <si>
    <t xml:space="preserve">4th </t>
  </si>
  <si>
    <t>Sesonal Average</t>
  </si>
  <si>
    <t>Deseasonalized Data</t>
  </si>
  <si>
    <t>Alpha=</t>
  </si>
  <si>
    <t>MSE=</t>
  </si>
  <si>
    <t>Mape=</t>
  </si>
  <si>
    <t>MAD=</t>
  </si>
  <si>
    <t>Beta =</t>
  </si>
  <si>
    <t>Forecast</t>
  </si>
  <si>
    <t>Exp. Smoothing</t>
  </si>
  <si>
    <t>Moving Average</t>
  </si>
  <si>
    <t>Wieghted Average</t>
  </si>
  <si>
    <t>Holt's Method</t>
  </si>
  <si>
    <t>Methods</t>
  </si>
  <si>
    <t>MSE</t>
  </si>
  <si>
    <t xml:space="preserve">MAPE </t>
  </si>
  <si>
    <t>MAD</t>
  </si>
  <si>
    <t>ABS Error MAD</t>
  </si>
  <si>
    <t>ABS Error MAPE</t>
  </si>
  <si>
    <t>Linear Regreseeion</t>
  </si>
  <si>
    <t>MAD =</t>
  </si>
  <si>
    <t>MAPE =</t>
  </si>
  <si>
    <t>Absolute Errors MAD</t>
  </si>
  <si>
    <t>MSE =</t>
  </si>
  <si>
    <t>Expodential Smoothing Forecast</t>
  </si>
  <si>
    <t>Decentralizing and Expodential Smoothing</t>
  </si>
  <si>
    <t>Future Forcasting</t>
  </si>
  <si>
    <t>Period</t>
  </si>
  <si>
    <t>2 Period  Centered Moving Average</t>
  </si>
  <si>
    <t>(Qt-Year)</t>
  </si>
  <si>
    <t>2-2007</t>
  </si>
  <si>
    <t>3-2007</t>
  </si>
  <si>
    <t>4-2007</t>
  </si>
  <si>
    <t>1-2008</t>
  </si>
  <si>
    <t>2-2008</t>
  </si>
  <si>
    <t>3-2008</t>
  </si>
  <si>
    <t>4-2008</t>
  </si>
  <si>
    <t>1-2009</t>
  </si>
  <si>
    <t>2-2009</t>
  </si>
  <si>
    <t xml:space="preserve">Retail </t>
  </si>
  <si>
    <t>Sales</t>
  </si>
  <si>
    <t>3-2009</t>
  </si>
  <si>
    <t>3 Quarter</t>
  </si>
  <si>
    <t>4 Quarter</t>
  </si>
  <si>
    <t>1 Quarter</t>
  </si>
  <si>
    <t>2 Quarter</t>
  </si>
  <si>
    <t>Retail</t>
  </si>
  <si>
    <t>Salaes</t>
  </si>
  <si>
    <t>Ratio of Retail Sales to 2 
period Centered Moving Average</t>
  </si>
  <si>
    <t xml:space="preserve"> </t>
  </si>
  <si>
    <t>Sales Volume Forcast</t>
  </si>
  <si>
    <t>Forecasting</t>
  </si>
  <si>
    <t>Simple linear regression</t>
  </si>
  <si>
    <t>Data</t>
  </si>
  <si>
    <t>Forecasts and Error Analysis</t>
  </si>
  <si>
    <t>Tracking Signal</t>
  </si>
  <si>
    <t>Demand (y)</t>
  </si>
  <si>
    <t>Period(x)</t>
  </si>
  <si>
    <t>Error</t>
  </si>
  <si>
    <t>Absolute</t>
  </si>
  <si>
    <t>Squared</t>
  </si>
  <si>
    <t>Abs Pct Err</t>
  </si>
  <si>
    <t>Cum error</t>
  </si>
  <si>
    <t>Cum Abs Err</t>
  </si>
  <si>
    <t>Mad</t>
  </si>
  <si>
    <t>Track Signal (Cum error/MAD)</t>
  </si>
  <si>
    <t>2Q 2007</t>
  </si>
  <si>
    <t>3Q 2007</t>
  </si>
  <si>
    <t>4Q 2007</t>
  </si>
  <si>
    <t>1Q 2008</t>
  </si>
  <si>
    <t>2Q 2008</t>
  </si>
  <si>
    <t>3Q 2008</t>
  </si>
  <si>
    <t>4Q 2008</t>
  </si>
  <si>
    <t>1Q 2009</t>
  </si>
  <si>
    <t xml:space="preserve">2Q 2009 </t>
  </si>
  <si>
    <t>Total</t>
  </si>
  <si>
    <t>Intercept</t>
  </si>
  <si>
    <t>Average</t>
  </si>
  <si>
    <t>Slope</t>
  </si>
  <si>
    <t>Bias</t>
  </si>
  <si>
    <t>MAPE</t>
  </si>
  <si>
    <t>SE</t>
  </si>
  <si>
    <t>Correlation</t>
  </si>
  <si>
    <t>Coefficient of determination</t>
  </si>
  <si>
    <t>Alpha</t>
  </si>
  <si>
    <t>Demand</t>
  </si>
  <si>
    <t>Trend adjusted exponential smoothing</t>
  </si>
  <si>
    <t>Beta</t>
  </si>
  <si>
    <r>
      <t>Smoothed Forecast, F</t>
    </r>
    <r>
      <rPr>
        <vertAlign val="subscript"/>
        <sz val="10"/>
        <color indexed="63"/>
        <rFont val="Arial"/>
      </rPr>
      <t>t</t>
    </r>
  </si>
  <si>
    <r>
      <t>Smoothed Trend, T</t>
    </r>
    <r>
      <rPr>
        <vertAlign val="subscript"/>
        <sz val="10"/>
        <color indexed="63"/>
        <rFont val="Arial"/>
      </rPr>
      <t>t</t>
    </r>
  </si>
  <si>
    <r>
      <t>Forecast Including Trend, FIT</t>
    </r>
    <r>
      <rPr>
        <vertAlign val="subscript"/>
        <sz val="10"/>
        <color indexed="63"/>
        <rFont val="Arial"/>
      </rPr>
      <t>t</t>
    </r>
  </si>
  <si>
    <t>Next period</t>
  </si>
  <si>
    <t xml:space="preserve">MSE </t>
  </si>
  <si>
    <t>Linear Regression of Deseasonalized Data w/ Ternd Line</t>
  </si>
  <si>
    <t xml:space="preserve">Forecasting Model Comparison </t>
  </si>
  <si>
    <t>Decentralizing and Exponential Smoothing</t>
  </si>
  <si>
    <t>Solver - Decentralizing and Exponential Smoothing</t>
  </si>
  <si>
    <t>Linear Regression of Deseasonalized Data w/ Trend Line</t>
  </si>
  <si>
    <t xml:space="preserve">*Best possible solution is highlighted in Green.  Use Corresponding Model's Forecast. </t>
  </si>
  <si>
    <t>Deseasonalized 
Retail Salaes</t>
  </si>
  <si>
    <t>Time
(Yr-Month)</t>
  </si>
  <si>
    <t>Forecasting Model</t>
  </si>
  <si>
    <t>Correlation=</t>
  </si>
  <si>
    <t>Coefficient of determination =</t>
  </si>
  <si>
    <t>Correlation =</t>
  </si>
  <si>
    <t>Least Squares/LR of Historical Data W/ TL -Excel OM</t>
  </si>
  <si>
    <t>Exponential smoothing</t>
  </si>
  <si>
    <t>Cum Error</t>
  </si>
  <si>
    <t>Track Signal (Cum Error/MAD)</t>
  </si>
  <si>
    <t>Exponential Smoothing</t>
  </si>
  <si>
    <t>Exponential smoothing - Excel OM</t>
  </si>
  <si>
    <t>Trend Adjusted Exponential Smoothing - Excel 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</si>
</sst>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_)"/>
    <numFmt numFmtId="165" formatCode="0.00_);\(0.00\)"/>
    <numFmt numFmtId="166" formatCode="0.0_);\(0.0\)"/>
    <numFmt numFmtId="167" formatCode="0.000"/>
    <numFmt numFmtId="168" formatCode="0.000_);\(0.000\)"/>
    <numFmt numFmtId="169" formatCode="0.000%"/>
    <numFmt numFmtId="170" formatCode="00.00%"/>
    <numFmt numFmtId="171" formatCode="_(* #,##0.00_);_(* \(#,##0.00\);_(* &quot;-&quot;???_);_(@_)"/>
    <numFmt numFmtId="172" formatCode="0.0000000_);\(0.0000000\)"/>
    <numFmt numFmtId="173" formatCode="0.00000000"/>
  </numFmts>
  <fonts count="39" x14ac:knownFonts="1">
    <font>
      <sz val="10"/>
      <name val="Courier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10"/>
      <name val="Courier"/>
      <family val="3"/>
    </font>
    <font>
      <b/>
      <u/>
      <sz val="10"/>
      <name val="Courier"/>
      <family val="3"/>
    </font>
    <font>
      <u/>
      <sz val="10"/>
      <color theme="10"/>
      <name val="Courier"/>
      <family val="3"/>
    </font>
    <font>
      <u/>
      <sz val="10"/>
      <color theme="11"/>
      <name val="Courier"/>
      <family val="3"/>
    </font>
    <font>
      <sz val="10"/>
      <name val="Courier"/>
      <family val="3"/>
    </font>
    <font>
      <b/>
      <sz val="10"/>
      <color indexed="206"/>
      <name val="Courier"/>
      <family val="3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0000"/>
      <name val="Calibri"/>
      <scheme val="minor"/>
    </font>
    <font>
      <sz val="11"/>
      <color theme="1"/>
      <name val="Calibri"/>
      <scheme val="minor"/>
    </font>
    <font>
      <b/>
      <sz val="14"/>
      <color rgb="FF800000"/>
      <name val="Calibri"/>
      <scheme val="minor"/>
    </font>
    <font>
      <b/>
      <sz val="13"/>
      <color rgb="FF1F497D"/>
      <name val="Calibri"/>
      <scheme val="minor"/>
    </font>
    <font>
      <sz val="11"/>
      <color rgb="FF0000FF"/>
      <name val="Calibri"/>
      <scheme val="minor"/>
    </font>
    <font>
      <b/>
      <sz val="11"/>
      <color rgb="FFFF6600"/>
      <name val="Calibri"/>
      <scheme val="minor"/>
    </font>
    <font>
      <b/>
      <sz val="11"/>
      <color rgb="FF3F3F3F"/>
      <name val="Calibri"/>
      <scheme val="minor"/>
    </font>
    <font>
      <b/>
      <sz val="11"/>
      <color theme="1"/>
      <name val="Calibri"/>
      <scheme val="minor"/>
    </font>
    <font>
      <sz val="11"/>
      <color rgb="FF3F3F3F"/>
      <name val="Calibri"/>
      <scheme val="minor"/>
    </font>
    <font>
      <sz val="10"/>
      <color indexed="63"/>
      <name val="Arial"/>
    </font>
    <font>
      <vertAlign val="subscript"/>
      <sz val="10"/>
      <color indexed="63"/>
      <name val="Arial"/>
    </font>
    <font>
      <sz val="36"/>
      <color theme="0"/>
      <name val="Calibri"/>
      <scheme val="minor"/>
    </font>
    <font>
      <sz val="16"/>
      <color theme="0"/>
      <name val="Calibri"/>
      <scheme val="minor"/>
    </font>
    <font>
      <sz val="14"/>
      <color theme="0"/>
      <name val="Calibri"/>
      <scheme val="minor"/>
    </font>
    <font>
      <sz val="14"/>
      <name val="Calibri"/>
      <scheme val="minor"/>
    </font>
    <font>
      <sz val="10"/>
      <name val="Calibri"/>
      <scheme val="minor"/>
    </font>
    <font>
      <i/>
      <sz val="14"/>
      <color theme="0"/>
      <name val="Calibri"/>
      <scheme val="minor"/>
    </font>
    <font>
      <sz val="11"/>
      <name val="Courier"/>
    </font>
    <font>
      <sz val="11"/>
      <color rgb="FF0000FF"/>
      <name val="Courier"/>
    </font>
    <font>
      <b/>
      <sz val="15"/>
      <color rgb="FF1F497D"/>
      <name val="Courier"/>
    </font>
    <font>
      <b/>
      <sz val="13"/>
      <color rgb="FF1F497D"/>
      <name val="Courier"/>
    </font>
    <font>
      <b/>
      <sz val="11"/>
      <color rgb="FFFF6600"/>
      <name val="Courier"/>
    </font>
    <font>
      <b/>
      <sz val="11"/>
      <color rgb="FFFF0000"/>
      <name val="Courier"/>
    </font>
    <font>
      <sz val="11"/>
      <color rgb="FF3F3F3F"/>
      <name val="Courier"/>
    </font>
    <font>
      <b/>
      <sz val="11"/>
      <color rgb="FF3F3F3F"/>
      <name val="Courier"/>
    </font>
    <font>
      <b/>
      <sz val="11"/>
      <name val="Courier"/>
    </font>
    <font>
      <b/>
      <sz val="14"/>
      <color rgb="FF800000"/>
      <name val="Courier"/>
    </font>
    <font>
      <sz val="11"/>
      <color rgb="FF000000"/>
      <name val="Courier"/>
    </font>
  </fonts>
  <fills count="20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rgb="FFC4D79B"/>
        <bgColor rgb="FF000000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485"/>
        <bgColor indexed="64"/>
      </patternFill>
    </fill>
  </fills>
  <borders count="4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ck">
        <color theme="4"/>
      </top>
      <bottom/>
      <diagonal/>
    </border>
    <border>
      <left/>
      <right/>
      <top/>
      <bottom style="thick">
        <color theme="4" tint="0.499984740745262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</borders>
  <cellStyleXfs count="65">
    <xf numFmtId="0" fontId="0" fillId="0" borderId="0"/>
    <xf numFmtId="43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9" fontId="7" fillId="0" borderId="0" applyFont="0" applyFill="0" applyBorder="0" applyAlignment="0" applyProtection="0"/>
    <xf numFmtId="0" fontId="9" fillId="0" borderId="1" applyNumberFormat="0" applyFill="0" applyAlignment="0" applyProtection="0"/>
    <xf numFmtId="0" fontId="10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44" fontId="7" fillId="0" borderId="0" applyFont="0" applyFill="0" applyBorder="0" applyAlignment="0" applyProtection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33">
    <xf numFmtId="0" fontId="0" fillId="0" borderId="0" xfId="0"/>
    <xf numFmtId="37" fontId="0" fillId="0" borderId="0" xfId="0" applyNumberFormat="1" applyProtection="1"/>
    <xf numFmtId="0" fontId="3" fillId="0" borderId="0" xfId="0" applyFont="1" applyAlignment="1" applyProtection="1">
      <alignment horizontal="right"/>
    </xf>
    <xf numFmtId="0" fontId="4" fillId="0" borderId="0" xfId="0" applyFont="1" applyAlignment="1" applyProtection="1">
      <alignment horizontal="right"/>
    </xf>
    <xf numFmtId="0" fontId="3" fillId="0" borderId="0" xfId="0" applyFont="1" applyAlignment="1" applyProtection="1">
      <alignment horizontal="center"/>
    </xf>
    <xf numFmtId="0" fontId="4" fillId="0" borderId="0" xfId="0" applyFont="1" applyAlignment="1" applyProtection="1">
      <alignment horizontal="center"/>
    </xf>
    <xf numFmtId="164" fontId="0" fillId="0" borderId="0" xfId="0" applyNumberFormat="1" applyAlignment="1" applyProtection="1">
      <alignment horizontal="center"/>
    </xf>
    <xf numFmtId="164" fontId="0" fillId="0" borderId="0" xfId="0" applyNumberFormat="1" applyBorder="1" applyAlignment="1">
      <alignment horizontal="center"/>
    </xf>
    <xf numFmtId="49" fontId="0" fillId="0" borderId="0" xfId="0" applyNumberFormat="1" applyAlignment="1" applyProtection="1">
      <alignment horizontal="center"/>
    </xf>
    <xf numFmtId="49" fontId="0" fillId="0" borderId="0" xfId="0" applyNumberFormat="1"/>
    <xf numFmtId="166" fontId="0" fillId="0" borderId="0" xfId="0" applyNumberFormat="1"/>
    <xf numFmtId="166" fontId="3" fillId="0" borderId="0" xfId="0" applyNumberFormat="1" applyFont="1"/>
    <xf numFmtId="166" fontId="3" fillId="0" borderId="0" xfId="0" applyNumberFormat="1" applyFont="1" applyFill="1" applyAlignment="1">
      <alignment horizontal="center"/>
    </xf>
    <xf numFmtId="37" fontId="0" fillId="0" borderId="0" xfId="0" quotePrefix="1" applyNumberFormat="1" applyAlignment="1" applyProtection="1">
      <alignment horizontal="center"/>
    </xf>
    <xf numFmtId="0" fontId="0" fillId="0" borderId="0" xfId="0" quotePrefix="1" applyAlignment="1" applyProtection="1">
      <alignment horizontal="center"/>
    </xf>
    <xf numFmtId="37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 applyAlignment="1" applyProtection="1">
      <alignment horizontal="center"/>
    </xf>
    <xf numFmtId="2" fontId="0" fillId="0" borderId="0" xfId="0" quotePrefix="1" applyNumberFormat="1" applyAlignment="1" applyProtection="1">
      <alignment horizontal="center"/>
    </xf>
    <xf numFmtId="2" fontId="0" fillId="0" borderId="0" xfId="0" applyNumberFormat="1" applyProtection="1"/>
    <xf numFmtId="167" fontId="0" fillId="0" borderId="0" xfId="0" applyNumberFormat="1"/>
    <xf numFmtId="166" fontId="3" fillId="0" borderId="0" xfId="1" applyNumberFormat="1" applyFont="1" applyAlignment="1">
      <alignment horizontal="left"/>
    </xf>
    <xf numFmtId="0" fontId="3" fillId="0" borderId="0" xfId="0" applyFont="1"/>
    <xf numFmtId="0" fontId="7" fillId="0" borderId="0" xfId="0" applyFont="1"/>
    <xf numFmtId="2" fontId="7" fillId="0" borderId="0" xfId="0" applyNumberFormat="1" applyFont="1" applyAlignment="1" applyProtection="1">
      <alignment horizontal="center"/>
    </xf>
    <xf numFmtId="165" fontId="3" fillId="0" borderId="0" xfId="0" applyNumberFormat="1" applyFont="1"/>
    <xf numFmtId="43" fontId="0" fillId="0" borderId="0" xfId="1" applyNumberFormat="1" applyFont="1" applyAlignment="1">
      <alignment horizontal="center"/>
    </xf>
    <xf numFmtId="43" fontId="0" fillId="0" borderId="0" xfId="0" applyNumberFormat="1" applyAlignment="1">
      <alignment horizontal="right"/>
    </xf>
    <xf numFmtId="43" fontId="0" fillId="0" borderId="0" xfId="0" applyNumberFormat="1"/>
    <xf numFmtId="0" fontId="4" fillId="0" borderId="0" xfId="0" applyFont="1"/>
    <xf numFmtId="2" fontId="3" fillId="0" borderId="0" xfId="0" applyNumberFormat="1" applyFont="1"/>
    <xf numFmtId="49" fontId="0" fillId="0" borderId="0" xfId="0" applyNumberFormat="1" applyFont="1" applyAlignment="1">
      <alignment horizontal="center"/>
    </xf>
    <xf numFmtId="49" fontId="7" fillId="0" borderId="0" xfId="0" applyNumberFormat="1" applyFont="1" applyAlignment="1">
      <alignment horizontal="center"/>
    </xf>
    <xf numFmtId="49" fontId="4" fillId="0" borderId="0" xfId="0" applyNumberFormat="1" applyFont="1" applyAlignment="1">
      <alignment horizontal="center"/>
    </xf>
    <xf numFmtId="168" fontId="3" fillId="0" borderId="0" xfId="0" applyNumberFormat="1" applyFont="1"/>
    <xf numFmtId="43" fontId="8" fillId="0" borderId="0" xfId="1" applyFont="1" applyAlignment="1">
      <alignment horizontal="right"/>
    </xf>
    <xf numFmtId="9" fontId="0" fillId="0" borderId="0" xfId="14" applyFont="1"/>
    <xf numFmtId="2" fontId="0" fillId="0" borderId="0" xfId="14" applyNumberFormat="1" applyFont="1"/>
    <xf numFmtId="2" fontId="7" fillId="0" borderId="0" xfId="0" applyNumberFormat="1" applyFont="1"/>
    <xf numFmtId="0" fontId="0" fillId="0" borderId="0" xfId="0" applyNumberFormat="1" applyAlignment="1" applyProtection="1">
      <alignment horizontal="center"/>
    </xf>
    <xf numFmtId="49" fontId="3" fillId="0" borderId="0" xfId="0" applyNumberFormat="1" applyFont="1" applyProtection="1"/>
    <xf numFmtId="2" fontId="3" fillId="0" borderId="0" xfId="0" applyNumberFormat="1" applyFont="1" applyProtection="1"/>
    <xf numFmtId="43" fontId="0" fillId="0" borderId="0" xfId="1" applyFont="1"/>
    <xf numFmtId="39" fontId="0" fillId="0" borderId="0" xfId="0" applyNumberFormat="1" applyProtection="1"/>
    <xf numFmtId="169" fontId="0" fillId="0" borderId="0" xfId="0" applyNumberFormat="1"/>
    <xf numFmtId="43" fontId="0" fillId="2" borderId="0" xfId="0" applyNumberFormat="1" applyFill="1" applyAlignment="1">
      <alignment horizontal="right"/>
    </xf>
    <xf numFmtId="49" fontId="0" fillId="3" borderId="0" xfId="0" applyNumberFormat="1" applyFill="1" applyAlignment="1">
      <alignment horizontal="center"/>
    </xf>
    <xf numFmtId="0" fontId="4" fillId="0" borderId="0" xfId="0" applyFont="1" applyAlignment="1" applyProtection="1">
      <alignment horizontal="center" wrapText="1"/>
    </xf>
    <xf numFmtId="0" fontId="3" fillId="0" borderId="0" xfId="0" applyFont="1" applyAlignment="1" applyProtection="1">
      <alignment horizontal="center" wrapText="1"/>
    </xf>
    <xf numFmtId="0" fontId="11" fillId="0" borderId="0" xfId="24" applyFont="1"/>
    <xf numFmtId="0" fontId="12" fillId="0" borderId="0" xfId="24" applyFont="1"/>
    <xf numFmtId="14" fontId="11" fillId="0" borderId="0" xfId="24" applyNumberFormat="1" applyFont="1"/>
    <xf numFmtId="0" fontId="13" fillId="0" borderId="0" xfId="24" applyFont="1"/>
    <xf numFmtId="0" fontId="14" fillId="0" borderId="0" xfId="24" applyFont="1"/>
    <xf numFmtId="0" fontId="15" fillId="0" borderId="0" xfId="24" applyFont="1"/>
    <xf numFmtId="0" fontId="16" fillId="0" borderId="0" xfId="24" applyFont="1"/>
    <xf numFmtId="0" fontId="17" fillId="0" borderId="0" xfId="24" applyFont="1"/>
    <xf numFmtId="0" fontId="18" fillId="0" borderId="0" xfId="24" applyFont="1"/>
    <xf numFmtId="0" fontId="12" fillId="0" borderId="4" xfId="24" applyFont="1" applyBorder="1"/>
    <xf numFmtId="0" fontId="12" fillId="0" borderId="5" xfId="24" applyFont="1" applyBorder="1"/>
    <xf numFmtId="0" fontId="12" fillId="0" borderId="6" xfId="24" applyFont="1" applyBorder="1"/>
    <xf numFmtId="0" fontId="19" fillId="4" borderId="7" xfId="24" applyFont="1" applyFill="1" applyBorder="1"/>
    <xf numFmtId="0" fontId="19" fillId="4" borderId="8" xfId="24" applyFont="1" applyFill="1" applyBorder="1"/>
    <xf numFmtId="170" fontId="19" fillId="4" borderId="9" xfId="24" applyNumberFormat="1" applyFont="1" applyFill="1" applyBorder="1"/>
    <xf numFmtId="0" fontId="19" fillId="4" borderId="9" xfId="24" applyFont="1" applyFill="1" applyBorder="1"/>
    <xf numFmtId="0" fontId="12" fillId="0" borderId="10" xfId="24" applyFont="1" applyBorder="1"/>
    <xf numFmtId="0" fontId="12" fillId="5" borderId="11" xfId="24" applyFont="1" applyFill="1" applyBorder="1"/>
    <xf numFmtId="0" fontId="12" fillId="5" borderId="12" xfId="24" applyFont="1" applyFill="1" applyBorder="1"/>
    <xf numFmtId="0" fontId="19" fillId="4" borderId="13" xfId="24" applyFont="1" applyFill="1" applyBorder="1"/>
    <xf numFmtId="0" fontId="19" fillId="4" borderId="11" xfId="24" applyFont="1" applyFill="1" applyBorder="1"/>
    <xf numFmtId="170" fontId="19" fillId="4" borderId="12" xfId="24" applyNumberFormat="1" applyFont="1" applyFill="1" applyBorder="1"/>
    <xf numFmtId="0" fontId="19" fillId="4" borderId="12" xfId="24" applyFont="1" applyFill="1" applyBorder="1"/>
    <xf numFmtId="0" fontId="12" fillId="0" borderId="14" xfId="24" applyFont="1" applyBorder="1"/>
    <xf numFmtId="0" fontId="12" fillId="5" borderId="15" xfId="24" applyFont="1" applyFill="1" applyBorder="1"/>
    <xf numFmtId="0" fontId="12" fillId="5" borderId="16" xfId="24" applyFont="1" applyFill="1" applyBorder="1"/>
    <xf numFmtId="0" fontId="19" fillId="4" borderId="17" xfId="24" applyFont="1" applyFill="1" applyBorder="1"/>
    <xf numFmtId="0" fontId="19" fillId="4" borderId="18" xfId="24" applyFont="1" applyFill="1" applyBorder="1"/>
    <xf numFmtId="170" fontId="19" fillId="4" borderId="19" xfId="24" applyNumberFormat="1" applyFont="1" applyFill="1" applyBorder="1"/>
    <xf numFmtId="0" fontId="17" fillId="4" borderId="7" xfId="24" applyFont="1" applyFill="1" applyBorder="1"/>
    <xf numFmtId="0" fontId="17" fillId="4" borderId="9" xfId="24" applyFont="1" applyFill="1" applyBorder="1"/>
    <xf numFmtId="0" fontId="17" fillId="4" borderId="13" xfId="24" applyFont="1" applyFill="1" applyBorder="1"/>
    <xf numFmtId="0" fontId="17" fillId="4" borderId="11" xfId="24" applyFont="1" applyFill="1" applyBorder="1"/>
    <xf numFmtId="170" fontId="17" fillId="4" borderId="12" xfId="24" applyNumberFormat="1" applyFont="1" applyFill="1" applyBorder="1"/>
    <xf numFmtId="0" fontId="17" fillId="4" borderId="20" xfId="24" applyFont="1" applyFill="1" applyBorder="1"/>
    <xf numFmtId="0" fontId="17" fillId="4" borderId="16" xfId="24" applyFont="1" applyFill="1" applyBorder="1"/>
    <xf numFmtId="0" fontId="17" fillId="4" borderId="12" xfId="24" applyFont="1" applyFill="1" applyBorder="1"/>
    <xf numFmtId="0" fontId="12" fillId="6" borderId="0" xfId="24" applyFont="1" applyFill="1"/>
    <xf numFmtId="0" fontId="17" fillId="4" borderId="15" xfId="24" applyFont="1" applyFill="1" applyBorder="1"/>
    <xf numFmtId="0" fontId="17" fillId="4" borderId="15" xfId="24" applyFont="1" applyFill="1" applyBorder="1" applyAlignment="1">
      <alignment horizontal="right"/>
    </xf>
    <xf numFmtId="0" fontId="0" fillId="11" borderId="4" xfId="0" applyFill="1" applyBorder="1"/>
    <xf numFmtId="0" fontId="0" fillId="11" borderId="5" xfId="0" applyFill="1" applyBorder="1"/>
    <xf numFmtId="0" fontId="0" fillId="11" borderId="6" xfId="0" applyFill="1" applyBorder="1"/>
    <xf numFmtId="0" fontId="0" fillId="11" borderId="10" xfId="0" applyFill="1" applyBorder="1"/>
    <xf numFmtId="0" fontId="0" fillId="11" borderId="30" xfId="0" applyFill="1" applyBorder="1"/>
    <xf numFmtId="0" fontId="0" fillId="11" borderId="14" xfId="0" applyFill="1" applyBorder="1"/>
    <xf numFmtId="0" fontId="0" fillId="11" borderId="32" xfId="0" applyFill="1" applyBorder="1"/>
    <xf numFmtId="168" fontId="3" fillId="13" borderId="0" xfId="0" applyNumberFormat="1" applyFont="1" applyFill="1"/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39" fontId="0" fillId="0" borderId="0" xfId="0" applyNumberFormat="1" applyAlignment="1" applyProtection="1">
      <alignment horizontal="center"/>
    </xf>
    <xf numFmtId="2" fontId="7" fillId="0" borderId="0" xfId="0" applyNumberFormat="1" applyFont="1" applyAlignment="1">
      <alignment horizontal="center"/>
    </xf>
    <xf numFmtId="37" fontId="0" fillId="0" borderId="0" xfId="0" applyNumberFormat="1" applyAlignment="1" applyProtection="1">
      <alignment horizontal="center"/>
    </xf>
    <xf numFmtId="9" fontId="0" fillId="0" borderId="0" xfId="14" applyFont="1" applyAlignment="1">
      <alignment horizontal="center"/>
    </xf>
    <xf numFmtId="0" fontId="23" fillId="16" borderId="33" xfId="0" applyFont="1" applyFill="1" applyBorder="1" applyAlignment="1">
      <alignment horizontal="center"/>
    </xf>
    <xf numFmtId="0" fontId="23" fillId="16" borderId="36" xfId="0" applyFont="1" applyFill="1" applyBorder="1" applyAlignment="1">
      <alignment horizontal="center"/>
    </xf>
    <xf numFmtId="0" fontId="23" fillId="16" borderId="35" xfId="0" applyFont="1" applyFill="1" applyBorder="1" applyAlignment="1">
      <alignment horizontal="center"/>
    </xf>
    <xf numFmtId="0" fontId="24" fillId="9" borderId="37" xfId="0" applyFont="1" applyFill="1" applyBorder="1"/>
    <xf numFmtId="171" fontId="25" fillId="0" borderId="40" xfId="23" applyNumberFormat="1" applyFont="1" applyBorder="1"/>
    <xf numFmtId="169" fontId="25" fillId="0" borderId="40" xfId="0" applyNumberFormat="1" applyFont="1" applyBorder="1"/>
    <xf numFmtId="44" fontId="25" fillId="0" borderId="40" xfId="23" applyFont="1" applyBorder="1"/>
    <xf numFmtId="167" fontId="25" fillId="0" borderId="40" xfId="0" applyNumberFormat="1" applyFont="1" applyBorder="1"/>
    <xf numFmtId="0" fontId="25" fillId="11" borderId="40" xfId="0" applyFont="1" applyFill="1" applyBorder="1"/>
    <xf numFmtId="0" fontId="25" fillId="11" borderId="41" xfId="0" applyFont="1" applyFill="1" applyBorder="1"/>
    <xf numFmtId="0" fontId="24" fillId="9" borderId="38" xfId="0" applyFont="1" applyFill="1" applyBorder="1"/>
    <xf numFmtId="171" fontId="24" fillId="12" borderId="38" xfId="23" applyNumberFormat="1" applyFont="1" applyFill="1" applyBorder="1"/>
    <xf numFmtId="169" fontId="24" fillId="12" borderId="38" xfId="0" applyNumberFormat="1" applyFont="1" applyFill="1" applyBorder="1"/>
    <xf numFmtId="44" fontId="24" fillId="12" borderId="38" xfId="23" applyFont="1" applyFill="1" applyBorder="1"/>
    <xf numFmtId="167" fontId="24" fillId="12" borderId="38" xfId="0" applyNumberFormat="1" applyFont="1" applyFill="1" applyBorder="1"/>
    <xf numFmtId="0" fontId="24" fillId="12" borderId="38" xfId="0" applyFont="1" applyFill="1" applyBorder="1"/>
    <xf numFmtId="0" fontId="24" fillId="12" borderId="42" xfId="0" applyFont="1" applyFill="1" applyBorder="1"/>
    <xf numFmtId="171" fontId="25" fillId="8" borderId="38" xfId="23" applyNumberFormat="1" applyFont="1" applyFill="1" applyBorder="1"/>
    <xf numFmtId="169" fontId="25" fillId="10" borderId="38" xfId="14" applyNumberFormat="1" applyFont="1" applyFill="1" applyBorder="1"/>
    <xf numFmtId="44" fontId="25" fillId="10" borderId="38" xfId="23" applyFont="1" applyFill="1" applyBorder="1"/>
    <xf numFmtId="0" fontId="25" fillId="11" borderId="38" xfId="0" applyFont="1" applyFill="1" applyBorder="1"/>
    <xf numFmtId="2" fontId="25" fillId="8" borderId="38" xfId="0" applyNumberFormat="1" applyFont="1" applyFill="1" applyBorder="1"/>
    <xf numFmtId="0" fontId="25" fillId="8" borderId="42" xfId="0" applyFont="1" applyFill="1" applyBorder="1"/>
    <xf numFmtId="169" fontId="24" fillId="12" borderId="38" xfId="14" applyNumberFormat="1" applyFont="1" applyFill="1" applyBorder="1"/>
    <xf numFmtId="2" fontId="24" fillId="12" borderId="38" xfId="0" applyNumberFormat="1" applyFont="1" applyFill="1" applyBorder="1"/>
    <xf numFmtId="2" fontId="24" fillId="12" borderId="42" xfId="0" applyNumberFormat="1" applyFont="1" applyFill="1" applyBorder="1"/>
    <xf numFmtId="171" fontId="25" fillId="7" borderId="38" xfId="23" applyNumberFormat="1" applyFont="1" applyFill="1" applyBorder="1"/>
    <xf numFmtId="169" fontId="25" fillId="7" borderId="38" xfId="14" applyNumberFormat="1" applyFont="1" applyFill="1" applyBorder="1"/>
    <xf numFmtId="44" fontId="25" fillId="7" borderId="38" xfId="23" applyFont="1" applyFill="1" applyBorder="1"/>
    <xf numFmtId="0" fontId="25" fillId="0" borderId="38" xfId="0" applyFont="1" applyBorder="1"/>
    <xf numFmtId="0" fontId="25" fillId="11" borderId="42" xfId="0" applyFont="1" applyFill="1" applyBorder="1"/>
    <xf numFmtId="171" fontId="24" fillId="12" borderId="39" xfId="23" applyNumberFormat="1" applyFont="1" applyFill="1" applyBorder="1"/>
    <xf numFmtId="169" fontId="24" fillId="12" borderId="39" xfId="14" applyNumberFormat="1" applyFont="1" applyFill="1" applyBorder="1"/>
    <xf numFmtId="44" fontId="24" fillId="12" borderId="39" xfId="23" applyFont="1" applyFill="1" applyBorder="1"/>
    <xf numFmtId="0" fontId="24" fillId="12" borderId="39" xfId="0" applyFont="1" applyFill="1" applyBorder="1"/>
    <xf numFmtId="0" fontId="24" fillId="12" borderId="43" xfId="0" applyFont="1" applyFill="1" applyBorder="1"/>
    <xf numFmtId="0" fontId="26" fillId="11" borderId="0" xfId="0" applyFont="1" applyFill="1" applyBorder="1"/>
    <xf numFmtId="0" fontId="26" fillId="11" borderId="31" xfId="0" applyFont="1" applyFill="1" applyBorder="1"/>
    <xf numFmtId="0" fontId="24" fillId="14" borderId="38" xfId="0" applyFont="1" applyFill="1" applyBorder="1"/>
    <xf numFmtId="0" fontId="24" fillId="14" borderId="39" xfId="0" applyFont="1" applyFill="1" applyBorder="1"/>
    <xf numFmtId="49" fontId="0" fillId="2" borderId="0" xfId="0" applyNumberFormat="1" applyFill="1" applyAlignment="1" applyProtection="1">
      <alignment horizontal="center"/>
    </xf>
    <xf numFmtId="0" fontId="0" fillId="2" borderId="0" xfId="0" applyNumberFormat="1" applyFill="1" applyAlignment="1" applyProtection="1">
      <alignment horizontal="center"/>
    </xf>
    <xf numFmtId="2" fontId="7" fillId="18" borderId="0" xfId="0" applyNumberFormat="1" applyFont="1" applyFill="1" applyAlignment="1">
      <alignment horizontal="center"/>
    </xf>
    <xf numFmtId="0" fontId="17" fillId="10" borderId="0" xfId="24" applyFont="1" applyFill="1" applyBorder="1" applyAlignment="1">
      <alignment horizontal="right"/>
    </xf>
    <xf numFmtId="0" fontId="17" fillId="10" borderId="0" xfId="24" applyFont="1" applyFill="1" applyBorder="1" applyAlignment="1">
      <alignment horizontal="left"/>
    </xf>
    <xf numFmtId="10" fontId="3" fillId="0" borderId="0" xfId="14" applyNumberFormat="1" applyFont="1" applyAlignment="1">
      <alignment horizontal="right" indent="2"/>
    </xf>
    <xf numFmtId="172" fontId="3" fillId="0" borderId="0" xfId="0" applyNumberFormat="1" applyFont="1" applyFill="1" applyAlignment="1">
      <alignment horizontal="right"/>
    </xf>
    <xf numFmtId="173" fontId="3" fillId="0" borderId="0" xfId="0" applyNumberFormat="1" applyFont="1" applyAlignment="1">
      <alignment horizontal="right"/>
    </xf>
    <xf numFmtId="10" fontId="3" fillId="13" borderId="0" xfId="14" applyNumberFormat="1" applyFont="1" applyFill="1" applyAlignment="1">
      <alignment horizontal="right" indent="2"/>
    </xf>
    <xf numFmtId="43" fontId="0" fillId="0" borderId="0" xfId="0" applyNumberFormat="1" applyAlignment="1">
      <alignment horizontal="center"/>
    </xf>
    <xf numFmtId="49" fontId="0" fillId="19" borderId="0" xfId="0" applyNumberFormat="1" applyFill="1" applyAlignment="1" applyProtection="1">
      <alignment horizontal="center"/>
    </xf>
    <xf numFmtId="0" fontId="0" fillId="19" borderId="0" xfId="0" applyNumberFormat="1" applyFill="1" applyAlignment="1" applyProtection="1">
      <alignment horizontal="center"/>
    </xf>
    <xf numFmtId="2" fontId="7" fillId="19" borderId="0" xfId="0" applyNumberFormat="1" applyFont="1" applyFill="1"/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0" fontId="32" fillId="0" borderId="0" xfId="0" applyFont="1"/>
    <xf numFmtId="0" fontId="33" fillId="0" borderId="0" xfId="0" applyFont="1"/>
    <xf numFmtId="0" fontId="28" fillId="5" borderId="11" xfId="0" applyFont="1" applyFill="1" applyBorder="1"/>
    <xf numFmtId="170" fontId="28" fillId="0" borderId="0" xfId="0" applyNumberFormat="1" applyFont="1"/>
    <xf numFmtId="0" fontId="28" fillId="0" borderId="4" xfId="0" applyFont="1" applyBorder="1"/>
    <xf numFmtId="0" fontId="28" fillId="0" borderId="6" xfId="0" applyFont="1" applyBorder="1"/>
    <xf numFmtId="0" fontId="28" fillId="0" borderId="0" xfId="0" applyFont="1" applyBorder="1"/>
    <xf numFmtId="0" fontId="34" fillId="4" borderId="24" xfId="0" applyFont="1" applyFill="1" applyBorder="1"/>
    <xf numFmtId="0" fontId="34" fillId="4" borderId="11" xfId="0" applyFont="1" applyFill="1" applyBorder="1"/>
    <xf numFmtId="0" fontId="34" fillId="4" borderId="13" xfId="0" applyFont="1" applyFill="1" applyBorder="1"/>
    <xf numFmtId="0" fontId="34" fillId="4" borderId="7" xfId="0" applyFont="1" applyFill="1" applyBorder="1"/>
    <xf numFmtId="0" fontId="34" fillId="4" borderId="8" xfId="0" applyFont="1" applyFill="1" applyBorder="1"/>
    <xf numFmtId="0" fontId="35" fillId="4" borderId="21" xfId="0" applyFont="1" applyFill="1" applyBorder="1"/>
    <xf numFmtId="0" fontId="35" fillId="4" borderId="22" xfId="0" applyFont="1" applyFill="1" applyBorder="1"/>
    <xf numFmtId="0" fontId="35" fillId="0" borderId="0" xfId="0" applyFont="1"/>
    <xf numFmtId="0" fontId="35" fillId="4" borderId="13" xfId="0" applyFont="1" applyFill="1" applyBorder="1"/>
    <xf numFmtId="0" fontId="35" fillId="4" borderId="11" xfId="0" applyFont="1" applyFill="1" applyBorder="1"/>
    <xf numFmtId="0" fontId="35" fillId="4" borderId="11" xfId="0" applyFont="1" applyFill="1" applyBorder="1" applyAlignment="1">
      <alignment horizontal="center"/>
    </xf>
    <xf numFmtId="0" fontId="35" fillId="4" borderId="13" xfId="0" applyFont="1" applyFill="1" applyBorder="1" applyAlignment="1">
      <alignment horizontal="right"/>
    </xf>
    <xf numFmtId="0" fontId="35" fillId="4" borderId="7" xfId="0" applyFont="1" applyFill="1" applyBorder="1"/>
    <xf numFmtId="0" fontId="35" fillId="4" borderId="8" xfId="0" applyFont="1" applyFill="1" applyBorder="1"/>
    <xf numFmtId="0" fontId="35" fillId="4" borderId="20" xfId="0" applyFont="1" applyFill="1" applyBorder="1"/>
    <xf numFmtId="0" fontId="35" fillId="4" borderId="15" xfId="0" applyFont="1" applyFill="1" applyBorder="1"/>
    <xf numFmtId="0" fontId="35" fillId="4" borderId="15" xfId="0" applyFont="1" applyFill="1" applyBorder="1" applyAlignment="1">
      <alignment horizontal="right"/>
    </xf>
    <xf numFmtId="170" fontId="35" fillId="4" borderId="9" xfId="0" applyNumberFormat="1" applyFont="1" applyFill="1" applyBorder="1"/>
    <xf numFmtId="170" fontId="35" fillId="4" borderId="12" xfId="0" applyNumberFormat="1" applyFont="1" applyFill="1" applyBorder="1"/>
    <xf numFmtId="0" fontId="35" fillId="4" borderId="12" xfId="0" applyFont="1" applyFill="1" applyBorder="1"/>
    <xf numFmtId="0" fontId="35" fillId="4" borderId="16" xfId="0" applyFont="1" applyFill="1" applyBorder="1"/>
    <xf numFmtId="170" fontId="34" fillId="4" borderId="12" xfId="0" applyNumberFormat="1" applyFont="1" applyFill="1" applyBorder="1"/>
    <xf numFmtId="0" fontId="34" fillId="4" borderId="12" xfId="0" applyFont="1" applyFill="1" applyBorder="1"/>
    <xf numFmtId="0" fontId="34" fillId="4" borderId="13" xfId="0" applyFont="1" applyFill="1" applyBorder="1" applyAlignment="1">
      <alignment horizontal="right"/>
    </xf>
    <xf numFmtId="0" fontId="36" fillId="0" borderId="0" xfId="0" applyFont="1"/>
    <xf numFmtId="0" fontId="34" fillId="4" borderId="25" xfId="0" applyFont="1" applyFill="1" applyBorder="1"/>
    <xf numFmtId="0" fontId="34" fillId="4" borderId="9" xfId="0" applyFont="1" applyFill="1" applyBorder="1"/>
    <xf numFmtId="0" fontId="34" fillId="5" borderId="11" xfId="0" applyFont="1" applyFill="1" applyBorder="1"/>
    <xf numFmtId="0" fontId="37" fillId="0" borderId="0" xfId="0" applyFont="1"/>
    <xf numFmtId="14" fontId="38" fillId="0" borderId="0" xfId="0" applyNumberFormat="1" applyFont="1"/>
    <xf numFmtId="0" fontId="38" fillId="0" borderId="0" xfId="0" applyFont="1"/>
    <xf numFmtId="0" fontId="35" fillId="4" borderId="24" xfId="0" applyFont="1" applyFill="1" applyBorder="1" applyAlignment="1">
      <alignment horizontal="right"/>
    </xf>
    <xf numFmtId="0" fontId="35" fillId="4" borderId="24" xfId="0" applyFont="1" applyFill="1" applyBorder="1"/>
    <xf numFmtId="0" fontId="35" fillId="4" borderId="29" xfId="0" applyFont="1" applyFill="1" applyBorder="1"/>
    <xf numFmtId="0" fontId="28" fillId="0" borderId="4" xfId="0" applyFont="1" applyBorder="1" applyAlignment="1">
      <alignment wrapText="1"/>
    </xf>
    <xf numFmtId="0" fontId="28" fillId="0" borderId="6" xfId="0" applyFont="1" applyBorder="1" applyAlignment="1">
      <alignment wrapText="1"/>
    </xf>
    <xf numFmtId="0" fontId="28" fillId="0" borderId="0" xfId="0" applyFont="1" applyAlignment="1">
      <alignment wrapText="1"/>
    </xf>
    <xf numFmtId="0" fontId="34" fillId="4" borderId="8" xfId="0" applyFont="1" applyFill="1" applyBorder="1" applyAlignment="1">
      <alignment wrapText="1"/>
    </xf>
    <xf numFmtId="170" fontId="34" fillId="4" borderId="9" xfId="0" applyNumberFormat="1" applyFont="1" applyFill="1" applyBorder="1" applyAlignment="1">
      <alignment wrapText="1"/>
    </xf>
    <xf numFmtId="0" fontId="34" fillId="4" borderId="17" xfId="0" applyFont="1" applyFill="1" applyBorder="1"/>
    <xf numFmtId="0" fontId="34" fillId="4" borderId="27" xfId="0" applyFont="1" applyFill="1" applyBorder="1" applyAlignment="1">
      <alignment horizontal="right"/>
    </xf>
    <xf numFmtId="0" fontId="34" fillId="4" borderId="28" xfId="0" applyFont="1" applyFill="1" applyBorder="1" applyAlignment="1">
      <alignment horizontal="right"/>
    </xf>
    <xf numFmtId="0" fontId="35" fillId="4" borderId="26" xfId="0" applyFont="1" applyFill="1" applyBorder="1"/>
    <xf numFmtId="0" fontId="20" fillId="4" borderId="7" xfId="0" applyFont="1" applyFill="1" applyBorder="1" applyAlignment="1">
      <alignment wrapText="1"/>
    </xf>
    <xf numFmtId="0" fontId="20" fillId="4" borderId="23" xfId="0" applyFont="1" applyFill="1" applyBorder="1" applyAlignment="1">
      <alignment wrapText="1"/>
    </xf>
    <xf numFmtId="0" fontId="22" fillId="17" borderId="33" xfId="0" applyFont="1" applyFill="1" applyBorder="1" applyAlignment="1">
      <alignment horizontal="center"/>
    </xf>
    <xf numFmtId="0" fontId="22" fillId="17" borderId="34" xfId="0" applyFont="1" applyFill="1" applyBorder="1" applyAlignment="1">
      <alignment horizontal="center"/>
    </xf>
    <xf numFmtId="0" fontId="22" fillId="17" borderId="35" xfId="0" applyFont="1" applyFill="1" applyBorder="1" applyAlignment="1">
      <alignment horizontal="center"/>
    </xf>
    <xf numFmtId="0" fontId="27" fillId="15" borderId="33" xfId="0" applyFont="1" applyFill="1" applyBorder="1" applyAlignment="1">
      <alignment horizontal="center"/>
    </xf>
    <xf numFmtId="0" fontId="27" fillId="15" borderId="34" xfId="0" applyFont="1" applyFill="1" applyBorder="1" applyAlignment="1">
      <alignment horizontal="center"/>
    </xf>
    <xf numFmtId="0" fontId="27" fillId="15" borderId="35" xfId="0" applyFont="1" applyFill="1" applyBorder="1" applyAlignment="1">
      <alignment horizontal="center"/>
    </xf>
    <xf numFmtId="0" fontId="10" fillId="0" borderId="3" xfId="16" applyAlignment="1">
      <alignment horizontal="left"/>
    </xf>
    <xf numFmtId="37" fontId="4" fillId="0" borderId="0" xfId="0" applyNumberFormat="1" applyFont="1" applyAlignment="1" applyProtection="1">
      <alignment horizontal="center" wrapText="1"/>
    </xf>
    <xf numFmtId="2" fontId="9" fillId="0" borderId="1" xfId="15" applyNumberFormat="1" applyAlignment="1">
      <alignment horizontal="left"/>
    </xf>
    <xf numFmtId="0" fontId="4" fillId="0" borderId="0" xfId="0" applyFont="1" applyAlignment="1" applyProtection="1">
      <alignment horizontal="center" wrapText="1"/>
    </xf>
    <xf numFmtId="0" fontId="4" fillId="0" borderId="0" xfId="0" applyFont="1" applyAlignment="1">
      <alignment horizontal="center" wrapText="1"/>
    </xf>
    <xf numFmtId="0" fontId="3" fillId="0" borderId="0" xfId="0" applyFont="1" applyAlignment="1">
      <alignment horizontal="center" wrapText="1"/>
    </xf>
    <xf numFmtId="0" fontId="4" fillId="0" borderId="2" xfId="0" applyFont="1" applyBorder="1" applyAlignment="1">
      <alignment horizontal="center" wrapText="1"/>
    </xf>
    <xf numFmtId="0" fontId="4" fillId="0" borderId="0" xfId="0" applyFont="1" applyBorder="1" applyAlignment="1">
      <alignment horizontal="center" wrapText="1"/>
    </xf>
    <xf numFmtId="0" fontId="9" fillId="0" borderId="0" xfId="15" applyBorder="1" applyAlignment="1">
      <alignment horizontal="left"/>
    </xf>
    <xf numFmtId="0" fontId="9" fillId="0" borderId="1" xfId="15" applyAlignment="1">
      <alignment horizontal="left"/>
    </xf>
    <xf numFmtId="37" fontId="3" fillId="0" borderId="0" xfId="0" applyNumberFormat="1" applyFont="1" applyAlignment="1" applyProtection="1">
      <alignment horizontal="center" wrapText="1"/>
    </xf>
    <xf numFmtId="0" fontId="3" fillId="0" borderId="0" xfId="0" applyFont="1" applyAlignment="1" applyProtection="1">
      <alignment horizontal="center" wrapText="1"/>
    </xf>
    <xf numFmtId="0" fontId="3" fillId="0" borderId="2" xfId="0" applyFont="1" applyBorder="1" applyAlignment="1">
      <alignment horizontal="center" wrapText="1"/>
    </xf>
    <xf numFmtId="0" fontId="3" fillId="0" borderId="0" xfId="0" applyFont="1" applyBorder="1" applyAlignment="1">
      <alignment horizontal="center" wrapText="1"/>
    </xf>
    <xf numFmtId="10" fontId="0" fillId="0" borderId="0" xfId="14" applyNumberFormat="1" applyFont="1" applyAlignment="1">
      <alignment horizontal="center"/>
    </xf>
  </cellXfs>
  <cellStyles count="65">
    <cellStyle name="Comma" xfId="1" builtinId="3"/>
    <cellStyle name="Currency" xfId="23" builtinId="4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Heading 1" xfId="15" builtinId="16"/>
    <cellStyle name="Heading 2" xfId="16" builtinId="17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7" builtinId="8" hidden="1"/>
    <cellStyle name="Hyperlink" xfId="19" builtinId="8" hidden="1"/>
    <cellStyle name="Hyperlink" xfId="21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Normal" xfId="0" builtinId="0"/>
    <cellStyle name="Normal 2" xfId="24"/>
    <cellStyle name="Percent" xfId="14" builtinId="5"/>
  </cellStyles>
  <dxfs count="4">
    <dxf>
      <font>
        <color theme="0"/>
      </font>
      <fill>
        <patternFill patternType="solid">
          <fgColor indexed="64"/>
          <bgColor rgb="FF008000"/>
        </patternFill>
      </fill>
    </dxf>
    <dxf>
      <font>
        <color theme="0"/>
      </font>
      <fill>
        <patternFill patternType="solid">
          <fgColor indexed="64"/>
          <bgColor theme="1" tint="0.34998626667073579"/>
        </patternFill>
      </fill>
    </dxf>
    <dxf>
      <font>
        <color theme="0"/>
      </font>
      <fill>
        <patternFill patternType="solid">
          <fgColor indexed="64"/>
          <bgColor rgb="FF008000"/>
        </patternFill>
      </fill>
    </dxf>
    <dxf>
      <font>
        <color theme="0"/>
      </font>
      <fill>
        <patternFill patternType="solid">
          <fgColor indexed="64"/>
          <bgColor rgb="FF008000"/>
        </patternFill>
      </fill>
    </dxf>
  </dxf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7" Type="http://schemas.openxmlformats.org/officeDocument/2006/relationships/chartsheet" Target="chartsheets/sheet2.xml"/><Relationship Id="rId8" Type="http://schemas.openxmlformats.org/officeDocument/2006/relationships/worksheet" Target="worksheets/sheet6.xml"/><Relationship Id="rId9" Type="http://schemas.openxmlformats.org/officeDocument/2006/relationships/chartsheet" Target="chartsheets/sheet3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18352703979512"/>
          <c:y val="0.0514005540974045"/>
          <c:w val="0.681398093554896"/>
          <c:h val="0.832619568387285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strRef>
              <c:f>'Decent. ES &amp; LR DS trend line'!$A$32:$A$40</c:f>
              <c:strCache>
                <c:ptCount val="9"/>
                <c:pt idx="0">
                  <c:v>2-2007</c:v>
                </c:pt>
                <c:pt idx="1">
                  <c:v>3-2007</c:v>
                </c:pt>
                <c:pt idx="2">
                  <c:v>4-2007</c:v>
                </c:pt>
                <c:pt idx="3">
                  <c:v>1-2008</c:v>
                </c:pt>
                <c:pt idx="4">
                  <c:v>2-2008</c:v>
                </c:pt>
                <c:pt idx="5">
                  <c:v>3-2008</c:v>
                </c:pt>
                <c:pt idx="6">
                  <c:v>4-2008</c:v>
                </c:pt>
                <c:pt idx="7">
                  <c:v>1-2009</c:v>
                </c:pt>
                <c:pt idx="8">
                  <c:v>2-2009</c:v>
                </c:pt>
              </c:strCache>
            </c:strRef>
          </c:xVal>
          <c:yVal>
            <c:numRef>
              <c:f>'Decent. ES &amp; LR DS trend line'!$C$32:$C$40</c:f>
              <c:numCache>
                <c:formatCode>#,##0.00_);\(#,##0.00\)</c:formatCode>
                <c:ptCount val="9"/>
                <c:pt idx="0">
                  <c:v>86491.12040932141</c:v>
                </c:pt>
                <c:pt idx="1">
                  <c:v>94970.62234248164</c:v>
                </c:pt>
                <c:pt idx="2">
                  <c:v>94355.5941816851</c:v>
                </c:pt>
                <c:pt idx="3">
                  <c:v>98459.3600074526</c:v>
                </c:pt>
                <c:pt idx="4">
                  <c:v>98023.26979723093</c:v>
                </c:pt>
                <c:pt idx="5">
                  <c:v>98969.38538848087</c:v>
                </c:pt>
                <c:pt idx="6">
                  <c:v>113611.8378922331</c:v>
                </c:pt>
                <c:pt idx="7">
                  <c:v>111792.3983417952</c:v>
                </c:pt>
                <c:pt idx="8">
                  <c:v>119165.5436750651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6130008"/>
        <c:axId val="-2116127016"/>
      </c:scatterChart>
      <c:valAx>
        <c:axId val="-21161300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6127016"/>
        <c:crosses val="autoZero"/>
        <c:crossBetween val="midCat"/>
      </c:valAx>
      <c:valAx>
        <c:axId val="-2116127016"/>
        <c:scaling>
          <c:orientation val="minMax"/>
        </c:scaling>
        <c:delete val="0"/>
        <c:axPos val="l"/>
        <c:majorGridlines/>
        <c:numFmt formatCode="#,##0.00_);\(#,##0.00\)" sourceLinked="1"/>
        <c:majorTickMark val="out"/>
        <c:minorTickMark val="none"/>
        <c:tickLblPos val="nextTo"/>
        <c:crossAx val="-21161300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18352703979512"/>
          <c:y val="0.0514005540974045"/>
          <c:w val="0.681398093554896"/>
          <c:h val="0.832619568387285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strRef>
              <c:f>'Solver-Decent. ES &amp; LR DS trend'!$A$32:$A$40</c:f>
              <c:strCache>
                <c:ptCount val="9"/>
                <c:pt idx="0">
                  <c:v>2-2007</c:v>
                </c:pt>
                <c:pt idx="1">
                  <c:v>3-2007</c:v>
                </c:pt>
                <c:pt idx="2">
                  <c:v>4-2007</c:v>
                </c:pt>
                <c:pt idx="3">
                  <c:v>1-2008</c:v>
                </c:pt>
                <c:pt idx="4">
                  <c:v>2-2008</c:v>
                </c:pt>
                <c:pt idx="5">
                  <c:v>3-2008</c:v>
                </c:pt>
                <c:pt idx="6">
                  <c:v>4-2008</c:v>
                </c:pt>
                <c:pt idx="7">
                  <c:v>1-2009</c:v>
                </c:pt>
                <c:pt idx="8">
                  <c:v>2-2009</c:v>
                </c:pt>
              </c:strCache>
            </c:strRef>
          </c:xVal>
          <c:yVal>
            <c:numRef>
              <c:f>'Solver-Decent. ES &amp; LR DS trend'!$C$32:$C$40</c:f>
              <c:numCache>
                <c:formatCode>#,##0.00_);\(#,##0.00\)</c:formatCode>
                <c:ptCount val="9"/>
                <c:pt idx="0">
                  <c:v>86491.12040932141</c:v>
                </c:pt>
                <c:pt idx="1">
                  <c:v>94970.62234248164</c:v>
                </c:pt>
                <c:pt idx="2">
                  <c:v>94355.5941816851</c:v>
                </c:pt>
                <c:pt idx="3">
                  <c:v>98459.3600074526</c:v>
                </c:pt>
                <c:pt idx="4">
                  <c:v>98023.26979723093</c:v>
                </c:pt>
                <c:pt idx="5">
                  <c:v>98969.38538848087</c:v>
                </c:pt>
                <c:pt idx="6">
                  <c:v>113611.8378922331</c:v>
                </c:pt>
                <c:pt idx="7">
                  <c:v>111792.3983417952</c:v>
                </c:pt>
                <c:pt idx="8">
                  <c:v>119165.5436750651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6066472"/>
        <c:axId val="-2116063480"/>
      </c:scatterChart>
      <c:valAx>
        <c:axId val="-21160664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6063480"/>
        <c:crosses val="autoZero"/>
        <c:crossBetween val="midCat"/>
      </c:valAx>
      <c:valAx>
        <c:axId val="-2116063480"/>
        <c:scaling>
          <c:orientation val="minMax"/>
        </c:scaling>
        <c:delete val="0"/>
        <c:axPos val="l"/>
        <c:majorGridlines/>
        <c:numFmt formatCode="#,##0.00_);\(#,##0.00\)" sourceLinked="1"/>
        <c:majorTickMark val="out"/>
        <c:minorTickMark val="none"/>
        <c:tickLblPos val="nextTo"/>
        <c:crossAx val="-21160664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'Least Squares-Linear Regression'!$K$12</c:f>
              <c:strCache>
                <c:ptCount val="1"/>
                <c:pt idx="0">
                  <c:v>Cum error</c:v>
                </c:pt>
              </c:strCache>
            </c:strRef>
          </c:tx>
          <c:invertIfNegative val="0"/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cat>
            <c:numRef>
              <c:f>'Least Squares-Linear Regression'!$C$13:$C$21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</c:numCache>
            </c:numRef>
          </c:cat>
          <c:val>
            <c:numRef>
              <c:f>'Least Squares-Linear Regression'!$B$13:$B$21</c:f>
              <c:numCache>
                <c:formatCode>General</c:formatCode>
                <c:ptCount val="9"/>
                <c:pt idx="0">
                  <c:v>90000.0</c:v>
                </c:pt>
                <c:pt idx="1">
                  <c:v>95000.0</c:v>
                </c:pt>
                <c:pt idx="2">
                  <c:v>98000.0</c:v>
                </c:pt>
                <c:pt idx="3">
                  <c:v>96000.0</c:v>
                </c:pt>
                <c:pt idx="4">
                  <c:v>102000.0</c:v>
                </c:pt>
                <c:pt idx="5">
                  <c:v>99000.0</c:v>
                </c:pt>
                <c:pt idx="6">
                  <c:v>118000.0</c:v>
                </c:pt>
                <c:pt idx="7">
                  <c:v>109000.0</c:v>
                </c:pt>
                <c:pt idx="8">
                  <c:v>124000.0</c:v>
                </c:pt>
              </c:numCache>
            </c:numRef>
          </c:val>
        </c:ser>
        <c:ser>
          <c:idx val="1"/>
          <c:order val="1"/>
          <c:tx>
            <c:strRef>
              <c:f>'Least Squares-Linear Regression'!$L$12</c:f>
              <c:strCache>
                <c:ptCount val="1"/>
                <c:pt idx="0">
                  <c:v>Cum Abs Err</c:v>
                </c:pt>
              </c:strCache>
            </c:strRef>
          </c:tx>
          <c:invertIfNegative val="0"/>
          <c:val>
            <c:numRef>
              <c:f>'Least Squares-Linear Regression'!$L$13:$L$20</c:f>
              <c:numCache>
                <c:formatCode>General</c:formatCode>
                <c:ptCount val="8"/>
                <c:pt idx="2">
                  <c:v>1922.222222222234</c:v>
                </c:pt>
                <c:pt idx="3">
                  <c:v>5683.333333333328</c:v>
                </c:pt>
                <c:pt idx="4">
                  <c:v>7127.777777777766</c:v>
                </c:pt>
                <c:pt idx="5">
                  <c:v>15255.55555555553</c:v>
                </c:pt>
                <c:pt idx="6">
                  <c:v>22444.44444444444</c:v>
                </c:pt>
                <c:pt idx="7">
                  <c:v>27938.88888888888</c:v>
                </c:pt>
              </c:numCache>
            </c:numRef>
          </c:val>
        </c:ser>
        <c:ser>
          <c:idx val="2"/>
          <c:order val="2"/>
          <c:tx>
            <c:strRef>
              <c:f>'Least Squares-Linear Regression'!$M$12</c:f>
              <c:strCache>
                <c:ptCount val="1"/>
                <c:pt idx="0">
                  <c:v>Mad</c:v>
                </c:pt>
              </c:strCache>
            </c:strRef>
          </c:tx>
          <c:invertIfNegative val="0"/>
          <c:val>
            <c:numRef>
              <c:f>'Least Squares-Linear Regression'!$M$13:$M$20</c:f>
              <c:numCache>
                <c:formatCode>General</c:formatCode>
                <c:ptCount val="8"/>
                <c:pt idx="2">
                  <c:v>1922.222222222234</c:v>
                </c:pt>
                <c:pt idx="3">
                  <c:v>2394.444444444449</c:v>
                </c:pt>
                <c:pt idx="4">
                  <c:v>2204.444444444447</c:v>
                </c:pt>
                <c:pt idx="5">
                  <c:v>3191.666666666667</c:v>
                </c:pt>
                <c:pt idx="6">
                  <c:v>3762.698412698415</c:v>
                </c:pt>
                <c:pt idx="7">
                  <c:v>3979.166666666668</c:v>
                </c:pt>
              </c:numCache>
            </c:numRef>
          </c:val>
        </c:ser>
        <c:ser>
          <c:idx val="3"/>
          <c:order val="3"/>
          <c:tx>
            <c:strRef>
              <c:f>'Least Squares-Linear Regression'!$N$12</c:f>
              <c:strCache>
                <c:ptCount val="1"/>
                <c:pt idx="0">
                  <c:v>Track Signal (Cum error/MAD)</c:v>
                </c:pt>
              </c:strCache>
            </c:strRef>
          </c:tx>
          <c:invertIfNegative val="0"/>
          <c:val>
            <c:numRef>
              <c:f>'Least Squares-Linear Regression'!$N$13:$N$20</c:f>
              <c:numCache>
                <c:formatCode>General</c:formatCode>
                <c:ptCount val="8"/>
                <c:pt idx="2">
                  <c:v>1.0</c:v>
                </c:pt>
                <c:pt idx="3">
                  <c:v>-0.767981438515068</c:v>
                </c:pt>
                <c:pt idx="4">
                  <c:v>-1.489415322580628</c:v>
                </c:pt>
                <c:pt idx="5">
                  <c:v>-3.575282854656209</c:v>
                </c:pt>
                <c:pt idx="6">
                  <c:v>-1.122126133727045</c:v>
                </c:pt>
                <c:pt idx="7">
                  <c:v>-2.441884816753909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15673448"/>
        <c:axId val="-2115670248"/>
      </c:barChart>
      <c:catAx>
        <c:axId val="-2115673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15670248"/>
        <c:crosses val="autoZero"/>
        <c:auto val="1"/>
        <c:lblAlgn val="ctr"/>
        <c:lblOffset val="100"/>
        <c:noMultiLvlLbl val="0"/>
      </c:catAx>
      <c:valAx>
        <c:axId val="-2115670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567344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348169510061242"/>
          <c:y val="0.0833333333333333"/>
          <c:w val="0.641687226596675"/>
          <c:h val="0.72816017789443"/>
        </c:manualLayout>
      </c:layout>
      <c:lineChart>
        <c:grouping val="standard"/>
        <c:varyColors val="0"/>
        <c:ser>
          <c:idx val="0"/>
          <c:order val="0"/>
          <c:cat>
            <c:strRef>
              <c:f>'Exponential Smoothing'!$A$13:$A$21</c:f>
              <c:strCache>
                <c:ptCount val="9"/>
                <c:pt idx="0">
                  <c:v>2Q 2007</c:v>
                </c:pt>
                <c:pt idx="1">
                  <c:v>3Q 2007</c:v>
                </c:pt>
                <c:pt idx="2">
                  <c:v>4Q 2007</c:v>
                </c:pt>
                <c:pt idx="3">
                  <c:v>1Q 2008</c:v>
                </c:pt>
                <c:pt idx="4">
                  <c:v>2Q 2008</c:v>
                </c:pt>
                <c:pt idx="5">
                  <c:v>3Q 2008</c:v>
                </c:pt>
                <c:pt idx="6">
                  <c:v>4Q 2008</c:v>
                </c:pt>
                <c:pt idx="7">
                  <c:v>1Q 2009</c:v>
                </c:pt>
                <c:pt idx="8">
                  <c:v>2Q 2009 </c:v>
                </c:pt>
              </c:strCache>
            </c:strRef>
          </c:cat>
          <c:val>
            <c:numRef>
              <c:f>'Exponential Smoothing'!$B$13:$B$21</c:f>
              <c:numCache>
                <c:formatCode>General</c:formatCode>
                <c:ptCount val="9"/>
                <c:pt idx="0">
                  <c:v>90000.0</c:v>
                </c:pt>
                <c:pt idx="1">
                  <c:v>95000.0</c:v>
                </c:pt>
                <c:pt idx="2">
                  <c:v>98000.0</c:v>
                </c:pt>
                <c:pt idx="3">
                  <c:v>96000.0</c:v>
                </c:pt>
                <c:pt idx="4">
                  <c:v>102000.0</c:v>
                </c:pt>
                <c:pt idx="5">
                  <c:v>99000.0</c:v>
                </c:pt>
                <c:pt idx="6">
                  <c:v>118000.0</c:v>
                </c:pt>
                <c:pt idx="7">
                  <c:v>109000.0</c:v>
                </c:pt>
                <c:pt idx="8">
                  <c:v>124000.0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5081080"/>
        <c:axId val="-2135106184"/>
      </c:lineChart>
      <c:catAx>
        <c:axId val="-21350810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5106184"/>
        <c:crosses val="autoZero"/>
        <c:auto val="1"/>
        <c:lblAlgn val="ctr"/>
        <c:lblOffset val="100"/>
        <c:noMultiLvlLbl val="0"/>
      </c:catAx>
      <c:valAx>
        <c:axId val="-2135106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50810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Forecasting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'Exponential Smoothing'!$B$13</c:f>
              <c:strCache>
                <c:ptCount val="1"/>
                <c:pt idx="0">
                  <c:v>90000</c:v>
                </c:pt>
              </c:strCache>
            </c:strRef>
          </c:tx>
          <c:val>
            <c:numRef>
              <c:f>'Exponential Smoothing'!$B$14:$B$21</c:f>
              <c:numCache>
                <c:formatCode>General</c:formatCode>
                <c:ptCount val="8"/>
                <c:pt idx="0">
                  <c:v>95000.0</c:v>
                </c:pt>
                <c:pt idx="1">
                  <c:v>98000.0</c:v>
                </c:pt>
                <c:pt idx="2">
                  <c:v>96000.0</c:v>
                </c:pt>
                <c:pt idx="3">
                  <c:v>102000.0</c:v>
                </c:pt>
                <c:pt idx="4">
                  <c:v>99000.0</c:v>
                </c:pt>
                <c:pt idx="5">
                  <c:v>118000.0</c:v>
                </c:pt>
                <c:pt idx="6">
                  <c:v>109000.0</c:v>
                </c:pt>
                <c:pt idx="7">
                  <c:v>124000.0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'Exponential Smoothing'!$D$13</c:f>
              <c:strCache>
                <c:ptCount val="1"/>
                <c:pt idx="0">
                  <c:v>90000</c:v>
                </c:pt>
              </c:strCache>
            </c:strRef>
          </c:tx>
          <c:val>
            <c:numRef>
              <c:f>'Exponential Smoothing'!$D$14:$D$21</c:f>
              <c:numCache>
                <c:formatCode>General</c:formatCode>
                <c:ptCount val="8"/>
                <c:pt idx="0">
                  <c:v>90000.0</c:v>
                </c:pt>
                <c:pt idx="1">
                  <c:v>91500.0</c:v>
                </c:pt>
                <c:pt idx="2">
                  <c:v>93450.0</c:v>
                </c:pt>
                <c:pt idx="3">
                  <c:v>94215.0</c:v>
                </c:pt>
                <c:pt idx="4">
                  <c:v>96550.5</c:v>
                </c:pt>
                <c:pt idx="5">
                  <c:v>97285.35</c:v>
                </c:pt>
                <c:pt idx="6">
                  <c:v>103499.745</c:v>
                </c:pt>
                <c:pt idx="7">
                  <c:v>105149.8215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5613304"/>
        <c:axId val="-2115607832"/>
      </c:lineChart>
      <c:catAx>
        <c:axId val="-2115613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2115607832"/>
        <c:crosses val="autoZero"/>
        <c:auto val="1"/>
        <c:lblAlgn val="ctr"/>
        <c:lblOffset val="100"/>
        <c:noMultiLvlLbl val="0"/>
      </c:catAx>
      <c:valAx>
        <c:axId val="-21156078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15613304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Forecasting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'Trend Adjusted ES'!$B$11</c:f>
              <c:strCache>
                <c:ptCount val="1"/>
                <c:pt idx="0">
                  <c:v>Demand</c:v>
                </c:pt>
              </c:strCache>
            </c:strRef>
          </c:tx>
          <c:val>
            <c:numRef>
              <c:f>'Trend Adjusted ES'!$B$12:$B$20</c:f>
              <c:numCache>
                <c:formatCode>General</c:formatCode>
                <c:ptCount val="9"/>
                <c:pt idx="0">
                  <c:v>90000.0</c:v>
                </c:pt>
                <c:pt idx="1">
                  <c:v>95000.0</c:v>
                </c:pt>
                <c:pt idx="2">
                  <c:v>98000.0</c:v>
                </c:pt>
                <c:pt idx="3">
                  <c:v>96000.0</c:v>
                </c:pt>
                <c:pt idx="4">
                  <c:v>102000.0</c:v>
                </c:pt>
                <c:pt idx="5">
                  <c:v>99000.0</c:v>
                </c:pt>
                <c:pt idx="6">
                  <c:v>118000.0</c:v>
                </c:pt>
                <c:pt idx="7">
                  <c:v>109000.0</c:v>
                </c:pt>
                <c:pt idx="8">
                  <c:v>124000.0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'Trend Adjusted ES'!$D$11</c:f>
              <c:strCache>
                <c:ptCount val="1"/>
                <c:pt idx="0">
                  <c:v>Smoothed Forecast, Ft</c:v>
                </c:pt>
              </c:strCache>
            </c:strRef>
          </c:tx>
          <c:val>
            <c:numRef>
              <c:f>'Trend Adjusted ES'!$D$12:$D$20</c:f>
              <c:numCache>
                <c:formatCode>General</c:formatCode>
                <c:ptCount val="9"/>
                <c:pt idx="0">
                  <c:v>90000.0</c:v>
                </c:pt>
                <c:pt idx="1">
                  <c:v>90000.0</c:v>
                </c:pt>
                <c:pt idx="2">
                  <c:v>91500.0</c:v>
                </c:pt>
                <c:pt idx="3">
                  <c:v>93870.0</c:v>
                </c:pt>
                <c:pt idx="4">
                  <c:v>95424.6</c:v>
                </c:pt>
                <c:pt idx="5">
                  <c:v>98381.86799999999</c:v>
                </c:pt>
                <c:pt idx="6">
                  <c:v>99986.13143999998</c:v>
                </c:pt>
                <c:pt idx="7">
                  <c:v>106690.7800752</c:v>
                </c:pt>
                <c:pt idx="8">
                  <c:v>110041.140510816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5539848"/>
        <c:axId val="-2115534376"/>
      </c:lineChart>
      <c:catAx>
        <c:axId val="-2115539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2115534376"/>
        <c:crosses val="autoZero"/>
        <c:auto val="1"/>
        <c:lblAlgn val="ctr"/>
        <c:lblOffset val="100"/>
        <c:noMultiLvlLbl val="0"/>
      </c:catAx>
      <c:valAx>
        <c:axId val="-21155343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15539848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1" workbookViewId="0" zoomToFit="1"/>
  </sheetViews>
  <pageMargins left="0.75" right="0.75" top="1" bottom="1" header="0.5" footer="0.5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21" workbookViewId="0" zoomToFit="1"/>
  </sheetViews>
  <pageMargins left="0.75" right="0.75" top="1" bottom="1" header="0.5" footer="0.5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21" workbookViewId="0" zoomToFit="1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185964</xdr:colOff>
      <xdr:row>33</xdr:row>
      <xdr:rowOff>23132</xdr:rowOff>
    </xdr:from>
    <xdr:to>
      <xdr:col>12</xdr:col>
      <xdr:colOff>528410</xdr:colOff>
      <xdr:row>51</xdr:row>
      <xdr:rowOff>112939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185964</xdr:colOff>
      <xdr:row>33</xdr:row>
      <xdr:rowOff>23132</xdr:rowOff>
    </xdr:from>
    <xdr:to>
      <xdr:col>12</xdr:col>
      <xdr:colOff>528410</xdr:colOff>
      <xdr:row>51</xdr:row>
      <xdr:rowOff>112939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63500</xdr:colOff>
      <xdr:row>0</xdr:row>
      <xdr:rowOff>114300</xdr:rowOff>
    </xdr:from>
    <xdr:to>
      <xdr:col>5</xdr:col>
      <xdr:colOff>571500</xdr:colOff>
      <xdr:row>4</xdr:row>
      <xdr:rowOff>88900</xdr:rowOff>
    </xdr:to>
    <xdr:sp macro="" textlink="">
      <xdr:nvSpPr>
        <xdr:cNvPr id="2" name="messageTextbox"/>
        <xdr:cNvSpPr txBox="1"/>
      </xdr:nvSpPr>
      <xdr:spPr>
        <a:xfrm>
          <a:off x="1714500" y="114300"/>
          <a:ext cx="2984500" cy="736600"/>
        </a:xfrm>
        <a:prstGeom prst="rect">
          <a:avLst/>
        </a:prstGeom>
        <a:solidFill>
          <a:srgbClr val="FFEB9C"/>
        </a:solidFill>
        <a:ln w="1" cmpd="sng">
          <a:solidFill>
            <a:srgbClr val="000000"/>
          </a:solidFill>
          <a:prstDash val="solid"/>
        </a:ln>
        <a:effectLst>
          <a:outerShdw blurRad="63500" dist="37357" dir="2700000" rotWithShape="0">
            <a:scrgbClr r="0" g="0" b="0"/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r>
            <a:rPr lang="en-US" sz="900" b="0" i="0" u="none" strike="noStrike" baseline="0">
              <a:solidFill>
                <a:srgbClr val="9C6500"/>
              </a:solidFill>
              <a:latin typeface="Arial"/>
            </a:rPr>
            <a:t>If this is trend analysis then simply enter the past demands in the demand column. If this is causal regression then enter the y,x pairs with y first and enter a new value of x at the bottom in order to forecast y.</a:t>
          </a:r>
        </a:p>
      </xdr:txBody>
    </xdr:sp>
    <xdr:clientData fPrint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564628" cy="582520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1</xdr:row>
      <xdr:rowOff>0</xdr:rowOff>
    </xdr:from>
    <xdr:to>
      <xdr:col>4</xdr:col>
      <xdr:colOff>63500</xdr:colOff>
      <xdr:row>3</xdr:row>
      <xdr:rowOff>91440</xdr:rowOff>
    </xdr:to>
    <xdr:sp macro="" textlink="">
      <xdr:nvSpPr>
        <xdr:cNvPr id="2" name="messageTextbox"/>
        <xdr:cNvSpPr txBox="1"/>
      </xdr:nvSpPr>
      <xdr:spPr>
        <a:xfrm>
          <a:off x="63500" y="152400"/>
          <a:ext cx="4826000" cy="396240"/>
        </a:xfrm>
        <a:prstGeom prst="rect">
          <a:avLst/>
        </a:prstGeom>
        <a:solidFill>
          <a:srgbClr val="FFEB9C"/>
        </a:solidFill>
        <a:ln w="1" cmpd="sng">
          <a:solidFill>
            <a:srgbClr val="000000"/>
          </a:solidFill>
          <a:prstDash val="solid"/>
        </a:ln>
        <a:effectLst>
          <a:outerShdw blurRad="63500" dist="37357" dir="2700000" rotWithShape="0">
            <a:scrgbClr r="0" g="0" b="0"/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r>
            <a:rPr lang="en-US" sz="900" b="0" i="0" u="none" strike="noStrike" baseline="0">
              <a:solidFill>
                <a:srgbClr val="9C6500"/>
              </a:solidFill>
              <a:latin typeface="Arial"/>
            </a:rPr>
            <a:t>Enter alpha (between 0 and 1), enter the past demands in the shaded column then enter a starting forecast. If the starting forecast is not in the first period then delete the error analysis for all rows above the starting forecast.</a:t>
          </a:r>
        </a:p>
      </xdr:txBody>
    </xdr:sp>
    <xdr:clientData fPrintsWithSheet="0"/>
  </xdr:twoCellAnchor>
  <xdr:twoCellAnchor>
    <xdr:from>
      <xdr:col>8</xdr:col>
      <xdr:colOff>596900</xdr:colOff>
      <xdr:row>24</xdr:row>
      <xdr:rowOff>50800</xdr:rowOff>
    </xdr:from>
    <xdr:to>
      <xdr:col>14</xdr:col>
      <xdr:colOff>215900</xdr:colOff>
      <xdr:row>42</xdr:row>
      <xdr:rowOff>25400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564628" cy="582520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4</xdr:row>
      <xdr:rowOff>0</xdr:rowOff>
    </xdr:from>
    <xdr:to>
      <xdr:col>5</xdr:col>
      <xdr:colOff>203200</xdr:colOff>
      <xdr:row>6</xdr:row>
      <xdr:rowOff>139700</xdr:rowOff>
    </xdr:to>
    <xdr:sp macro="" textlink="">
      <xdr:nvSpPr>
        <xdr:cNvPr id="2" name="messageTextbox"/>
        <xdr:cNvSpPr txBox="1"/>
      </xdr:nvSpPr>
      <xdr:spPr>
        <a:xfrm>
          <a:off x="63500" y="660400"/>
          <a:ext cx="4826000" cy="444500"/>
        </a:xfrm>
        <a:prstGeom prst="rect">
          <a:avLst/>
        </a:prstGeom>
        <a:solidFill>
          <a:srgbClr val="FFEB9C"/>
        </a:solidFill>
        <a:ln w="1" cmpd="sng">
          <a:solidFill>
            <a:srgbClr val="000000"/>
          </a:solidFill>
          <a:prstDash val="solid"/>
        </a:ln>
        <a:effectLst>
          <a:outerShdw blurRad="63500" dist="37357" dir="2700000" rotWithShape="0">
            <a:scrgbClr r="0" g="0" b="0"/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r>
            <a:rPr lang="en-US" sz="900" b="0" i="0" u="none" strike="noStrike" baseline="0">
              <a:solidFill>
                <a:srgbClr val="9C6500"/>
              </a:solidFill>
              <a:latin typeface="Arial"/>
            </a:rPr>
            <a:t>Enter alpha and beta (between 0 and 1), enter the past demands in the shaded column then enter a starting forecast. If the starting forecast is not in the first period then delete the error analysis for all rows above the starting forecast.</a:t>
          </a:r>
        </a:p>
      </xdr:txBody>
    </xdr:sp>
    <xdr:clientData fPrintsWithSheet="0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564628" cy="582520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3"/>
  <sheetViews>
    <sheetView workbookViewId="0">
      <selection activeCell="C8" sqref="C8"/>
    </sheetView>
  </sheetViews>
  <sheetFormatPr baseColWidth="10" defaultRowHeight="12" x14ac:dyDescent="0"/>
  <cols>
    <col min="2" max="2" width="3.1640625" customWidth="1"/>
    <col min="3" max="3" width="57.6640625" bestFit="1" customWidth="1"/>
    <col min="4" max="4" width="14.1640625" customWidth="1"/>
    <col min="5" max="5" width="21.5" customWidth="1"/>
    <col min="6" max="6" width="12.1640625" customWidth="1"/>
    <col min="7" max="7" width="16.6640625" customWidth="1"/>
    <col min="8" max="8" width="9.6640625" customWidth="1"/>
    <col min="9" max="9" width="8" customWidth="1"/>
    <col min="10" max="10" width="10.33203125" customWidth="1"/>
    <col min="11" max="11" width="13" customWidth="1"/>
    <col min="12" max="12" width="3.33203125" customWidth="1"/>
  </cols>
  <sheetData>
    <row r="1" spans="2:12" ht="19" customHeight="1" thickBot="1"/>
    <row r="2" spans="2:12" ht="18" customHeight="1" thickBot="1">
      <c r="B2" s="89"/>
      <c r="C2" s="90"/>
      <c r="D2" s="90"/>
      <c r="E2" s="90"/>
      <c r="F2" s="90"/>
      <c r="G2" s="90"/>
      <c r="H2" s="90"/>
      <c r="I2" s="90"/>
      <c r="J2" s="90"/>
      <c r="K2" s="90"/>
      <c r="L2" s="91"/>
    </row>
    <row r="3" spans="2:12" ht="49" customHeight="1" thickBot="1">
      <c r="B3" s="92"/>
      <c r="C3" s="212" t="s">
        <v>101</v>
      </c>
      <c r="D3" s="213"/>
      <c r="E3" s="213"/>
      <c r="F3" s="213"/>
      <c r="G3" s="213"/>
      <c r="H3" s="213"/>
      <c r="I3" s="213"/>
      <c r="J3" s="213"/>
      <c r="K3" s="214"/>
      <c r="L3" s="93"/>
    </row>
    <row r="4" spans="2:12" ht="26" customHeight="1" thickBot="1">
      <c r="B4" s="92"/>
      <c r="C4" s="103" t="s">
        <v>108</v>
      </c>
      <c r="D4" s="104" t="s">
        <v>23</v>
      </c>
      <c r="E4" s="104" t="s">
        <v>99</v>
      </c>
      <c r="F4" s="104" t="s">
        <v>87</v>
      </c>
      <c r="G4" s="104" t="s">
        <v>15</v>
      </c>
      <c r="H4" s="104" t="s">
        <v>91</v>
      </c>
      <c r="I4" s="104" t="s">
        <v>94</v>
      </c>
      <c r="J4" s="104" t="s">
        <v>85</v>
      </c>
      <c r="K4" s="105" t="s">
        <v>83</v>
      </c>
      <c r="L4" s="93"/>
    </row>
    <row r="5" spans="2:12" ht="18">
      <c r="B5" s="92"/>
      <c r="C5" s="106" t="s">
        <v>102</v>
      </c>
      <c r="D5" s="107">
        <f>'Decent. ES &amp; LR DS trend line'!K12</f>
        <v>9294.8070363934494</v>
      </c>
      <c r="E5" s="107">
        <f>'Decent. ES &amp; LR DS trend line'!K8</f>
        <v>95017629.915379792</v>
      </c>
      <c r="F5" s="108">
        <f>'Decent. ES &amp; LR DS trend line'!K10</f>
        <v>8.7205390005199113E-2</v>
      </c>
      <c r="G5" s="109">
        <f>'Decent. ES &amp; LR DS trend line'!H14</f>
        <v>108798.65729666565</v>
      </c>
      <c r="H5" s="110">
        <f>'Decent. ES &amp; LR DS trend line'!K6</f>
        <v>0.3</v>
      </c>
      <c r="I5" s="111"/>
      <c r="J5" s="111"/>
      <c r="K5" s="112"/>
      <c r="L5" s="93"/>
    </row>
    <row r="6" spans="2:12" ht="18">
      <c r="B6" s="92"/>
      <c r="C6" s="113" t="s">
        <v>103</v>
      </c>
      <c r="D6" s="114">
        <f>'Solver-Decent. ES &amp; LR DS trend'!K12</f>
        <v>4523.7615844474476</v>
      </c>
      <c r="E6" s="114">
        <f>'Solver-Decent. ES &amp; LR DS trend'!K8</f>
        <v>40146315.652909659</v>
      </c>
      <c r="F6" s="115">
        <f>'Solver-Decent. ES &amp; LR DS trend'!K10</f>
        <v>4.2193654899957238E-2</v>
      </c>
      <c r="G6" s="116">
        <f>'Solver-Decent. ES &amp; LR DS trend'!H14</f>
        <v>118390.55914064302</v>
      </c>
      <c r="H6" s="117">
        <f>'Solver-Decent. ES &amp; LR DS trend'!K6</f>
        <v>0.89449231044548483</v>
      </c>
      <c r="I6" s="118"/>
      <c r="J6" s="118"/>
      <c r="K6" s="119"/>
      <c r="L6" s="93"/>
    </row>
    <row r="7" spans="2:12" ht="18">
      <c r="B7" s="92"/>
      <c r="C7" s="141" t="s">
        <v>104</v>
      </c>
      <c r="D7" s="120">
        <f>'Decent. ES &amp; LR DS trend line'!G32</f>
        <v>2628.4884220798735</v>
      </c>
      <c r="E7" s="120">
        <f>'Decent. ES &amp; LR DS trend line'!G36</f>
        <v>11416074.658635495</v>
      </c>
      <c r="F7" s="121">
        <f>'Decent. ES &amp; LR DS trend line'!G34</f>
        <v>2.5602343214191952E-2</v>
      </c>
      <c r="G7" s="122">
        <f>'Solver-Decent. ES &amp; LR DS trend'!D41</f>
        <v>120109</v>
      </c>
      <c r="H7" s="123"/>
      <c r="I7" s="123"/>
      <c r="J7" s="124">
        <v>3669.8</v>
      </c>
      <c r="K7" s="125">
        <v>83411</v>
      </c>
      <c r="L7" s="93"/>
    </row>
    <row r="8" spans="2:12" ht="18">
      <c r="B8" s="92"/>
      <c r="C8" s="113" t="s">
        <v>112</v>
      </c>
      <c r="D8" s="114">
        <f>'Least Squares-Linear Regression'!G23</f>
        <v>4183.9506172839529</v>
      </c>
      <c r="E8" s="114">
        <f>'Least Squares-Linear Regression'!H23</f>
        <v>23356172.839506183</v>
      </c>
      <c r="F8" s="126">
        <f>'Least Squares-Linear Regression'!I23</f>
        <v>3.9453840703979677E-2</v>
      </c>
      <c r="G8" s="116">
        <f>'Least Squares-Linear Regression'!B26</f>
        <v>121861.11111111109</v>
      </c>
      <c r="H8" s="118"/>
      <c r="I8" s="118"/>
      <c r="J8" s="127">
        <f>'Least Squares-Linear Regression'!B24</f>
        <v>3683.3333333333335</v>
      </c>
      <c r="K8" s="128">
        <f>'Least Squares-Linear Regression'!B23</f>
        <v>85027.777777777766</v>
      </c>
      <c r="L8" s="93"/>
    </row>
    <row r="9" spans="2:12" ht="18">
      <c r="B9" s="92"/>
      <c r="C9" s="141" t="s">
        <v>118</v>
      </c>
      <c r="D9" s="129">
        <f>'Trend Adjusted ES'!H23</f>
        <v>5142.6298287566251</v>
      </c>
      <c r="E9" s="129">
        <f>'Trend Adjusted ES'!I23</f>
        <v>51038609.595581479</v>
      </c>
      <c r="F9" s="130">
        <f>'Trend Adjusted ES'!J23</f>
        <v>4.6695153686883255E-2</v>
      </c>
      <c r="G9" s="131">
        <f>'Trend Adjusted ES'!F21</f>
        <v>121620.43150065519</v>
      </c>
      <c r="H9" s="132">
        <f>'Trend Adjusted ES'!B8</f>
        <v>0.3</v>
      </c>
      <c r="I9" s="132">
        <f>'Trend Adjusted ES'!B9</f>
        <v>0.4</v>
      </c>
      <c r="J9" s="123"/>
      <c r="K9" s="133"/>
      <c r="L9" s="93"/>
    </row>
    <row r="10" spans="2:12" ht="19" thickBot="1">
      <c r="B10" s="92"/>
      <c r="C10" s="142" t="s">
        <v>117</v>
      </c>
      <c r="D10" s="134">
        <f>'Exponential Smoothing'!F23</f>
        <v>7705.5092777777754</v>
      </c>
      <c r="E10" s="134">
        <f>'Exponential Smoothing'!G23</f>
        <v>106115281.60215408</v>
      </c>
      <c r="F10" s="135">
        <f>'Exponential Smoothing'!H23</f>
        <v>6.9401452018221441E-2</v>
      </c>
      <c r="G10" s="136">
        <f>'Exponential Smoothing'!B26</f>
        <v>110804.87505</v>
      </c>
      <c r="H10" s="137">
        <f>'Exponential Smoothing'!B10</f>
        <v>0.3</v>
      </c>
      <c r="I10" s="137"/>
      <c r="J10" s="137"/>
      <c r="K10" s="138"/>
      <c r="L10" s="93"/>
    </row>
    <row r="11" spans="2:12" ht="15" thickBot="1">
      <c r="B11" s="92"/>
      <c r="C11" s="139"/>
      <c r="D11" s="139"/>
      <c r="E11" s="139"/>
      <c r="F11" s="139"/>
      <c r="G11" s="139"/>
      <c r="H11" s="139"/>
      <c r="I11" s="139"/>
      <c r="J11" s="139"/>
      <c r="K11" s="139"/>
      <c r="L11" s="93"/>
    </row>
    <row r="12" spans="2:12" ht="19" thickBot="1">
      <c r="B12" s="92"/>
      <c r="C12" s="215" t="s">
        <v>105</v>
      </c>
      <c r="D12" s="216"/>
      <c r="E12" s="216"/>
      <c r="F12" s="216"/>
      <c r="G12" s="216"/>
      <c r="H12" s="216"/>
      <c r="I12" s="216"/>
      <c r="J12" s="216"/>
      <c r="K12" s="217"/>
      <c r="L12" s="93"/>
    </row>
    <row r="13" spans="2:12" ht="19" customHeight="1" thickBot="1">
      <c r="B13" s="94"/>
      <c r="C13" s="140"/>
      <c r="D13" s="140"/>
      <c r="E13" s="140"/>
      <c r="F13" s="140"/>
      <c r="G13" s="140"/>
      <c r="H13" s="140"/>
      <c r="I13" s="140"/>
      <c r="J13" s="140"/>
      <c r="K13" s="140"/>
      <c r="L13" s="95"/>
    </row>
  </sheetData>
  <mergeCells count="2">
    <mergeCell ref="C3:K3"/>
    <mergeCell ref="C12:K12"/>
  </mergeCells>
  <conditionalFormatting sqref="D5:D10">
    <cfRule type="top10" dxfId="3" priority="4" bottom="1" rank="1"/>
  </conditionalFormatting>
  <conditionalFormatting sqref="E5:E10">
    <cfRule type="top10" dxfId="2" priority="3" bottom="1" rank="1"/>
  </conditionalFormatting>
  <conditionalFormatting sqref="D5:K10">
    <cfRule type="expression" dxfId="1" priority="5">
      <formula>MOD(ROW(),2)=1</formula>
    </cfRule>
  </conditionalFormatting>
  <conditionalFormatting sqref="F5:F10">
    <cfRule type="top10" dxfId="0" priority="1" bottom="1" rank="1"/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25" transitionEvaluation="1" enableFormatConditionsCalculation="0">
    <pageSetUpPr fitToPage="1"/>
  </sheetPr>
  <dimension ref="A1:R158"/>
  <sheetViews>
    <sheetView showGridLines="0" topLeftCell="A25" zoomScale="125" zoomScaleNormal="125" zoomScalePageLayoutView="125" workbookViewId="0">
      <selection activeCell="D33" sqref="D33"/>
    </sheetView>
  </sheetViews>
  <sheetFormatPr baseColWidth="10" defaultColWidth="9.6640625" defaultRowHeight="12" x14ac:dyDescent="0"/>
  <cols>
    <col min="1" max="1" width="19.83203125" customWidth="1"/>
    <col min="2" max="2" width="13.5" customWidth="1"/>
    <col min="3" max="3" width="15" customWidth="1"/>
    <col min="4" max="4" width="18.6640625" customWidth="1"/>
    <col min="5" max="6" width="31.5" bestFit="1" customWidth="1"/>
    <col min="7" max="7" width="24.33203125" bestFit="1" customWidth="1"/>
    <col min="8" max="8" width="16.5" customWidth="1"/>
    <col min="9" max="9" width="28.1640625" customWidth="1"/>
    <col min="10" max="10" width="16.33203125" bestFit="1" customWidth="1"/>
    <col min="11" max="11" width="24.33203125" bestFit="1" customWidth="1"/>
    <col min="12" max="12" width="21.33203125" style="10" bestFit="1" customWidth="1"/>
    <col min="15" max="15" width="12.83203125" customWidth="1"/>
  </cols>
  <sheetData>
    <row r="1" spans="1:14">
      <c r="A1" s="226" t="s">
        <v>32</v>
      </c>
      <c r="B1" s="226"/>
      <c r="C1" s="226"/>
      <c r="D1" s="226"/>
      <c r="E1" s="226"/>
      <c r="F1" s="226"/>
      <c r="G1" s="226"/>
      <c r="H1" s="226"/>
      <c r="I1" s="226"/>
      <c r="J1" s="226"/>
      <c r="K1" s="226"/>
      <c r="L1" s="226"/>
    </row>
    <row r="2" spans="1:14" ht="13" thickBot="1">
      <c r="A2" s="227"/>
      <c r="B2" s="227"/>
      <c r="C2" s="227"/>
      <c r="D2" s="227"/>
      <c r="E2" s="227"/>
      <c r="F2" s="227"/>
      <c r="G2" s="227"/>
      <c r="H2" s="227"/>
      <c r="I2" s="227"/>
      <c r="J2" s="227"/>
      <c r="K2" s="227"/>
      <c r="L2" s="227"/>
    </row>
    <row r="3" spans="1:14" ht="12.75" customHeight="1" thickTop="1">
      <c r="A3" s="4" t="s">
        <v>0</v>
      </c>
      <c r="B3" s="4"/>
      <c r="C3" s="2" t="s">
        <v>46</v>
      </c>
      <c r="D3" s="221" t="s">
        <v>35</v>
      </c>
      <c r="E3" s="221" t="s">
        <v>55</v>
      </c>
      <c r="F3" s="222" t="s">
        <v>3</v>
      </c>
      <c r="G3" s="224" t="s">
        <v>9</v>
      </c>
      <c r="H3" s="224" t="s">
        <v>31</v>
      </c>
      <c r="I3" s="222" t="s">
        <v>24</v>
      </c>
      <c r="J3" s="222" t="s">
        <v>25</v>
      </c>
      <c r="K3" s="11" t="s">
        <v>14</v>
      </c>
      <c r="L3"/>
      <c r="N3" s="223"/>
    </row>
    <row r="4" spans="1:14">
      <c r="A4" s="5" t="s">
        <v>36</v>
      </c>
      <c r="B4" s="5" t="s">
        <v>34</v>
      </c>
      <c r="C4" s="3" t="s">
        <v>47</v>
      </c>
      <c r="D4" s="221"/>
      <c r="E4" s="221"/>
      <c r="F4" s="222"/>
      <c r="G4" s="225"/>
      <c r="H4" s="225"/>
      <c r="I4" s="222"/>
      <c r="J4" s="222"/>
      <c r="K4" s="25">
        <v>0.4</v>
      </c>
      <c r="L4"/>
      <c r="N4" s="223"/>
    </row>
    <row r="5" spans="1:14">
      <c r="A5" s="8" t="s">
        <v>37</v>
      </c>
      <c r="B5" s="39">
        <v>1</v>
      </c>
      <c r="C5" s="1">
        <v>90000</v>
      </c>
      <c r="D5" s="14" t="s">
        <v>2</v>
      </c>
      <c r="E5" s="15" t="s">
        <v>2</v>
      </c>
      <c r="F5" s="7">
        <f>A17</f>
        <v>1.0405692465778305</v>
      </c>
      <c r="G5" s="26">
        <f>C5/F5</f>
        <v>86491.120409321418</v>
      </c>
      <c r="H5" s="27">
        <f>G5</f>
        <v>86491.120409321418</v>
      </c>
      <c r="K5" s="11" t="s">
        <v>10</v>
      </c>
      <c r="L5"/>
    </row>
    <row r="6" spans="1:14">
      <c r="A6" s="8" t="s">
        <v>38</v>
      </c>
      <c r="B6" s="39">
        <v>2</v>
      </c>
      <c r="C6" s="1">
        <v>95000</v>
      </c>
      <c r="D6" s="13">
        <f>AVERAGE(C5:C6)</f>
        <v>92500</v>
      </c>
      <c r="E6" s="6">
        <f>C6/D6</f>
        <v>1.027027027027027</v>
      </c>
      <c r="F6" s="7">
        <f>A18</f>
        <v>1.0003093341582243</v>
      </c>
      <c r="G6" s="26">
        <f t="shared" ref="G6:G13" si="0">C6/F6</f>
        <v>94970.622342481642</v>
      </c>
      <c r="H6" s="27">
        <f t="shared" ref="H6:H14" si="1">$K$6*G5+(1-$K$6)*H5</f>
        <v>86491.120409321418</v>
      </c>
      <c r="I6" s="37">
        <f>ABS(G6-H6)</f>
        <v>8479.5019331602234</v>
      </c>
      <c r="J6" s="36">
        <f>ABS(G6-H6)/G6</f>
        <v>8.9285525607925048E-2</v>
      </c>
      <c r="K6" s="34">
        <v>0.3</v>
      </c>
      <c r="L6"/>
    </row>
    <row r="7" spans="1:14">
      <c r="A7" s="8" t="s">
        <v>39</v>
      </c>
      <c r="B7" s="39">
        <v>3</v>
      </c>
      <c r="C7" s="1">
        <v>98000</v>
      </c>
      <c r="D7" s="13">
        <f t="shared" ref="D7:D13" si="2">AVERAGE(C6:C7)</f>
        <v>96500</v>
      </c>
      <c r="E7" s="6">
        <f t="shared" ref="E7:E13" si="3">C7/D7</f>
        <v>1.0155440414507773</v>
      </c>
      <c r="F7" s="7">
        <f>A19</f>
        <v>1.0386241626680603</v>
      </c>
      <c r="G7" s="26">
        <f t="shared" si="0"/>
        <v>94355.594181685112</v>
      </c>
      <c r="H7" s="27">
        <f t="shared" si="1"/>
        <v>89034.970989269481</v>
      </c>
      <c r="I7" s="37">
        <f t="shared" ref="I7:I13" si="4">ABS(G7-H7)</f>
        <v>5320.6231924156309</v>
      </c>
      <c r="J7" s="36">
        <f t="shared" ref="J7:J12" si="5">ABS(G7-H7)/G7</f>
        <v>5.6389059266274966E-2</v>
      </c>
      <c r="K7" s="21" t="s">
        <v>11</v>
      </c>
      <c r="L7"/>
    </row>
    <row r="8" spans="1:14">
      <c r="A8" s="8" t="s">
        <v>40</v>
      </c>
      <c r="B8" s="39">
        <v>4</v>
      </c>
      <c r="C8" s="1">
        <v>96000</v>
      </c>
      <c r="D8" s="13">
        <f t="shared" si="2"/>
        <v>97000</v>
      </c>
      <c r="E8" s="6">
        <f t="shared" si="3"/>
        <v>0.98969072164948457</v>
      </c>
      <c r="F8" s="7">
        <f>A16</f>
        <v>0.97502157227848674</v>
      </c>
      <c r="G8" s="26">
        <f t="shared" si="0"/>
        <v>98459.360007452604</v>
      </c>
      <c r="H8" s="27">
        <f t="shared" si="1"/>
        <v>90631.157946994164</v>
      </c>
      <c r="I8" s="37">
        <f t="shared" si="4"/>
        <v>7828.2020604584395</v>
      </c>
      <c r="J8" s="36">
        <f>ABS(G8-H8)/G8</f>
        <v>7.9506936261477895E-2</v>
      </c>
      <c r="K8" s="35">
        <f>SUMXMY2(G5:G13,H5:H13)/COUNT(G5:G13)</f>
        <v>95017629.915379792</v>
      </c>
      <c r="L8"/>
    </row>
    <row r="9" spans="1:14">
      <c r="A9" s="8" t="s">
        <v>41</v>
      </c>
      <c r="B9" s="39">
        <v>5</v>
      </c>
      <c r="C9" s="1">
        <v>102000</v>
      </c>
      <c r="D9" s="13">
        <f t="shared" si="2"/>
        <v>99000</v>
      </c>
      <c r="E9" s="6">
        <f t="shared" si="3"/>
        <v>1.0303030303030303</v>
      </c>
      <c r="F9" s="7">
        <f>A17</f>
        <v>1.0405692465778305</v>
      </c>
      <c r="G9" s="26">
        <f t="shared" si="0"/>
        <v>98023.26979723094</v>
      </c>
      <c r="H9" s="27">
        <f t="shared" si="1"/>
        <v>92979.618565131692</v>
      </c>
      <c r="I9" s="37">
        <f t="shared" si="4"/>
        <v>5043.6512320992479</v>
      </c>
      <c r="J9" s="36">
        <f t="shared" si="5"/>
        <v>5.1453611397910395E-2</v>
      </c>
      <c r="K9" s="11" t="s">
        <v>12</v>
      </c>
      <c r="L9"/>
    </row>
    <row r="10" spans="1:14">
      <c r="A10" s="8" t="s">
        <v>42</v>
      </c>
      <c r="B10" s="39">
        <v>6</v>
      </c>
      <c r="C10" s="1">
        <v>99000</v>
      </c>
      <c r="D10" s="13">
        <f t="shared" si="2"/>
        <v>100500</v>
      </c>
      <c r="E10" s="6">
        <f t="shared" si="3"/>
        <v>0.9850746268656716</v>
      </c>
      <c r="F10" s="7">
        <f>A18</f>
        <v>1.0003093341582243</v>
      </c>
      <c r="G10" s="26">
        <f t="shared" si="0"/>
        <v>98969.385388480878</v>
      </c>
      <c r="H10" s="27">
        <f t="shared" si="1"/>
        <v>94492.713934761457</v>
      </c>
      <c r="I10" s="37">
        <f t="shared" si="4"/>
        <v>4476.6714537194202</v>
      </c>
      <c r="J10" s="36">
        <f t="shared" si="5"/>
        <v>4.5232891324395993E-2</v>
      </c>
      <c r="K10" s="148">
        <f>AVERAGE(J6:J13)</f>
        <v>8.7205390005199113E-2</v>
      </c>
      <c r="L10"/>
    </row>
    <row r="11" spans="1:14">
      <c r="A11" s="8" t="s">
        <v>43</v>
      </c>
      <c r="B11" s="39">
        <v>7</v>
      </c>
      <c r="C11" s="1">
        <v>118000</v>
      </c>
      <c r="D11" s="13">
        <f t="shared" si="2"/>
        <v>108500</v>
      </c>
      <c r="E11" s="6">
        <f t="shared" si="3"/>
        <v>1.0875576036866359</v>
      </c>
      <c r="F11" s="7">
        <f>A19</f>
        <v>1.0386241626680603</v>
      </c>
      <c r="G11" s="26">
        <f t="shared" si="0"/>
        <v>113611.83789223309</v>
      </c>
      <c r="H11" s="27">
        <f t="shared" si="1"/>
        <v>95835.715370877282</v>
      </c>
      <c r="I11" s="37">
        <f t="shared" si="4"/>
        <v>17776.122521355806</v>
      </c>
      <c r="J11" s="36">
        <f t="shared" si="5"/>
        <v>0.15646364719684766</v>
      </c>
      <c r="K11" s="11" t="s">
        <v>13</v>
      </c>
      <c r="L11"/>
    </row>
    <row r="12" spans="1:14">
      <c r="A12" s="8" t="s">
        <v>44</v>
      </c>
      <c r="B12" s="39">
        <v>8</v>
      </c>
      <c r="C12" s="1">
        <v>109000</v>
      </c>
      <c r="D12" s="13">
        <f t="shared" si="2"/>
        <v>113500</v>
      </c>
      <c r="E12" s="6">
        <f t="shared" si="3"/>
        <v>0.96035242290748901</v>
      </c>
      <c r="F12" s="7">
        <f>A16</f>
        <v>0.97502157227848674</v>
      </c>
      <c r="G12" s="26">
        <f t="shared" si="0"/>
        <v>111792.39834179515</v>
      </c>
      <c r="H12" s="27">
        <f t="shared" si="1"/>
        <v>101168.55212728403</v>
      </c>
      <c r="I12" s="37">
        <f t="shared" si="4"/>
        <v>10623.846214511126</v>
      </c>
      <c r="J12" s="36">
        <f t="shared" si="5"/>
        <v>9.5031919630435668E-2</v>
      </c>
      <c r="K12" s="11">
        <f>AVERAGE(I6:I13)</f>
        <v>9294.8070363934494</v>
      </c>
      <c r="L12"/>
    </row>
    <row r="13" spans="1:14">
      <c r="A13" s="8" t="s">
        <v>45</v>
      </c>
      <c r="B13" s="39">
        <v>9</v>
      </c>
      <c r="C13" s="1">
        <v>124000</v>
      </c>
      <c r="D13" s="13">
        <f t="shared" si="2"/>
        <v>116500</v>
      </c>
      <c r="E13" s="6">
        <f t="shared" si="3"/>
        <v>1.0643776824034334</v>
      </c>
      <c r="F13" s="7">
        <f>A17</f>
        <v>1.0405692465778305</v>
      </c>
      <c r="G13" s="26">
        <f t="shared" si="0"/>
        <v>119165.54367506506</v>
      </c>
      <c r="H13" s="27">
        <f t="shared" si="1"/>
        <v>104355.70599163735</v>
      </c>
      <c r="I13" s="37">
        <f t="shared" si="4"/>
        <v>14809.837683427701</v>
      </c>
      <c r="J13" s="36">
        <f>ABS(G13-H13)/G13</f>
        <v>0.12427952935632521</v>
      </c>
      <c r="K13" s="22" t="s">
        <v>111</v>
      </c>
      <c r="L13"/>
    </row>
    <row r="14" spans="1:14">
      <c r="A14" s="46" t="s">
        <v>48</v>
      </c>
      <c r="B14" s="9"/>
      <c r="C14" s="1"/>
      <c r="E14" s="6"/>
      <c r="G14" s="28"/>
      <c r="H14" s="45">
        <f t="shared" si="1"/>
        <v>108798.65729666565</v>
      </c>
      <c r="I14" s="20"/>
      <c r="K14" s="149">
        <f>CORREL(B5:B13,_SER1)</f>
        <v>0.89149631286483444</v>
      </c>
      <c r="L14"/>
    </row>
    <row r="15" spans="1:14" ht="14">
      <c r="A15" s="30" t="s">
        <v>8</v>
      </c>
      <c r="B15" s="16" t="str">
        <f>CONCATENATE("Quarter", "/", "Year")</f>
        <v>Quarter/Year</v>
      </c>
      <c r="C15" s="39">
        <v>2007</v>
      </c>
      <c r="D15" s="39">
        <v>2008</v>
      </c>
      <c r="E15" s="39">
        <v>2009</v>
      </c>
      <c r="F15" s="24"/>
      <c r="J15" s="20"/>
      <c r="K15" s="147" t="s">
        <v>110</v>
      </c>
      <c r="L15" s="12"/>
      <c r="M15" s="23"/>
    </row>
    <row r="16" spans="1:14">
      <c r="A16" s="20">
        <f>AVERAGE(D16:E16)</f>
        <v>0.97502157227848674</v>
      </c>
      <c r="B16" s="16" t="s">
        <v>4</v>
      </c>
      <c r="C16" s="17" t="str">
        <f>E5</f>
        <v>-----</v>
      </c>
      <c r="D16" s="16">
        <f>E8</f>
        <v>0.98969072164948457</v>
      </c>
      <c r="E16" s="17">
        <f>E12</f>
        <v>0.96035242290748901</v>
      </c>
      <c r="F16" s="19"/>
      <c r="J16" s="20"/>
      <c r="K16" s="150">
        <f>K14*K14</f>
        <v>0.79476567585159474</v>
      </c>
      <c r="L16" s="12"/>
      <c r="M16" s="23"/>
    </row>
    <row r="17" spans="1:13" ht="17" thickBot="1">
      <c r="A17" s="20">
        <f>AVERAGE(C17:E17)</f>
        <v>1.0405692465778305</v>
      </c>
      <c r="B17" s="16" t="s">
        <v>5</v>
      </c>
      <c r="C17" s="17">
        <f>E6</f>
        <v>1.027027027027027</v>
      </c>
      <c r="D17" s="16">
        <f>E9</f>
        <v>1.0303030303030303</v>
      </c>
      <c r="E17" s="17">
        <f>E13</f>
        <v>1.0643776824034334</v>
      </c>
      <c r="F17" s="19"/>
      <c r="J17" s="218" t="s">
        <v>33</v>
      </c>
      <c r="K17" s="218"/>
      <c r="L17" s="218"/>
      <c r="M17" s="23"/>
    </row>
    <row r="18" spans="1:13" ht="13" thickTop="1">
      <c r="A18" s="20">
        <f>AVERAGE(C18:D18)</f>
        <v>1.0003093341582243</v>
      </c>
      <c r="B18" s="16" t="s">
        <v>6</v>
      </c>
      <c r="C18" s="17">
        <f>E7</f>
        <v>1.0155440414507773</v>
      </c>
      <c r="D18" s="16">
        <f>E10</f>
        <v>0.9850746268656716</v>
      </c>
      <c r="E18" s="18" t="s">
        <v>2</v>
      </c>
      <c r="F18" s="19"/>
      <c r="J18" s="28">
        <f>$H$14*A18</f>
        <v>108832.31243773646</v>
      </c>
      <c r="K18" s="12" t="s">
        <v>49</v>
      </c>
      <c r="L18" s="23">
        <v>2009</v>
      </c>
      <c r="M18" s="23"/>
    </row>
    <row r="19" spans="1:13">
      <c r="A19" s="20">
        <f>AVERAGE(C19:D19)</f>
        <v>1.0386241626680603</v>
      </c>
      <c r="B19" s="16" t="s">
        <v>7</v>
      </c>
      <c r="C19" s="17">
        <f>E8</f>
        <v>0.98969072164948457</v>
      </c>
      <c r="D19" s="16">
        <f>E11</f>
        <v>1.0875576036866359</v>
      </c>
      <c r="E19" s="18" t="s">
        <v>2</v>
      </c>
      <c r="F19" s="19"/>
      <c r="J19" s="28">
        <f>$H$14*A19</f>
        <v>113000.91433415862</v>
      </c>
      <c r="K19" s="12" t="s">
        <v>50</v>
      </c>
      <c r="L19" s="23">
        <v>2009</v>
      </c>
      <c r="M19" s="23"/>
    </row>
    <row r="20" spans="1:13">
      <c r="A20" s="20"/>
      <c r="B20" s="16"/>
      <c r="C20" s="17"/>
      <c r="D20" s="16"/>
      <c r="E20" s="17"/>
      <c r="F20" s="19"/>
      <c r="J20" s="28">
        <f>$H$14*A16</f>
        <v>106081.0378991832</v>
      </c>
      <c r="K20" s="12" t="s">
        <v>51</v>
      </c>
      <c r="L20" s="23">
        <v>2010</v>
      </c>
      <c r="M20" s="23"/>
    </row>
    <row r="21" spans="1:13">
      <c r="A21" s="20"/>
      <c r="B21" s="16"/>
      <c r="C21" s="17"/>
      <c r="D21" s="16"/>
      <c r="E21" s="17"/>
      <c r="F21" s="19"/>
      <c r="J21" s="28">
        <f>$H$14*A17</f>
        <v>113212.53685187096</v>
      </c>
      <c r="K21" s="12" t="s">
        <v>52</v>
      </c>
      <c r="L21" s="23">
        <v>2010</v>
      </c>
      <c r="M21" s="23"/>
    </row>
    <row r="22" spans="1:13">
      <c r="A22" s="20"/>
      <c r="B22" s="16"/>
      <c r="C22" s="17"/>
      <c r="D22" s="16"/>
      <c r="E22" s="17"/>
      <c r="F22" s="19"/>
      <c r="J22" s="28"/>
      <c r="K22" s="12"/>
      <c r="L22" s="23"/>
      <c r="M22" s="23"/>
    </row>
    <row r="23" spans="1:13">
      <c r="A23" s="20"/>
      <c r="B23" s="16"/>
      <c r="C23" s="17"/>
      <c r="D23" s="16"/>
      <c r="E23" s="17"/>
      <c r="F23" s="19"/>
      <c r="J23" s="28"/>
      <c r="K23" s="12"/>
      <c r="L23" s="23"/>
      <c r="M23" s="23"/>
    </row>
    <row r="24" spans="1:13">
      <c r="A24" s="20"/>
      <c r="B24" s="16"/>
      <c r="C24" s="17"/>
      <c r="D24" s="16"/>
      <c r="E24" s="17"/>
      <c r="F24" s="19"/>
      <c r="J24" s="28"/>
      <c r="K24" s="12"/>
      <c r="L24" s="23"/>
      <c r="M24" s="23"/>
    </row>
    <row r="25" spans="1:13">
      <c r="A25" s="20"/>
      <c r="B25" s="16"/>
      <c r="C25" s="17"/>
      <c r="D25" s="16"/>
      <c r="E25" s="17"/>
      <c r="F25" s="19"/>
      <c r="J25" s="28"/>
      <c r="K25" s="12"/>
      <c r="L25" s="23"/>
      <c r="M25" s="23"/>
    </row>
    <row r="26" spans="1:13">
      <c r="A26" s="20"/>
      <c r="B26" s="16"/>
      <c r="C26" s="17"/>
      <c r="D26" s="16"/>
      <c r="E26" s="17"/>
      <c r="F26" s="19"/>
      <c r="J26" s="28"/>
      <c r="K26" s="12"/>
      <c r="L26" s="23"/>
      <c r="M26" s="23"/>
    </row>
    <row r="27" spans="1:13">
      <c r="A27" s="20"/>
      <c r="B27" s="16"/>
      <c r="C27" s="17"/>
      <c r="D27" s="16"/>
      <c r="E27" s="17"/>
      <c r="F27" s="19"/>
      <c r="J27" s="28"/>
      <c r="K27" s="12"/>
      <c r="L27" s="23"/>
    </row>
    <row r="28" spans="1:13" ht="13" thickBot="1">
      <c r="A28" s="220" t="s">
        <v>100</v>
      </c>
      <c r="B28" s="220"/>
      <c r="C28" s="220"/>
      <c r="D28" s="220"/>
      <c r="E28" s="220"/>
      <c r="F28" s="220"/>
      <c r="G28" s="220"/>
      <c r="H28" s="220"/>
      <c r="J28" s="28"/>
      <c r="K28" s="12"/>
      <c r="L28" s="23"/>
    </row>
    <row r="29" spans="1:13" ht="14" thickTop="1" thickBot="1">
      <c r="A29" s="220"/>
      <c r="B29" s="220"/>
      <c r="C29" s="220"/>
      <c r="D29" s="220"/>
      <c r="E29" s="220"/>
      <c r="F29" s="220"/>
      <c r="G29" s="220"/>
      <c r="H29" s="220"/>
      <c r="J29" s="28"/>
      <c r="K29" s="12"/>
      <c r="L29" s="23"/>
    </row>
    <row r="30" spans="1:13" ht="13" thickTop="1">
      <c r="A30" s="4"/>
      <c r="B30" s="4"/>
      <c r="C30" s="48"/>
      <c r="D30" s="98"/>
      <c r="E30" s="219" t="s">
        <v>29</v>
      </c>
      <c r="F30" s="219" t="s">
        <v>29</v>
      </c>
    </row>
    <row r="31" spans="1:13" ht="36">
      <c r="A31" s="47" t="s">
        <v>107</v>
      </c>
      <c r="B31" s="5" t="s">
        <v>0</v>
      </c>
      <c r="C31" s="47" t="s">
        <v>106</v>
      </c>
      <c r="D31" s="97" t="s">
        <v>15</v>
      </c>
      <c r="E31" s="219"/>
      <c r="F31" s="219"/>
      <c r="G31" s="40" t="s">
        <v>27</v>
      </c>
    </row>
    <row r="32" spans="1:13">
      <c r="A32" s="8" t="s">
        <v>37</v>
      </c>
      <c r="B32" s="39">
        <v>1</v>
      </c>
      <c r="C32" s="99">
        <f t="shared" ref="C32:C40" si="6">G5</f>
        <v>86491.120409321418</v>
      </c>
      <c r="D32" s="100">
        <f>3669.8*B32+83411</f>
        <v>87080.8</v>
      </c>
      <c r="E32" s="101">
        <f>ABS(C32-D32)</f>
        <v>589.67959067858465</v>
      </c>
      <c r="F32" s="232">
        <f>ABS(C32-D32)/C32</f>
        <v>6.8178049710526474E-3</v>
      </c>
      <c r="G32" s="19">
        <f>AVERAGE(E32:E40)</f>
        <v>2628.4884220798735</v>
      </c>
    </row>
    <row r="33" spans="1:7">
      <c r="A33" s="8" t="s">
        <v>38</v>
      </c>
      <c r="B33" s="39">
        <v>2</v>
      </c>
      <c r="C33" s="99">
        <f t="shared" si="6"/>
        <v>94970.622342481642</v>
      </c>
      <c r="D33" s="100">
        <f t="shared" ref="D33:D41" si="7">3669.8*B33+83411</f>
        <v>90750.6</v>
      </c>
      <c r="E33" s="101">
        <f t="shared" ref="E33:E39" si="8">ABS(C33-D33)</f>
        <v>4220.0223424816359</v>
      </c>
      <c r="F33" s="232">
        <f t="shared" ref="F33:F40" si="9">ABS(C33-D33)/C33</f>
        <v>4.4435028837269845E-2</v>
      </c>
      <c r="G33" s="41" t="s">
        <v>28</v>
      </c>
    </row>
    <row r="34" spans="1:7">
      <c r="A34" s="8" t="s">
        <v>39</v>
      </c>
      <c r="B34" s="39">
        <v>3</v>
      </c>
      <c r="C34" s="99">
        <f t="shared" si="6"/>
        <v>94355.594181685112</v>
      </c>
      <c r="D34" s="100">
        <f t="shared" si="7"/>
        <v>94420.4</v>
      </c>
      <c r="E34" s="101">
        <f t="shared" si="8"/>
        <v>64.805818314882345</v>
      </c>
      <c r="F34" s="232">
        <f>ABS(C34-D34)/C34</f>
        <v>6.8682539574809311E-4</v>
      </c>
      <c r="G34" s="44">
        <f>AVERAGE(F32:F40)</f>
        <v>2.5602343214191952E-2</v>
      </c>
    </row>
    <row r="35" spans="1:7">
      <c r="A35" s="8" t="s">
        <v>40</v>
      </c>
      <c r="B35" s="39">
        <v>4</v>
      </c>
      <c r="C35" s="99">
        <f t="shared" si="6"/>
        <v>98459.360007452604</v>
      </c>
      <c r="D35" s="100">
        <f t="shared" si="7"/>
        <v>98090.2</v>
      </c>
      <c r="E35" s="101">
        <f t="shared" si="8"/>
        <v>369.16000745260681</v>
      </c>
      <c r="F35" s="232">
        <f t="shared" si="9"/>
        <v>3.7493642800914438E-3</v>
      </c>
      <c r="G35" s="22" t="s">
        <v>30</v>
      </c>
    </row>
    <row r="36" spans="1:7">
      <c r="A36" s="8" t="s">
        <v>41</v>
      </c>
      <c r="B36" s="39">
        <v>5</v>
      </c>
      <c r="C36" s="99">
        <f t="shared" si="6"/>
        <v>98023.26979723094</v>
      </c>
      <c r="D36" s="100">
        <f t="shared" si="7"/>
        <v>101760</v>
      </c>
      <c r="E36" s="101">
        <f t="shared" si="8"/>
        <v>3736.7302027690603</v>
      </c>
      <c r="F36" s="232">
        <f t="shared" si="9"/>
        <v>3.8120848350588474E-2</v>
      </c>
      <c r="G36" s="42">
        <f>SUMXMY2(C32:C40,D32:D40)/COUNT(C32:C40)</f>
        <v>11416074.658635495</v>
      </c>
    </row>
    <row r="37" spans="1:7">
      <c r="A37" s="8" t="s">
        <v>42</v>
      </c>
      <c r="B37" s="39">
        <v>6</v>
      </c>
      <c r="C37" s="99">
        <f t="shared" si="6"/>
        <v>98969.385388480878</v>
      </c>
      <c r="D37" s="100">
        <f t="shared" si="7"/>
        <v>105429.8</v>
      </c>
      <c r="E37" s="101">
        <f t="shared" si="8"/>
        <v>6460.4146115191252</v>
      </c>
      <c r="F37" s="232">
        <f t="shared" si="9"/>
        <v>6.5276899378128889E-2</v>
      </c>
      <c r="G37" s="22" t="s">
        <v>111</v>
      </c>
    </row>
    <row r="38" spans="1:7">
      <c r="A38" s="8" t="s">
        <v>43</v>
      </c>
      <c r="B38" s="39">
        <v>7</v>
      </c>
      <c r="C38" s="99">
        <f t="shared" si="6"/>
        <v>113611.83789223309</v>
      </c>
      <c r="D38" s="100">
        <f t="shared" si="7"/>
        <v>109099.6</v>
      </c>
      <c r="E38" s="101">
        <f t="shared" si="8"/>
        <v>4512.2378922330827</v>
      </c>
      <c r="F38" s="232">
        <f t="shared" si="9"/>
        <v>3.9716265276098971E-2</v>
      </c>
      <c r="G38">
        <f>CORREL(B32:B40,C32:C40)</f>
        <v>0.94190739007400914</v>
      </c>
    </row>
    <row r="39" spans="1:7" ht="14">
      <c r="A39" s="8" t="s">
        <v>44</v>
      </c>
      <c r="B39" s="39">
        <v>8</v>
      </c>
      <c r="C39" s="99">
        <f t="shared" si="6"/>
        <v>111792.39834179515</v>
      </c>
      <c r="D39" s="100">
        <f t="shared" si="7"/>
        <v>112769.4</v>
      </c>
      <c r="E39" s="101">
        <f t="shared" si="8"/>
        <v>977.00165820484108</v>
      </c>
      <c r="F39" s="232">
        <f t="shared" si="9"/>
        <v>8.7394283752437879E-3</v>
      </c>
      <c r="G39" s="146" t="s">
        <v>110</v>
      </c>
    </row>
    <row r="40" spans="1:7">
      <c r="A40" s="8" t="s">
        <v>45</v>
      </c>
      <c r="B40" s="39">
        <v>9</v>
      </c>
      <c r="C40" s="99">
        <f t="shared" si="6"/>
        <v>119165.54367506506</v>
      </c>
      <c r="D40" s="100">
        <f t="shared" si="7"/>
        <v>116439.20000000001</v>
      </c>
      <c r="E40" s="101">
        <f>ABS(C40-D40)</f>
        <v>2726.3436750650435</v>
      </c>
      <c r="F40" s="232">
        <f t="shared" si="9"/>
        <v>2.2878624063505371E-2</v>
      </c>
      <c r="G40">
        <f>G38*G38</f>
        <v>0.88718953147603163</v>
      </c>
    </row>
    <row r="41" spans="1:7">
      <c r="A41" s="143" t="s">
        <v>48</v>
      </c>
      <c r="B41" s="144">
        <v>10</v>
      </c>
      <c r="C41" s="99"/>
      <c r="D41" s="145">
        <f t="shared" si="7"/>
        <v>120109</v>
      </c>
      <c r="E41" s="101"/>
      <c r="F41" s="102"/>
    </row>
    <row r="42" spans="1:7">
      <c r="A42" s="8"/>
      <c r="B42" s="39"/>
      <c r="C42" s="43"/>
      <c r="D42" s="38"/>
      <c r="E42" s="1"/>
      <c r="F42" s="36"/>
    </row>
    <row r="43" spans="1:7">
      <c r="A43" s="8"/>
      <c r="B43" s="39"/>
      <c r="C43" s="43"/>
      <c r="D43" s="38"/>
      <c r="E43" s="1"/>
      <c r="F43" s="36"/>
    </row>
    <row r="44" spans="1:7">
      <c r="A44" s="8"/>
      <c r="B44" s="39"/>
      <c r="C44" s="43"/>
      <c r="D44" s="38"/>
      <c r="E44" s="1"/>
      <c r="F44" s="36"/>
    </row>
    <row r="45" spans="1:7">
      <c r="A45" s="8"/>
      <c r="B45" s="39"/>
      <c r="C45" s="43"/>
      <c r="D45" s="38"/>
      <c r="E45" s="1"/>
      <c r="F45" s="36"/>
    </row>
    <row r="46" spans="1:7">
      <c r="A46" s="8"/>
      <c r="B46" s="39"/>
      <c r="C46" s="43"/>
      <c r="D46" s="38"/>
      <c r="E46" s="1"/>
      <c r="F46" s="36"/>
    </row>
    <row r="47" spans="1:7">
      <c r="A47" s="8"/>
      <c r="B47" s="39"/>
      <c r="C47" s="43"/>
      <c r="D47" s="38"/>
      <c r="E47" s="1"/>
      <c r="F47" s="36"/>
    </row>
    <row r="48" spans="1:7">
      <c r="A48" s="8"/>
      <c r="B48" s="39"/>
      <c r="C48" s="43"/>
      <c r="D48" s="38"/>
      <c r="E48" s="1"/>
      <c r="F48" s="36"/>
    </row>
    <row r="49" spans="1:18">
      <c r="A49" s="8"/>
      <c r="B49" s="39"/>
      <c r="C49" s="43"/>
      <c r="D49" s="38"/>
      <c r="E49" s="1"/>
      <c r="F49" s="36"/>
    </row>
    <row r="50" spans="1:18">
      <c r="A50" s="8"/>
      <c r="B50" s="39"/>
      <c r="C50" s="43"/>
      <c r="D50" s="38"/>
      <c r="E50" s="1"/>
      <c r="F50" s="36"/>
    </row>
    <row r="51" spans="1:18">
      <c r="A51" s="8"/>
      <c r="B51" s="39"/>
      <c r="C51" s="43"/>
      <c r="D51" s="38"/>
      <c r="E51" s="1"/>
      <c r="F51" s="36"/>
    </row>
    <row r="52" spans="1:18">
      <c r="A52" s="8"/>
      <c r="B52" s="39"/>
      <c r="C52" s="43"/>
      <c r="D52" s="38"/>
      <c r="E52" s="1"/>
      <c r="F52" s="36"/>
    </row>
    <row r="53" spans="1:18">
      <c r="A53" s="33" t="s">
        <v>20</v>
      </c>
      <c r="R53" s="10"/>
    </row>
    <row r="54" spans="1:18">
      <c r="A54" s="32" t="s">
        <v>19</v>
      </c>
      <c r="C54" s="23" t="s">
        <v>21</v>
      </c>
      <c r="R54" s="10"/>
    </row>
    <row r="55" spans="1:18">
      <c r="A55" s="31" t="s">
        <v>16</v>
      </c>
      <c r="C55" s="23" t="s">
        <v>22</v>
      </c>
      <c r="Q55" s="10"/>
    </row>
    <row r="56" spans="1:18">
      <c r="A56" s="31" t="s">
        <v>17</v>
      </c>
      <c r="C56" s="23" t="s">
        <v>23</v>
      </c>
      <c r="O56" s="10"/>
    </row>
    <row r="57" spans="1:18">
      <c r="A57" s="31" t="s">
        <v>18</v>
      </c>
      <c r="N57" s="10"/>
    </row>
    <row r="58" spans="1:18">
      <c r="A58" s="31" t="s">
        <v>26</v>
      </c>
      <c r="N58" s="10"/>
    </row>
    <row r="59" spans="1:18">
      <c r="N59" s="10"/>
    </row>
    <row r="60" spans="1:18">
      <c r="N60" s="10"/>
    </row>
    <row r="61" spans="1:18">
      <c r="N61" s="10"/>
    </row>
    <row r="62" spans="1:18">
      <c r="N62" s="10"/>
    </row>
    <row r="63" spans="1:18">
      <c r="N63" s="10"/>
    </row>
    <row r="64" spans="1:18">
      <c r="N64" s="10"/>
    </row>
    <row r="65" spans="14:14">
      <c r="N65" s="10"/>
    </row>
    <row r="66" spans="14:14">
      <c r="N66" s="10"/>
    </row>
    <row r="67" spans="14:14">
      <c r="N67" s="10"/>
    </row>
    <row r="68" spans="14:14">
      <c r="N68" s="10"/>
    </row>
    <row r="69" spans="14:14">
      <c r="N69" s="10"/>
    </row>
    <row r="70" spans="14:14">
      <c r="N70" s="10"/>
    </row>
    <row r="71" spans="14:14">
      <c r="N71" s="10"/>
    </row>
    <row r="72" spans="14:14">
      <c r="N72" s="10"/>
    </row>
    <row r="73" spans="14:14">
      <c r="N73" s="10"/>
    </row>
    <row r="74" spans="14:14">
      <c r="N74" s="10"/>
    </row>
    <row r="75" spans="14:14">
      <c r="N75" s="10"/>
    </row>
    <row r="76" spans="14:14">
      <c r="N76" s="10"/>
    </row>
    <row r="77" spans="14:14">
      <c r="N77" s="10"/>
    </row>
    <row r="78" spans="14:14">
      <c r="N78" s="10"/>
    </row>
    <row r="79" spans="14:14">
      <c r="N79" s="10"/>
    </row>
    <row r="80" spans="14:14">
      <c r="N80" s="10"/>
    </row>
    <row r="81" spans="14:14">
      <c r="N81" s="10"/>
    </row>
    <row r="82" spans="14:14">
      <c r="N82" s="10"/>
    </row>
    <row r="83" spans="14:14">
      <c r="N83" s="10"/>
    </row>
    <row r="84" spans="14:14">
      <c r="N84" s="10"/>
    </row>
    <row r="85" spans="14:14">
      <c r="N85" s="10"/>
    </row>
    <row r="86" spans="14:14">
      <c r="N86" s="10"/>
    </row>
    <row r="87" spans="14:14">
      <c r="N87" s="10"/>
    </row>
    <row r="88" spans="14:14">
      <c r="N88" s="10"/>
    </row>
    <row r="89" spans="14:14">
      <c r="N89" s="10"/>
    </row>
    <row r="90" spans="14:14">
      <c r="N90" s="10"/>
    </row>
    <row r="91" spans="14:14">
      <c r="N91" s="10"/>
    </row>
    <row r="92" spans="14:14">
      <c r="N92" s="10"/>
    </row>
    <row r="93" spans="14:14">
      <c r="N93" s="10"/>
    </row>
    <row r="94" spans="14:14">
      <c r="N94" s="10"/>
    </row>
    <row r="95" spans="14:14">
      <c r="N95" s="10"/>
    </row>
    <row r="96" spans="14:14">
      <c r="N96" s="10"/>
    </row>
    <row r="97" spans="14:14">
      <c r="N97" s="10"/>
    </row>
    <row r="98" spans="14:14">
      <c r="N98" s="10"/>
    </row>
    <row r="109" spans="14:14" ht="12" customHeight="1"/>
    <row r="110" spans="14:14" ht="12.75" customHeight="1"/>
    <row r="154" ht="12" customHeight="1"/>
    <row r="155" ht="12.75" customHeight="1"/>
    <row r="156" ht="12.75" customHeight="1"/>
    <row r="157" ht="12.75" customHeight="1"/>
    <row r="158" ht="12.75" customHeight="1"/>
  </sheetData>
  <mergeCells count="13">
    <mergeCell ref="N3:N4"/>
    <mergeCell ref="I3:I4"/>
    <mergeCell ref="J3:J4"/>
    <mergeCell ref="G3:G4"/>
    <mergeCell ref="A1:L2"/>
    <mergeCell ref="H3:H4"/>
    <mergeCell ref="J17:L17"/>
    <mergeCell ref="E30:E31"/>
    <mergeCell ref="F30:F31"/>
    <mergeCell ref="A28:H29"/>
    <mergeCell ref="D3:D4"/>
    <mergeCell ref="E3:E4"/>
    <mergeCell ref="F3:F4"/>
  </mergeCells>
  <phoneticPr fontId="0" type="noConversion"/>
  <pageMargins left="0.75" right="0.75" top="1" bottom="1" header="0.5" footer="0.5"/>
  <pageSetup scale="59" orientation="landscape" horizontalDpi="4294967292" verticalDpi="4294967292"/>
  <headerFooter alignWithMargins="0">
    <oddHeader>&amp;CDeseasonalized Data
Table</oddHead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 enableFormatConditionsCalculation="0">
    <pageSetUpPr fitToPage="1"/>
  </sheetPr>
  <dimension ref="A1:R158"/>
  <sheetViews>
    <sheetView showGridLines="0" zoomScale="125" zoomScaleNormal="125" zoomScalePageLayoutView="125" workbookViewId="0">
      <selection activeCell="D17" sqref="D17"/>
    </sheetView>
  </sheetViews>
  <sheetFormatPr baseColWidth="10" defaultColWidth="9.6640625" defaultRowHeight="12" x14ac:dyDescent="0"/>
  <cols>
    <col min="1" max="1" width="19.83203125" customWidth="1"/>
    <col min="2" max="2" width="13.5" customWidth="1"/>
    <col min="3" max="3" width="15" customWidth="1"/>
    <col min="4" max="4" width="21.1640625" customWidth="1"/>
    <col min="5" max="5" width="29" customWidth="1"/>
    <col min="6" max="7" width="31.5" bestFit="1" customWidth="1"/>
    <col min="8" max="8" width="16.5" customWidth="1"/>
    <col min="9" max="9" width="28.1640625" customWidth="1"/>
    <col min="10" max="10" width="16.33203125" bestFit="1" customWidth="1"/>
    <col min="11" max="11" width="24.33203125" bestFit="1" customWidth="1"/>
    <col min="12" max="12" width="21.33203125" style="10" bestFit="1" customWidth="1"/>
    <col min="15" max="15" width="12.83203125" customWidth="1"/>
  </cols>
  <sheetData>
    <row r="1" spans="1:14">
      <c r="A1" s="226" t="s">
        <v>32</v>
      </c>
      <c r="B1" s="226"/>
      <c r="C1" s="226"/>
      <c r="D1" s="226"/>
      <c r="E1" s="226"/>
      <c r="F1" s="226"/>
      <c r="G1" s="226"/>
      <c r="H1" s="226"/>
      <c r="I1" s="226"/>
      <c r="J1" s="226"/>
      <c r="K1" s="226"/>
      <c r="L1" s="226"/>
    </row>
    <row r="2" spans="1:14" ht="13" thickBot="1">
      <c r="A2" s="227"/>
      <c r="B2" s="227"/>
      <c r="C2" s="227"/>
      <c r="D2" s="227"/>
      <c r="E2" s="227"/>
      <c r="F2" s="227"/>
      <c r="G2" s="227"/>
      <c r="H2" s="227"/>
      <c r="I2" s="227"/>
      <c r="J2" s="227"/>
      <c r="K2" s="227"/>
      <c r="L2" s="227"/>
    </row>
    <row r="3" spans="1:14" ht="12.75" customHeight="1" thickTop="1">
      <c r="A3" s="4" t="s">
        <v>0</v>
      </c>
      <c r="B3" s="4"/>
      <c r="C3" s="2" t="s">
        <v>46</v>
      </c>
      <c r="D3" s="221" t="s">
        <v>35</v>
      </c>
      <c r="E3" s="229" t="s">
        <v>55</v>
      </c>
      <c r="F3" s="223" t="s">
        <v>3</v>
      </c>
      <c r="G3" s="230" t="s">
        <v>9</v>
      </c>
      <c r="H3" s="230" t="s">
        <v>31</v>
      </c>
      <c r="I3" s="223" t="s">
        <v>24</v>
      </c>
      <c r="J3" s="223" t="s">
        <v>25</v>
      </c>
      <c r="K3" s="11" t="s">
        <v>14</v>
      </c>
      <c r="L3"/>
      <c r="N3" s="223"/>
    </row>
    <row r="4" spans="1:14">
      <c r="A4" s="5" t="s">
        <v>36</v>
      </c>
      <c r="B4" s="5" t="s">
        <v>34</v>
      </c>
      <c r="C4" s="3" t="s">
        <v>47</v>
      </c>
      <c r="D4" s="221"/>
      <c r="E4" s="229"/>
      <c r="F4" s="223"/>
      <c r="G4" s="231"/>
      <c r="H4" s="231"/>
      <c r="I4" s="223"/>
      <c r="J4" s="223"/>
      <c r="K4" s="25">
        <v>0.4</v>
      </c>
      <c r="L4"/>
      <c r="N4" s="223"/>
    </row>
    <row r="5" spans="1:14">
      <c r="A5" s="8" t="s">
        <v>37</v>
      </c>
      <c r="B5" s="39">
        <v>1</v>
      </c>
      <c r="C5" s="1">
        <v>90000</v>
      </c>
      <c r="D5" s="14" t="s">
        <v>2</v>
      </c>
      <c r="E5" s="15" t="s">
        <v>2</v>
      </c>
      <c r="F5" s="7">
        <f>A17</f>
        <v>1.0405692465778305</v>
      </c>
      <c r="G5" s="26">
        <f t="shared" ref="G5:G13" si="0">C5/F5</f>
        <v>86491.120409321418</v>
      </c>
      <c r="H5" s="27">
        <f>G5</f>
        <v>86491.120409321418</v>
      </c>
      <c r="K5" s="11" t="s">
        <v>10</v>
      </c>
      <c r="L5"/>
    </row>
    <row r="6" spans="1:14">
      <c r="A6" s="8" t="s">
        <v>38</v>
      </c>
      <c r="B6" s="39">
        <v>2</v>
      </c>
      <c r="C6" s="1">
        <v>95000</v>
      </c>
      <c r="D6" s="13">
        <f>AVERAGE(C5:C6)</f>
        <v>92500</v>
      </c>
      <c r="E6" s="6">
        <f>C6/D6</f>
        <v>1.027027027027027</v>
      </c>
      <c r="F6" s="7">
        <f>A18</f>
        <v>1.0003093341582243</v>
      </c>
      <c r="G6" s="26">
        <f t="shared" si="0"/>
        <v>94970.622342481642</v>
      </c>
      <c r="H6" s="27">
        <f t="shared" ref="H6:H14" si="1">$K$6*G5+(1-$K$6)*H5</f>
        <v>86491.120409321418</v>
      </c>
      <c r="I6" s="37">
        <f>ABS(G6-H6)</f>
        <v>8479.5019331602234</v>
      </c>
      <c r="J6" s="36">
        <f>ABS(G6-H6)/G6</f>
        <v>8.9285525607925048E-2</v>
      </c>
      <c r="K6" s="96">
        <v>0.89449231044548483</v>
      </c>
      <c r="L6"/>
    </row>
    <row r="7" spans="1:14">
      <c r="A7" s="8" t="s">
        <v>39</v>
      </c>
      <c r="B7" s="39">
        <v>3</v>
      </c>
      <c r="C7" s="1">
        <v>98000</v>
      </c>
      <c r="D7" s="13">
        <f t="shared" ref="D7:D13" si="2">AVERAGE(C6:C7)</f>
        <v>96500</v>
      </c>
      <c r="E7" s="6">
        <f t="shared" ref="E7:E13" si="3">C7/D7</f>
        <v>1.0155440414507773</v>
      </c>
      <c r="F7" s="7">
        <f>A19</f>
        <v>1.0386241626680603</v>
      </c>
      <c r="G7" s="26">
        <f t="shared" si="0"/>
        <v>94355.594181685112</v>
      </c>
      <c r="H7" s="27">
        <f t="shared" si="1"/>
        <v>94075.969684940865</v>
      </c>
      <c r="I7" s="37">
        <f t="shared" ref="I7:I13" si="4">ABS(G7-H7)</f>
        <v>279.62449674424715</v>
      </c>
      <c r="J7" s="36">
        <f t="shared" ref="J7:J12" si="5">ABS(G7-H7)/G7</f>
        <v>2.9635179468619536E-3</v>
      </c>
      <c r="K7" s="21" t="s">
        <v>11</v>
      </c>
      <c r="L7"/>
    </row>
    <row r="8" spans="1:14">
      <c r="A8" s="8" t="s">
        <v>40</v>
      </c>
      <c r="B8" s="39">
        <v>4</v>
      </c>
      <c r="C8" s="1">
        <v>96000</v>
      </c>
      <c r="D8" s="13">
        <f t="shared" si="2"/>
        <v>97000</v>
      </c>
      <c r="E8" s="6">
        <f t="shared" si="3"/>
        <v>0.98969072164948457</v>
      </c>
      <c r="F8" s="7">
        <f>A16</f>
        <v>0.97502157227848674</v>
      </c>
      <c r="G8" s="26">
        <f t="shared" si="0"/>
        <v>98459.360007452604</v>
      </c>
      <c r="H8" s="27">
        <f t="shared" si="1"/>
        <v>94326.091647090783</v>
      </c>
      <c r="I8" s="37">
        <f t="shared" si="4"/>
        <v>4133.2683603618207</v>
      </c>
      <c r="J8" s="36">
        <f>ABS(G8-H8)/G8</f>
        <v>4.1979435576759434E-2</v>
      </c>
      <c r="K8" s="35">
        <f>SUMXMY2(G5:G13,H5:H13)/COUNT(G5:G13)</f>
        <v>40146315.652909659</v>
      </c>
      <c r="L8"/>
    </row>
    <row r="9" spans="1:14">
      <c r="A9" s="8" t="s">
        <v>41</v>
      </c>
      <c r="B9" s="39">
        <v>5</v>
      </c>
      <c r="C9" s="1">
        <v>102000</v>
      </c>
      <c r="D9" s="13">
        <f t="shared" si="2"/>
        <v>99000</v>
      </c>
      <c r="E9" s="6">
        <f t="shared" si="3"/>
        <v>1.0303030303030303</v>
      </c>
      <c r="F9" s="7">
        <f>A17</f>
        <v>1.0405692465778305</v>
      </c>
      <c r="G9" s="26">
        <f t="shared" si="0"/>
        <v>98023.26979723094</v>
      </c>
      <c r="H9" s="27">
        <f t="shared" si="1"/>
        <v>98023.268412442063</v>
      </c>
      <c r="I9" s="37">
        <f t="shared" si="4"/>
        <v>1.3847888767486438E-3</v>
      </c>
      <c r="J9" s="36">
        <f t="shared" si="5"/>
        <v>1.4127144295565651E-8</v>
      </c>
      <c r="K9" s="11" t="s">
        <v>12</v>
      </c>
      <c r="L9"/>
    </row>
    <row r="10" spans="1:14">
      <c r="A10" s="8" t="s">
        <v>42</v>
      </c>
      <c r="B10" s="39">
        <v>6</v>
      </c>
      <c r="C10" s="1">
        <v>99000</v>
      </c>
      <c r="D10" s="13">
        <f t="shared" si="2"/>
        <v>100500</v>
      </c>
      <c r="E10" s="6">
        <f t="shared" si="3"/>
        <v>0.9850746268656716</v>
      </c>
      <c r="F10" s="7">
        <f>A18</f>
        <v>1.0003093341582243</v>
      </c>
      <c r="G10" s="26">
        <f t="shared" si="0"/>
        <v>98969.385388480878</v>
      </c>
      <c r="H10" s="27">
        <f t="shared" si="1"/>
        <v>98023.269651125069</v>
      </c>
      <c r="I10" s="37">
        <f t="shared" si="4"/>
        <v>946.11573735580896</v>
      </c>
      <c r="J10" s="36">
        <f t="shared" si="5"/>
        <v>9.5596808411212795E-3</v>
      </c>
      <c r="K10" s="151">
        <f>AVERAGE(J6:J13)</f>
        <v>4.2193654899957238E-2</v>
      </c>
      <c r="L10"/>
    </row>
    <row r="11" spans="1:14">
      <c r="A11" s="8" t="s">
        <v>43</v>
      </c>
      <c r="B11" s="39">
        <v>7</v>
      </c>
      <c r="C11" s="1">
        <v>118000</v>
      </c>
      <c r="D11" s="13">
        <f t="shared" si="2"/>
        <v>108500</v>
      </c>
      <c r="E11" s="6">
        <f t="shared" si="3"/>
        <v>1.0875576036866359</v>
      </c>
      <c r="F11" s="7">
        <f>A19</f>
        <v>1.0386241626680603</v>
      </c>
      <c r="G11" s="26">
        <f t="shared" si="0"/>
        <v>113611.83789223309</v>
      </c>
      <c r="H11" s="27">
        <f t="shared" si="1"/>
        <v>98869.562902981299</v>
      </c>
      <c r="I11" s="37">
        <f t="shared" si="4"/>
        <v>14742.27498925179</v>
      </c>
      <c r="J11" s="36">
        <f t="shared" si="5"/>
        <v>0.12976002556384686</v>
      </c>
      <c r="K11" s="11" t="s">
        <v>13</v>
      </c>
      <c r="L11"/>
    </row>
    <row r="12" spans="1:14">
      <c r="A12" s="8" t="s">
        <v>44</v>
      </c>
      <c r="B12" s="39">
        <v>8</v>
      </c>
      <c r="C12" s="1">
        <v>109000</v>
      </c>
      <c r="D12" s="13">
        <f t="shared" si="2"/>
        <v>113500</v>
      </c>
      <c r="E12" s="6">
        <f t="shared" si="3"/>
        <v>0.96035242290748901</v>
      </c>
      <c r="F12" s="7">
        <f>A16</f>
        <v>0.97502157227848674</v>
      </c>
      <c r="G12" s="26">
        <f t="shared" si="0"/>
        <v>111792.39834179515</v>
      </c>
      <c r="H12" s="27">
        <f t="shared" si="1"/>
        <v>112056.41451933981</v>
      </c>
      <c r="I12" s="37">
        <f t="shared" si="4"/>
        <v>264.01617754466133</v>
      </c>
      <c r="J12" s="36">
        <f t="shared" si="5"/>
        <v>2.3616648489591906E-3</v>
      </c>
      <c r="K12" s="11">
        <f>AVERAGE(I6:I13)</f>
        <v>4523.7615844474476</v>
      </c>
      <c r="L12"/>
    </row>
    <row r="13" spans="1:14">
      <c r="A13" s="8" t="s">
        <v>45</v>
      </c>
      <c r="B13" s="39">
        <v>9</v>
      </c>
      <c r="C13" s="1">
        <v>124000</v>
      </c>
      <c r="D13" s="13">
        <f t="shared" si="2"/>
        <v>116500</v>
      </c>
      <c r="E13" s="6">
        <f t="shared" si="3"/>
        <v>1.0643776824034334</v>
      </c>
      <c r="F13" s="7">
        <f>A17</f>
        <v>1.0405692465778305</v>
      </c>
      <c r="G13" s="26">
        <f t="shared" si="0"/>
        <v>119165.54367506506</v>
      </c>
      <c r="H13" s="27">
        <f t="shared" si="1"/>
        <v>111820.2540786929</v>
      </c>
      <c r="I13" s="37">
        <f t="shared" si="4"/>
        <v>7345.289596372153</v>
      </c>
      <c r="J13" s="36">
        <f>ABS(G13-H13)/G13</f>
        <v>6.1639374687039901E-2</v>
      </c>
      <c r="K13" s="11" t="s">
        <v>109</v>
      </c>
      <c r="L13"/>
    </row>
    <row r="14" spans="1:14">
      <c r="A14" s="46" t="s">
        <v>48</v>
      </c>
      <c r="B14" s="9"/>
      <c r="C14" s="1"/>
      <c r="E14" s="6"/>
      <c r="G14" s="152"/>
      <c r="H14" s="45">
        <f t="shared" si="1"/>
        <v>118390.55914064302</v>
      </c>
      <c r="I14" s="20"/>
      <c r="K14" s="149">
        <f>CORREL(B5:B13,_SER1)</f>
        <v>0.89149631286483444</v>
      </c>
      <c r="L14"/>
    </row>
    <row r="15" spans="1:14" ht="14">
      <c r="A15" s="30" t="s">
        <v>8</v>
      </c>
      <c r="B15" s="16" t="str">
        <f>CONCATENATE("Quarter", "/", "Year")</f>
        <v>Quarter/Year</v>
      </c>
      <c r="C15" s="39">
        <v>2007</v>
      </c>
      <c r="D15" s="39">
        <v>2008</v>
      </c>
      <c r="E15" s="39">
        <v>2009</v>
      </c>
      <c r="F15" s="24"/>
      <c r="J15" s="20"/>
      <c r="K15" s="147" t="s">
        <v>110</v>
      </c>
      <c r="L15" s="12"/>
      <c r="M15" s="23"/>
    </row>
    <row r="16" spans="1:14">
      <c r="A16" s="20">
        <f>AVERAGE(D16:E16)</f>
        <v>0.97502157227848674</v>
      </c>
      <c r="B16" s="16" t="s">
        <v>4</v>
      </c>
      <c r="C16" s="17" t="str">
        <f>E5</f>
        <v>-----</v>
      </c>
      <c r="D16" s="16">
        <f>E8</f>
        <v>0.98969072164948457</v>
      </c>
      <c r="E16" s="17">
        <f>E12</f>
        <v>0.96035242290748901</v>
      </c>
      <c r="F16" s="19"/>
      <c r="J16" s="20"/>
      <c r="K16">
        <f>K14*K14</f>
        <v>0.79476567585159474</v>
      </c>
      <c r="L16" s="12"/>
      <c r="M16" s="23"/>
    </row>
    <row r="17" spans="1:13" ht="17" thickBot="1">
      <c r="A17" s="20">
        <f>AVERAGE(C17:E17)</f>
        <v>1.0405692465778305</v>
      </c>
      <c r="B17" s="16" t="s">
        <v>5</v>
      </c>
      <c r="C17" s="17">
        <f>E6</f>
        <v>1.027027027027027</v>
      </c>
      <c r="D17" s="16">
        <f>E9</f>
        <v>1.0303030303030303</v>
      </c>
      <c r="E17" s="17">
        <f>E13</f>
        <v>1.0643776824034334</v>
      </c>
      <c r="F17" s="19"/>
      <c r="J17" s="218" t="s">
        <v>33</v>
      </c>
      <c r="K17" s="218"/>
      <c r="L17" s="218"/>
      <c r="M17" s="23"/>
    </row>
    <row r="18" spans="1:13" ht="13" thickTop="1">
      <c r="A18" s="20">
        <f>AVERAGE(C18:D18)</f>
        <v>1.0003093341582243</v>
      </c>
      <c r="B18" s="16" t="s">
        <v>6</v>
      </c>
      <c r="C18" s="17">
        <f>E7</f>
        <v>1.0155440414507773</v>
      </c>
      <c r="D18" s="16">
        <f>E10</f>
        <v>0.9850746268656716</v>
      </c>
      <c r="E18" s="18" t="s">
        <v>2</v>
      </c>
      <c r="F18" s="19"/>
      <c r="J18" s="28">
        <f>$H$14*A18</f>
        <v>118427.18138459649</v>
      </c>
      <c r="K18" s="12" t="s">
        <v>49</v>
      </c>
      <c r="L18" s="23">
        <v>2009</v>
      </c>
      <c r="M18" s="23"/>
    </row>
    <row r="19" spans="1:13">
      <c r="A19" s="20">
        <f>AVERAGE(C19:D19)</f>
        <v>1.0386241626680603</v>
      </c>
      <c r="B19" s="16" t="s">
        <v>7</v>
      </c>
      <c r="C19" s="17">
        <f>E8</f>
        <v>0.98969072164948457</v>
      </c>
      <c r="D19" s="16">
        <f>E11</f>
        <v>1.0875576036866359</v>
      </c>
      <c r="E19" s="18" t="s">
        <v>2</v>
      </c>
      <c r="F19" s="19"/>
      <c r="J19" s="28">
        <f>$H$14*A19</f>
        <v>122963.29535525384</v>
      </c>
      <c r="K19" s="12" t="s">
        <v>50</v>
      </c>
      <c r="L19" s="23">
        <v>2009</v>
      </c>
      <c r="M19" s="23"/>
    </row>
    <row r="20" spans="1:13">
      <c r="A20" s="20"/>
      <c r="B20" s="16"/>
      <c r="C20" s="17"/>
      <c r="D20" s="16"/>
      <c r="E20" s="17"/>
      <c r="F20" s="19"/>
      <c r="J20" s="28">
        <f>$H$14*A16</f>
        <v>115433.34911623893</v>
      </c>
      <c r="K20" s="12" t="s">
        <v>51</v>
      </c>
      <c r="L20" s="23">
        <v>2010</v>
      </c>
      <c r="M20" s="23"/>
    </row>
    <row r="21" spans="1:13">
      <c r="A21" s="20"/>
      <c r="B21" s="16"/>
      <c r="C21" s="17"/>
      <c r="D21" s="16"/>
      <c r="E21" s="17"/>
      <c r="F21" s="19"/>
      <c r="J21" s="28">
        <f>$H$14*A17</f>
        <v>123193.57492690698</v>
      </c>
      <c r="K21" s="12" t="s">
        <v>52</v>
      </c>
      <c r="L21" s="23">
        <v>2010</v>
      </c>
      <c r="M21" s="23"/>
    </row>
    <row r="22" spans="1:13">
      <c r="A22" s="20"/>
      <c r="B22" s="16"/>
      <c r="C22" s="17"/>
      <c r="D22" s="16"/>
      <c r="E22" s="17"/>
      <c r="F22" s="19"/>
      <c r="J22" s="28"/>
      <c r="K22" s="12"/>
      <c r="L22" s="23"/>
      <c r="M22" s="23"/>
    </row>
    <row r="23" spans="1:13">
      <c r="A23" s="20"/>
      <c r="B23" s="16"/>
      <c r="C23" s="17"/>
      <c r="D23" s="16"/>
      <c r="E23" s="17"/>
      <c r="F23" s="19"/>
      <c r="J23" s="28"/>
      <c r="K23" s="12"/>
      <c r="L23" s="23"/>
      <c r="M23" s="23"/>
    </row>
    <row r="24" spans="1:13">
      <c r="A24" s="20"/>
      <c r="B24" s="16"/>
      <c r="C24" s="17"/>
      <c r="D24" s="16"/>
      <c r="E24" s="17"/>
      <c r="F24" s="19"/>
      <c r="J24" s="28"/>
      <c r="K24" s="12"/>
      <c r="L24" s="23"/>
      <c r="M24" s="23"/>
    </row>
    <row r="25" spans="1:13">
      <c r="A25" s="20"/>
      <c r="B25" s="16"/>
      <c r="C25" s="17"/>
      <c r="D25" s="16"/>
      <c r="E25" s="17"/>
      <c r="F25" s="19"/>
      <c r="J25" s="28"/>
      <c r="K25" s="12"/>
      <c r="L25" s="23"/>
      <c r="M25" s="23"/>
    </row>
    <row r="26" spans="1:13">
      <c r="A26" s="20"/>
      <c r="B26" s="16"/>
      <c r="C26" s="17"/>
      <c r="D26" s="16"/>
      <c r="E26" s="17"/>
      <c r="F26" s="19"/>
      <c r="J26" s="28"/>
      <c r="K26" s="12"/>
      <c r="L26" s="23"/>
      <c r="M26" s="23"/>
    </row>
    <row r="27" spans="1:13">
      <c r="A27" s="20"/>
      <c r="B27" s="16"/>
      <c r="C27" s="17"/>
      <c r="D27" s="16"/>
      <c r="E27" s="17"/>
      <c r="F27" s="19"/>
      <c r="J27" s="28"/>
      <c r="K27" s="12"/>
      <c r="L27" s="23"/>
    </row>
    <row r="28" spans="1:13" ht="13" thickBot="1">
      <c r="A28" s="220" t="s">
        <v>100</v>
      </c>
      <c r="B28" s="220"/>
      <c r="C28" s="220"/>
      <c r="D28" s="220"/>
      <c r="E28" s="220"/>
      <c r="F28" s="220"/>
      <c r="G28" s="220"/>
      <c r="H28" s="220"/>
      <c r="J28" s="28"/>
      <c r="K28" s="12"/>
      <c r="L28" s="23"/>
    </row>
    <row r="29" spans="1:13" ht="14" thickTop="1" thickBot="1">
      <c r="A29" s="220"/>
      <c r="B29" s="220"/>
      <c r="C29" s="220"/>
      <c r="D29" s="220"/>
      <c r="E29" s="220"/>
      <c r="F29" s="220"/>
      <c r="G29" s="220"/>
      <c r="H29" s="220"/>
      <c r="J29" s="28"/>
      <c r="K29" s="12"/>
      <c r="L29" s="23"/>
    </row>
    <row r="30" spans="1:13" ht="13" thickTop="1">
      <c r="A30" s="4" t="s">
        <v>0</v>
      </c>
      <c r="B30" s="4"/>
      <c r="C30" s="2" t="s">
        <v>53</v>
      </c>
      <c r="E30" s="228" t="s">
        <v>29</v>
      </c>
      <c r="F30" s="228" t="s">
        <v>29</v>
      </c>
    </row>
    <row r="31" spans="1:13">
      <c r="A31" s="5" t="s">
        <v>1</v>
      </c>
      <c r="B31" s="5" t="s">
        <v>0</v>
      </c>
      <c r="C31" s="3" t="s">
        <v>54</v>
      </c>
      <c r="D31" s="29" t="s">
        <v>15</v>
      </c>
      <c r="E31" s="228"/>
      <c r="F31" s="228"/>
      <c r="G31" s="40" t="s">
        <v>27</v>
      </c>
    </row>
    <row r="32" spans="1:13">
      <c r="A32" s="8" t="s">
        <v>37</v>
      </c>
      <c r="B32" s="39">
        <v>1</v>
      </c>
      <c r="C32" s="43">
        <f t="shared" ref="C32:C40" si="6">G5</f>
        <v>86491.120409321418</v>
      </c>
      <c r="D32" s="38">
        <f>3669.8*B32+83411</f>
        <v>87080.8</v>
      </c>
      <c r="E32" s="1">
        <f>ABS(C32-D32)</f>
        <v>589.67959067858465</v>
      </c>
      <c r="F32" s="36">
        <f>ABS(C32-D32)/C32</f>
        <v>6.8178049710526474E-3</v>
      </c>
      <c r="G32" s="19">
        <f>AVERAGE(E32:E40)</f>
        <v>2628.4884220798735</v>
      </c>
    </row>
    <row r="33" spans="1:7">
      <c r="A33" s="8" t="s">
        <v>38</v>
      </c>
      <c r="B33" s="39">
        <v>2</v>
      </c>
      <c r="C33" s="43">
        <f t="shared" si="6"/>
        <v>94970.622342481642</v>
      </c>
      <c r="D33" s="38">
        <f t="shared" ref="D33:D41" si="7">3669.8*B33+83411</f>
        <v>90750.6</v>
      </c>
      <c r="E33" s="1">
        <f t="shared" ref="E33:E39" si="8">ABS(C33-D33)</f>
        <v>4220.0223424816359</v>
      </c>
      <c r="F33" s="36">
        <f t="shared" ref="F33:F40" si="9">ABS(C33-D33)/C33</f>
        <v>4.4435028837269845E-2</v>
      </c>
      <c r="G33" s="41" t="s">
        <v>28</v>
      </c>
    </row>
    <row r="34" spans="1:7">
      <c r="A34" s="8" t="s">
        <v>39</v>
      </c>
      <c r="B34" s="39">
        <v>3</v>
      </c>
      <c r="C34" s="43">
        <f t="shared" si="6"/>
        <v>94355.594181685112</v>
      </c>
      <c r="D34" s="38">
        <f t="shared" si="7"/>
        <v>94420.4</v>
      </c>
      <c r="E34" s="1">
        <f t="shared" si="8"/>
        <v>64.805818314882345</v>
      </c>
      <c r="F34" s="36">
        <f t="shared" si="9"/>
        <v>6.8682539574809311E-4</v>
      </c>
      <c r="G34" s="44">
        <f>AVERAGE(F32:F40)</f>
        <v>2.5602343214191952E-2</v>
      </c>
    </row>
    <row r="35" spans="1:7">
      <c r="A35" s="8" t="s">
        <v>40</v>
      </c>
      <c r="B35" s="39">
        <v>4</v>
      </c>
      <c r="C35" s="43">
        <f t="shared" si="6"/>
        <v>98459.360007452604</v>
      </c>
      <c r="D35" s="38">
        <f t="shared" si="7"/>
        <v>98090.2</v>
      </c>
      <c r="E35" s="1">
        <f t="shared" si="8"/>
        <v>369.16000745260681</v>
      </c>
      <c r="F35" s="36">
        <f t="shared" si="9"/>
        <v>3.7493642800914438E-3</v>
      </c>
      <c r="G35" s="22" t="s">
        <v>30</v>
      </c>
    </row>
    <row r="36" spans="1:7">
      <c r="A36" s="8" t="s">
        <v>41</v>
      </c>
      <c r="B36" s="39">
        <v>5</v>
      </c>
      <c r="C36" s="43">
        <f t="shared" si="6"/>
        <v>98023.26979723094</v>
      </c>
      <c r="D36" s="38">
        <f t="shared" si="7"/>
        <v>101760</v>
      </c>
      <c r="E36" s="1">
        <f t="shared" si="8"/>
        <v>3736.7302027690603</v>
      </c>
      <c r="F36" s="36">
        <f t="shared" si="9"/>
        <v>3.8120848350588474E-2</v>
      </c>
      <c r="G36" s="42">
        <f>SUMXMY2(C32:C40,D32:D40)/COUNT(C32:C40)</f>
        <v>11416074.658635495</v>
      </c>
    </row>
    <row r="37" spans="1:7">
      <c r="A37" s="8" t="s">
        <v>42</v>
      </c>
      <c r="B37" s="39">
        <v>6</v>
      </c>
      <c r="C37" s="43">
        <f t="shared" si="6"/>
        <v>98969.385388480878</v>
      </c>
      <c r="D37" s="38">
        <f t="shared" si="7"/>
        <v>105429.8</v>
      </c>
      <c r="E37" s="1">
        <f t="shared" si="8"/>
        <v>6460.4146115191252</v>
      </c>
      <c r="F37" s="36">
        <f t="shared" si="9"/>
        <v>6.5276899378128889E-2</v>
      </c>
      <c r="G37" s="22" t="str">
        <f>'Decent. ES &amp; LR DS trend line'!G37</f>
        <v>Correlation =</v>
      </c>
    </row>
    <row r="38" spans="1:7">
      <c r="A38" s="8" t="s">
        <v>43</v>
      </c>
      <c r="B38" s="39">
        <v>7</v>
      </c>
      <c r="C38" s="43">
        <f t="shared" si="6"/>
        <v>113611.83789223309</v>
      </c>
      <c r="D38" s="38">
        <f t="shared" si="7"/>
        <v>109099.6</v>
      </c>
      <c r="E38" s="1">
        <f t="shared" si="8"/>
        <v>4512.2378922330827</v>
      </c>
      <c r="F38" s="36">
        <f t="shared" si="9"/>
        <v>3.9716265276098971E-2</v>
      </c>
      <c r="G38" s="22">
        <f>'Decent. ES &amp; LR DS trend line'!G38</f>
        <v>0.94190739007400914</v>
      </c>
    </row>
    <row r="39" spans="1:7">
      <c r="A39" s="8" t="s">
        <v>44</v>
      </c>
      <c r="B39" s="39">
        <v>8</v>
      </c>
      <c r="C39" s="43">
        <f t="shared" si="6"/>
        <v>111792.39834179515</v>
      </c>
      <c r="D39" s="38">
        <f t="shared" si="7"/>
        <v>112769.4</v>
      </c>
      <c r="E39" s="1">
        <f t="shared" si="8"/>
        <v>977.00165820484108</v>
      </c>
      <c r="F39" s="36">
        <f t="shared" si="9"/>
        <v>8.7394283752437879E-3</v>
      </c>
      <c r="G39" s="22" t="str">
        <f>'Decent. ES &amp; LR DS trend line'!G39</f>
        <v>Coefficient of determination =</v>
      </c>
    </row>
    <row r="40" spans="1:7">
      <c r="A40" s="8" t="s">
        <v>45</v>
      </c>
      <c r="B40" s="39">
        <v>9</v>
      </c>
      <c r="C40" s="43">
        <f t="shared" si="6"/>
        <v>119165.54367506506</v>
      </c>
      <c r="D40" s="38">
        <f t="shared" si="7"/>
        <v>116439.20000000001</v>
      </c>
      <c r="E40" s="1">
        <f>ABS(C40-D40)</f>
        <v>2726.3436750650435</v>
      </c>
      <c r="F40" s="36">
        <f t="shared" si="9"/>
        <v>2.2878624063505371E-2</v>
      </c>
      <c r="G40" s="22">
        <f>'Decent. ES &amp; LR DS trend line'!G40</f>
        <v>0.88718953147603163</v>
      </c>
    </row>
    <row r="41" spans="1:7">
      <c r="A41" s="153" t="s">
        <v>48</v>
      </c>
      <c r="B41" s="154">
        <v>10</v>
      </c>
      <c r="C41" s="43"/>
      <c r="D41" s="155">
        <f t="shared" si="7"/>
        <v>120109</v>
      </c>
      <c r="E41" s="1"/>
      <c r="F41" s="36"/>
    </row>
    <row r="42" spans="1:7">
      <c r="A42" s="8"/>
      <c r="B42" s="39"/>
      <c r="C42" s="43"/>
      <c r="D42" s="38"/>
      <c r="E42" s="1"/>
      <c r="F42" s="36"/>
    </row>
    <row r="43" spans="1:7">
      <c r="A43" s="8"/>
      <c r="B43" s="39"/>
      <c r="C43" s="43"/>
      <c r="D43" s="38"/>
      <c r="E43" s="1"/>
      <c r="F43" s="36"/>
    </row>
    <row r="44" spans="1:7">
      <c r="A44" s="8"/>
      <c r="B44" s="39"/>
      <c r="C44" s="43"/>
      <c r="D44" s="38"/>
      <c r="E44" s="1"/>
      <c r="F44" s="36"/>
    </row>
    <row r="45" spans="1:7">
      <c r="A45" s="8"/>
      <c r="B45" s="39"/>
      <c r="C45" s="43"/>
      <c r="D45" s="38"/>
      <c r="E45" s="1"/>
      <c r="F45" s="36"/>
    </row>
    <row r="46" spans="1:7">
      <c r="A46" s="8"/>
      <c r="B46" s="39"/>
      <c r="C46" s="43"/>
      <c r="D46" s="38"/>
      <c r="E46" s="1"/>
      <c r="F46" s="36"/>
    </row>
    <row r="47" spans="1:7">
      <c r="A47" s="8"/>
      <c r="B47" s="39"/>
      <c r="C47" s="43"/>
      <c r="D47" s="38"/>
      <c r="E47" s="1"/>
      <c r="F47" s="36"/>
    </row>
    <row r="48" spans="1:7">
      <c r="A48" s="8"/>
      <c r="B48" s="39"/>
      <c r="C48" s="43"/>
      <c r="D48" s="38"/>
      <c r="E48" s="1"/>
      <c r="F48" s="36"/>
    </row>
    <row r="49" spans="1:18">
      <c r="A49" s="8"/>
      <c r="B49" s="39"/>
      <c r="C49" s="43"/>
      <c r="D49" s="38"/>
      <c r="E49" s="1"/>
      <c r="F49" s="36"/>
    </row>
    <row r="50" spans="1:18">
      <c r="A50" s="8"/>
      <c r="B50" s="39"/>
      <c r="C50" s="43"/>
      <c r="D50" s="38"/>
      <c r="E50" s="1"/>
      <c r="F50" s="36"/>
    </row>
    <row r="51" spans="1:18">
      <c r="A51" s="8"/>
      <c r="B51" s="39"/>
      <c r="C51" s="43"/>
      <c r="D51" s="38"/>
      <c r="E51" s="1"/>
      <c r="F51" s="36"/>
    </row>
    <row r="52" spans="1:18">
      <c r="A52" s="8"/>
      <c r="B52" s="39"/>
      <c r="C52" s="43"/>
      <c r="D52" s="38"/>
      <c r="E52" s="1"/>
      <c r="F52" s="36"/>
    </row>
    <row r="53" spans="1:18">
      <c r="A53" s="33" t="s">
        <v>20</v>
      </c>
      <c r="R53" s="10"/>
    </row>
    <row r="54" spans="1:18">
      <c r="A54" s="32" t="s">
        <v>19</v>
      </c>
      <c r="C54" s="23" t="s">
        <v>21</v>
      </c>
      <c r="R54" s="10"/>
    </row>
    <row r="55" spans="1:18">
      <c r="A55" s="31" t="s">
        <v>16</v>
      </c>
      <c r="C55" s="23" t="s">
        <v>22</v>
      </c>
      <c r="Q55" s="10"/>
    </row>
    <row r="56" spans="1:18">
      <c r="A56" s="31" t="s">
        <v>17</v>
      </c>
      <c r="C56" s="23" t="s">
        <v>23</v>
      </c>
      <c r="O56" s="10"/>
    </row>
    <row r="57" spans="1:18">
      <c r="A57" s="31" t="s">
        <v>18</v>
      </c>
      <c r="N57" s="10"/>
    </row>
    <row r="58" spans="1:18">
      <c r="A58" s="31" t="s">
        <v>26</v>
      </c>
      <c r="N58" s="10"/>
    </row>
    <row r="59" spans="1:18">
      <c r="N59" s="10"/>
    </row>
    <row r="60" spans="1:18">
      <c r="N60" s="10"/>
    </row>
    <row r="61" spans="1:18">
      <c r="N61" s="10"/>
    </row>
    <row r="62" spans="1:18">
      <c r="N62" s="10"/>
    </row>
    <row r="63" spans="1:18">
      <c r="N63" s="10"/>
    </row>
    <row r="64" spans="1:18">
      <c r="N64" s="10"/>
    </row>
    <row r="65" spans="14:14">
      <c r="N65" s="10"/>
    </row>
    <row r="66" spans="14:14">
      <c r="N66" s="10"/>
    </row>
    <row r="67" spans="14:14">
      <c r="N67" s="10"/>
    </row>
    <row r="68" spans="14:14">
      <c r="N68" s="10"/>
    </row>
    <row r="69" spans="14:14">
      <c r="N69" s="10"/>
    </row>
    <row r="70" spans="14:14">
      <c r="N70" s="10"/>
    </row>
    <row r="71" spans="14:14">
      <c r="N71" s="10"/>
    </row>
    <row r="72" spans="14:14">
      <c r="N72" s="10"/>
    </row>
    <row r="73" spans="14:14">
      <c r="N73" s="10"/>
    </row>
    <row r="74" spans="14:14">
      <c r="N74" s="10"/>
    </row>
    <row r="75" spans="14:14">
      <c r="N75" s="10"/>
    </row>
    <row r="76" spans="14:14">
      <c r="N76" s="10"/>
    </row>
    <row r="77" spans="14:14">
      <c r="N77" s="10"/>
    </row>
    <row r="78" spans="14:14">
      <c r="N78" s="10"/>
    </row>
    <row r="79" spans="14:14">
      <c r="N79" s="10"/>
    </row>
    <row r="80" spans="14:14">
      <c r="N80" s="10"/>
    </row>
    <row r="81" spans="14:14">
      <c r="N81" s="10"/>
    </row>
    <row r="82" spans="14:14">
      <c r="N82" s="10"/>
    </row>
    <row r="83" spans="14:14">
      <c r="N83" s="10"/>
    </row>
    <row r="84" spans="14:14">
      <c r="N84" s="10"/>
    </row>
    <row r="85" spans="14:14">
      <c r="N85" s="10"/>
    </row>
    <row r="86" spans="14:14">
      <c r="N86" s="10"/>
    </row>
    <row r="87" spans="14:14">
      <c r="N87" s="10"/>
    </row>
    <row r="88" spans="14:14">
      <c r="N88" s="10"/>
    </row>
    <row r="89" spans="14:14">
      <c r="N89" s="10"/>
    </row>
    <row r="90" spans="14:14">
      <c r="N90" s="10"/>
    </row>
    <row r="91" spans="14:14">
      <c r="N91" s="10"/>
    </row>
    <row r="92" spans="14:14">
      <c r="N92" s="10"/>
    </row>
    <row r="93" spans="14:14">
      <c r="N93" s="10"/>
    </row>
    <row r="94" spans="14:14">
      <c r="N94" s="10"/>
    </row>
    <row r="95" spans="14:14">
      <c r="N95" s="10"/>
    </row>
    <row r="96" spans="14:14">
      <c r="N96" s="10"/>
    </row>
    <row r="97" spans="14:14">
      <c r="N97" s="10"/>
    </row>
    <row r="98" spans="14:14">
      <c r="N98" s="10"/>
    </row>
    <row r="109" spans="14:14" ht="12" customHeight="1"/>
    <row r="110" spans="14:14" ht="12.75" customHeight="1"/>
    <row r="154" ht="12" customHeight="1"/>
    <row r="155" ht="12.75" customHeight="1"/>
    <row r="156" ht="12.75" customHeight="1"/>
    <row r="157" ht="12.75" customHeight="1"/>
    <row r="158" ht="12.75" customHeight="1"/>
  </sheetData>
  <mergeCells count="13">
    <mergeCell ref="A1:L2"/>
    <mergeCell ref="D3:D4"/>
    <mergeCell ref="E3:E4"/>
    <mergeCell ref="F3:F4"/>
    <mergeCell ref="G3:G4"/>
    <mergeCell ref="H3:H4"/>
    <mergeCell ref="I3:I4"/>
    <mergeCell ref="J3:J4"/>
    <mergeCell ref="N3:N4"/>
    <mergeCell ref="J17:L17"/>
    <mergeCell ref="A28:H29"/>
    <mergeCell ref="E30:E31"/>
    <mergeCell ref="F30:F31"/>
  </mergeCells>
  <pageMargins left="0.75" right="0.75" top="1" bottom="1" header="0.5" footer="0.5"/>
  <pageSetup scale="59" orientation="landscape" horizontalDpi="4294967292" verticalDpi="4294967292"/>
  <headerFooter alignWithMargins="0">
    <oddHeader>&amp;CDeseasonalized Data
Table</oddHead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8"/>
  <sheetViews>
    <sheetView tabSelected="1" topLeftCell="A8" workbookViewId="0">
      <selection activeCell="A13" sqref="A13:A21"/>
    </sheetView>
  </sheetViews>
  <sheetFormatPr baseColWidth="10" defaultRowHeight="14" x14ac:dyDescent="0"/>
  <cols>
    <col min="1" max="1" width="10.83203125" style="50" customWidth="1"/>
    <col min="2" max="8" width="10.83203125" style="50"/>
    <col min="9" max="9" width="9.33203125" style="50" bestFit="1" customWidth="1"/>
    <col min="10" max="16384" width="10.83203125" style="50"/>
  </cols>
  <sheetData>
    <row r="1" spans="1:14">
      <c r="A1" s="49" t="s">
        <v>56</v>
      </c>
    </row>
    <row r="2" spans="1:14">
      <c r="A2" s="51">
        <f ca="1">NOW()</f>
        <v>41673.864140046295</v>
      </c>
    </row>
    <row r="4" spans="1:14" ht="18">
      <c r="A4" s="52" t="s">
        <v>57</v>
      </c>
    </row>
    <row r="6" spans="1:14" ht="16">
      <c r="A6" s="53" t="s">
        <v>58</v>
      </c>
      <c r="B6" s="53"/>
      <c r="C6" s="53" t="s">
        <v>59</v>
      </c>
      <c r="D6" s="53"/>
      <c r="E6" s="53"/>
      <c r="F6" s="53"/>
      <c r="G6" s="53"/>
      <c r="H6" s="53"/>
    </row>
    <row r="7" spans="1:14">
      <c r="A7" s="54"/>
      <c r="B7" s="54"/>
    </row>
    <row r="11" spans="1:14" ht="15" thickBot="1">
      <c r="A11" s="55" t="s">
        <v>60</v>
      </c>
      <c r="E11" s="56" t="s">
        <v>61</v>
      </c>
      <c r="K11" s="57" t="s">
        <v>62</v>
      </c>
    </row>
    <row r="12" spans="1:14">
      <c r="A12" s="58" t="s">
        <v>34</v>
      </c>
      <c r="B12" s="59" t="s">
        <v>63</v>
      </c>
      <c r="C12" s="60" t="s">
        <v>64</v>
      </c>
      <c r="E12" s="61" t="s">
        <v>15</v>
      </c>
      <c r="F12" s="62" t="s">
        <v>65</v>
      </c>
      <c r="G12" s="62" t="s">
        <v>66</v>
      </c>
      <c r="H12" s="62" t="s">
        <v>67</v>
      </c>
      <c r="I12" s="63" t="s">
        <v>68</v>
      </c>
      <c r="K12" s="61" t="s">
        <v>69</v>
      </c>
      <c r="L12" s="62" t="s">
        <v>70</v>
      </c>
      <c r="M12" s="62" t="s">
        <v>71</v>
      </c>
      <c r="N12" s="64" t="s">
        <v>72</v>
      </c>
    </row>
    <row r="13" spans="1:14">
      <c r="A13" s="65" t="s">
        <v>73</v>
      </c>
      <c r="B13" s="66">
        <v>90000</v>
      </c>
      <c r="C13" s="67">
        <v>1</v>
      </c>
      <c r="E13" s="68">
        <f t="shared" ref="E13:E21" si="0">$B$23+$B$24*C13</f>
        <v>88711.111111111095</v>
      </c>
      <c r="F13" s="69">
        <f t="shared" ref="F13:F21" si="1">B13-E13</f>
        <v>1288.8888888889051</v>
      </c>
      <c r="G13" s="69">
        <f t="shared" ref="G13:G21" si="2">ABS(F13)</f>
        <v>1288.8888888889051</v>
      </c>
      <c r="H13" s="69">
        <f t="shared" ref="H13:H21" si="3">F13^2</f>
        <v>1661234.5679012763</v>
      </c>
      <c r="I13" s="70">
        <f t="shared" ref="I13:I21" si="4">G13/B13</f>
        <v>1.4320987654321167E-2</v>
      </c>
      <c r="K13" s="68"/>
      <c r="L13" s="69"/>
      <c r="M13" s="69"/>
      <c r="N13" s="71"/>
    </row>
    <row r="14" spans="1:14">
      <c r="A14" s="65" t="s">
        <v>74</v>
      </c>
      <c r="B14" s="66">
        <v>95000</v>
      </c>
      <c r="C14" s="67">
        <v>2</v>
      </c>
      <c r="E14" s="68">
        <f t="shared" si="0"/>
        <v>92394.444444444438</v>
      </c>
      <c r="F14" s="69">
        <f t="shared" si="1"/>
        <v>2605.555555555562</v>
      </c>
      <c r="G14" s="69">
        <f t="shared" si="2"/>
        <v>2605.555555555562</v>
      </c>
      <c r="H14" s="69">
        <f t="shared" si="3"/>
        <v>6788919.7530864533</v>
      </c>
      <c r="I14" s="70">
        <f t="shared" si="4"/>
        <v>2.742690058479539E-2</v>
      </c>
      <c r="K14" s="68"/>
      <c r="L14" s="69"/>
      <c r="M14" s="69"/>
      <c r="N14" s="71"/>
    </row>
    <row r="15" spans="1:14">
      <c r="A15" s="65" t="s">
        <v>75</v>
      </c>
      <c r="B15" s="66">
        <v>98000</v>
      </c>
      <c r="C15" s="67">
        <v>3</v>
      </c>
      <c r="E15" s="68">
        <f t="shared" si="0"/>
        <v>96077.777777777766</v>
      </c>
      <c r="F15" s="69">
        <f t="shared" si="1"/>
        <v>1922.2222222222335</v>
      </c>
      <c r="G15" s="69">
        <f t="shared" si="2"/>
        <v>1922.2222222222335</v>
      </c>
      <c r="H15" s="69">
        <f t="shared" si="3"/>
        <v>3694938.2716049817</v>
      </c>
      <c r="I15" s="70">
        <f t="shared" si="4"/>
        <v>1.9614512471655444E-2</v>
      </c>
      <c r="K15" s="68">
        <f>F15</f>
        <v>1922.2222222222335</v>
      </c>
      <c r="L15" s="69">
        <f>G15</f>
        <v>1922.2222222222335</v>
      </c>
      <c r="M15" s="69">
        <f>G15</f>
        <v>1922.2222222222335</v>
      </c>
      <c r="N15" s="71">
        <f t="shared" ref="N15:N21" si="5">K15/M15</f>
        <v>1</v>
      </c>
    </row>
    <row r="16" spans="1:14">
      <c r="A16" s="65" t="s">
        <v>76</v>
      </c>
      <c r="B16" s="66">
        <v>96000</v>
      </c>
      <c r="C16" s="67">
        <v>4</v>
      </c>
      <c r="E16" s="68">
        <f t="shared" si="0"/>
        <v>99761.111111111095</v>
      </c>
      <c r="F16" s="69">
        <f t="shared" si="1"/>
        <v>-3761.1111111110949</v>
      </c>
      <c r="G16" s="69">
        <f t="shared" si="2"/>
        <v>3761.1111111110949</v>
      </c>
      <c r="H16" s="69">
        <f t="shared" si="3"/>
        <v>14145956.790123336</v>
      </c>
      <c r="I16" s="70">
        <f t="shared" si="4"/>
        <v>3.9178240740740569E-2</v>
      </c>
      <c r="K16" s="68">
        <f t="shared" ref="K16:L21" si="6">K15+F16</f>
        <v>-1838.8888888888614</v>
      </c>
      <c r="L16" s="69">
        <f t="shared" si="6"/>
        <v>5683.3333333333285</v>
      </c>
      <c r="M16" s="69">
        <f>SUM($G$13:G16)/COUNT($G$13:G16)</f>
        <v>2394.4444444444489</v>
      </c>
      <c r="N16" s="71">
        <f t="shared" si="5"/>
        <v>-0.76798143851506828</v>
      </c>
    </row>
    <row r="17" spans="1:14">
      <c r="A17" s="65" t="s">
        <v>77</v>
      </c>
      <c r="B17" s="66">
        <v>102000</v>
      </c>
      <c r="C17" s="67">
        <v>5</v>
      </c>
      <c r="E17" s="68">
        <f t="shared" si="0"/>
        <v>103444.44444444444</v>
      </c>
      <c r="F17" s="69">
        <f t="shared" si="1"/>
        <v>-1444.444444444438</v>
      </c>
      <c r="G17" s="69">
        <f t="shared" si="2"/>
        <v>1444.444444444438</v>
      </c>
      <c r="H17" s="69">
        <f t="shared" si="3"/>
        <v>2086419.7530864011</v>
      </c>
      <c r="I17" s="70">
        <f t="shared" si="4"/>
        <v>1.4161220043572922E-2</v>
      </c>
      <c r="K17" s="68">
        <f t="shared" si="6"/>
        <v>-3283.3333333332994</v>
      </c>
      <c r="L17" s="69">
        <f t="shared" si="6"/>
        <v>7127.7777777777665</v>
      </c>
      <c r="M17" s="69">
        <f>SUM($G$13:G17)/COUNT($G$13:G17)</f>
        <v>2204.4444444444466</v>
      </c>
      <c r="N17" s="71">
        <f t="shared" si="5"/>
        <v>-1.4894153225806284</v>
      </c>
    </row>
    <row r="18" spans="1:14">
      <c r="A18" s="65" t="s">
        <v>78</v>
      </c>
      <c r="B18" s="66">
        <v>99000</v>
      </c>
      <c r="C18" s="67">
        <v>6</v>
      </c>
      <c r="E18" s="68">
        <f t="shared" si="0"/>
        <v>107127.77777777777</v>
      </c>
      <c r="F18" s="69">
        <f t="shared" si="1"/>
        <v>-8127.7777777777665</v>
      </c>
      <c r="G18" s="69">
        <f t="shared" si="2"/>
        <v>8127.7777777777665</v>
      </c>
      <c r="H18" s="69">
        <f t="shared" si="3"/>
        <v>66060771.60493809</v>
      </c>
      <c r="I18" s="70">
        <f t="shared" si="4"/>
        <v>8.2098765432098653E-2</v>
      </c>
      <c r="K18" s="68">
        <f t="shared" si="6"/>
        <v>-11411.111111111066</v>
      </c>
      <c r="L18" s="69">
        <f t="shared" si="6"/>
        <v>15255.555555555533</v>
      </c>
      <c r="M18" s="69">
        <f>SUM($G$13:G18)/COUNT($G$13:G18)</f>
        <v>3191.6666666666665</v>
      </c>
      <c r="N18" s="71">
        <f t="shared" si="5"/>
        <v>-3.575282854656209</v>
      </c>
    </row>
    <row r="19" spans="1:14">
      <c r="A19" s="65" t="s">
        <v>79</v>
      </c>
      <c r="B19" s="66">
        <v>118000</v>
      </c>
      <c r="C19" s="67">
        <v>7</v>
      </c>
      <c r="E19" s="68">
        <f t="shared" si="0"/>
        <v>110811.11111111109</v>
      </c>
      <c r="F19" s="69">
        <f t="shared" si="1"/>
        <v>7188.8888888889051</v>
      </c>
      <c r="G19" s="69">
        <f t="shared" si="2"/>
        <v>7188.8888888889051</v>
      </c>
      <c r="H19" s="69">
        <f t="shared" si="3"/>
        <v>51680123.456790358</v>
      </c>
      <c r="I19" s="70">
        <f t="shared" si="4"/>
        <v>6.0922787193973774E-2</v>
      </c>
      <c r="K19" s="68">
        <f t="shared" si="6"/>
        <v>-4222.2222222221608</v>
      </c>
      <c r="L19" s="69">
        <f t="shared" si="6"/>
        <v>22444.444444444438</v>
      </c>
      <c r="M19" s="69">
        <f>SUM($G$13:G19)/COUNT($G$13:G19)</f>
        <v>3762.6984126984148</v>
      </c>
      <c r="N19" s="71">
        <f t="shared" si="5"/>
        <v>-1.1221261337270449</v>
      </c>
    </row>
    <row r="20" spans="1:14">
      <c r="A20" s="65" t="s">
        <v>80</v>
      </c>
      <c r="B20" s="66">
        <v>109000</v>
      </c>
      <c r="C20" s="67">
        <v>8</v>
      </c>
      <c r="E20" s="68">
        <f t="shared" si="0"/>
        <v>114494.44444444444</v>
      </c>
      <c r="F20" s="69">
        <f t="shared" si="1"/>
        <v>-5494.444444444438</v>
      </c>
      <c r="G20" s="69">
        <f t="shared" si="2"/>
        <v>5494.444444444438</v>
      </c>
      <c r="H20" s="69">
        <f t="shared" si="3"/>
        <v>30188919.753086347</v>
      </c>
      <c r="I20" s="70">
        <f t="shared" si="4"/>
        <v>5.0407747196737962E-2</v>
      </c>
      <c r="K20" s="68">
        <f t="shared" si="6"/>
        <v>-9716.6666666665988</v>
      </c>
      <c r="L20" s="69">
        <f t="shared" si="6"/>
        <v>27938.888888888876</v>
      </c>
      <c r="M20" s="69">
        <f>SUM($G$13:G20)/COUNT($G$13:G20)</f>
        <v>3979.1666666666679</v>
      </c>
      <c r="N20" s="71">
        <f t="shared" si="5"/>
        <v>-2.4418848167539089</v>
      </c>
    </row>
    <row r="21" spans="1:14" ht="15" thickBot="1">
      <c r="A21" s="72" t="s">
        <v>81</v>
      </c>
      <c r="B21" s="73">
        <v>124000</v>
      </c>
      <c r="C21" s="74">
        <v>9</v>
      </c>
      <c r="E21" s="75">
        <f t="shared" si="0"/>
        <v>118177.77777777777</v>
      </c>
      <c r="F21" s="76">
        <f t="shared" si="1"/>
        <v>5822.2222222222335</v>
      </c>
      <c r="G21" s="76">
        <f t="shared" si="2"/>
        <v>5822.2222222222335</v>
      </c>
      <c r="H21" s="76">
        <f t="shared" si="3"/>
        <v>33898271.604938403</v>
      </c>
      <c r="I21" s="77">
        <f t="shared" si="4"/>
        <v>4.6953405017921238E-2</v>
      </c>
      <c r="K21" s="68">
        <f t="shared" si="6"/>
        <v>-3894.4444444443652</v>
      </c>
      <c r="L21" s="69">
        <f t="shared" si="6"/>
        <v>33761.111111111109</v>
      </c>
      <c r="M21" s="69">
        <f>SUM($G$13:G21)/COUNT($G$13:G21)</f>
        <v>4183.9506172839529</v>
      </c>
      <c r="N21" s="71">
        <f t="shared" si="5"/>
        <v>-0.9308055473590835</v>
      </c>
    </row>
    <row r="22" spans="1:14" ht="15" thickBot="1">
      <c r="E22" s="61" t="s">
        <v>82</v>
      </c>
      <c r="F22" s="62">
        <f>SUM(F13:F21)</f>
        <v>1.0186340659856796E-10</v>
      </c>
      <c r="G22" s="62">
        <f>SUM(G13:G21)</f>
        <v>37655.555555555577</v>
      </c>
      <c r="H22" s="62">
        <f>SUM(H13:H21)</f>
        <v>210205555.55555564</v>
      </c>
      <c r="I22" s="63">
        <f>SUM(I13:I21)</f>
        <v>0.35508456633581709</v>
      </c>
    </row>
    <row r="23" spans="1:14">
      <c r="A23" s="78" t="s">
        <v>83</v>
      </c>
      <c r="B23" s="79">
        <f>INTERCEPT(B13:B21,C13:C21)</f>
        <v>85027.777777777766</v>
      </c>
      <c r="E23" s="80" t="s">
        <v>84</v>
      </c>
      <c r="F23" s="81">
        <f>AVERAGE(F13:F21)</f>
        <v>1.1318156288729774E-11</v>
      </c>
      <c r="G23" s="81">
        <f>AVERAGE(G13:G21)</f>
        <v>4183.9506172839529</v>
      </c>
      <c r="H23" s="81">
        <f>AVERAGE(H13:H21)</f>
        <v>23356172.839506183</v>
      </c>
      <c r="I23" s="82">
        <f>AVERAGE(I13:I21)</f>
        <v>3.9453840703979677E-2</v>
      </c>
    </row>
    <row r="24" spans="1:14" ht="15" thickBot="1">
      <c r="A24" s="83" t="s">
        <v>85</v>
      </c>
      <c r="B24" s="84">
        <f>SLOPE(B13:B21,C13:C21)</f>
        <v>3683.3333333333335</v>
      </c>
      <c r="E24" s="80"/>
      <c r="F24" s="81" t="s">
        <v>86</v>
      </c>
      <c r="G24" s="81" t="s">
        <v>23</v>
      </c>
      <c r="H24" s="81" t="s">
        <v>21</v>
      </c>
      <c r="I24" s="85" t="s">
        <v>87</v>
      </c>
    </row>
    <row r="25" spans="1:14">
      <c r="E25" s="80"/>
      <c r="F25" s="81"/>
      <c r="G25" s="81" t="s">
        <v>88</v>
      </c>
      <c r="H25" s="81">
        <f>STEYX(B13:B21,C13:C21)</f>
        <v>5479.905572121208</v>
      </c>
      <c r="I25" s="85"/>
    </row>
    <row r="26" spans="1:14">
      <c r="A26" s="56" t="s">
        <v>15</v>
      </c>
      <c r="B26" s="56">
        <f>$B$23+$B$24*C26</f>
        <v>121861.11111111109</v>
      </c>
      <c r="C26" s="86">
        <v>10</v>
      </c>
      <c r="E26" s="80"/>
      <c r="F26" s="81"/>
      <c r="G26" s="81"/>
      <c r="H26" s="81"/>
      <c r="I26" s="85"/>
    </row>
    <row r="27" spans="1:14">
      <c r="E27" s="80"/>
      <c r="F27" s="81"/>
      <c r="G27" s="81" t="s">
        <v>89</v>
      </c>
      <c r="H27" s="81">
        <f>CORREL(B13:B21,C13:C21)</f>
        <v>0.89149631286483444</v>
      </c>
      <c r="I27" s="85"/>
    </row>
    <row r="28" spans="1:14" ht="15" thickBot="1">
      <c r="E28" s="83"/>
      <c r="F28" s="87"/>
      <c r="G28" s="88" t="s">
        <v>90</v>
      </c>
      <c r="H28" s="87">
        <f>H27*H27</f>
        <v>0.79476567585159474</v>
      </c>
      <c r="I28" s="84"/>
    </row>
  </sheetData>
  <pageMargins left="0.75" right="0.75" top="1" bottom="1" header="0.5" footer="0.5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6"/>
  <sheetViews>
    <sheetView workbookViewId="0">
      <selection activeCell="D33" sqref="D33"/>
    </sheetView>
  </sheetViews>
  <sheetFormatPr baseColWidth="10" defaultRowHeight="12" x14ac:dyDescent="0"/>
  <cols>
    <col min="1" max="1" width="30.83203125" style="156" bestFit="1" customWidth="1"/>
    <col min="2" max="7" width="10.83203125" style="156"/>
    <col min="8" max="8" width="14" style="156" bestFit="1" customWidth="1"/>
    <col min="9" max="16384" width="10.83203125" style="156"/>
  </cols>
  <sheetData>
    <row r="1" spans="1:13">
      <c r="A1" s="197" t="s">
        <v>56</v>
      </c>
    </row>
    <row r="2" spans="1:13">
      <c r="A2" s="196">
        <f ca="1">NOW()</f>
        <v>41673.864140046295</v>
      </c>
    </row>
    <row r="4" spans="1:13" ht="15">
      <c r="A4" s="195" t="s">
        <v>116</v>
      </c>
    </row>
    <row r="6" spans="1:13" ht="14">
      <c r="A6" s="159" t="s">
        <v>58</v>
      </c>
      <c r="B6" s="159"/>
      <c r="C6" s="159" t="s">
        <v>113</v>
      </c>
      <c r="D6" s="159"/>
      <c r="E6" s="159"/>
      <c r="F6" s="159"/>
      <c r="G6" s="159"/>
      <c r="H6" s="159"/>
    </row>
    <row r="7" spans="1:13">
      <c r="A7" s="157"/>
      <c r="B7" s="157"/>
    </row>
    <row r="10" spans="1:13">
      <c r="A10" s="156" t="s">
        <v>91</v>
      </c>
      <c r="B10" s="162">
        <v>0.3</v>
      </c>
      <c r="C10" s="161" t="str">
        <f>IF(OR(B10&lt;0,B10&gt;1),"Alpha should be between 0 and 1","")</f>
        <v/>
      </c>
      <c r="H10" s="163"/>
    </row>
    <row r="11" spans="1:13" ht="13" thickBot="1">
      <c r="A11" s="160" t="s">
        <v>60</v>
      </c>
      <c r="D11" s="174" t="s">
        <v>61</v>
      </c>
      <c r="H11" s="163"/>
      <c r="J11" s="191" t="s">
        <v>62</v>
      </c>
    </row>
    <row r="12" spans="1:13">
      <c r="A12" s="164" t="s">
        <v>34</v>
      </c>
      <c r="B12" s="165" t="s">
        <v>92</v>
      </c>
      <c r="D12" s="179" t="s">
        <v>15</v>
      </c>
      <c r="E12" s="180" t="s">
        <v>65</v>
      </c>
      <c r="F12" s="180" t="s">
        <v>66</v>
      </c>
      <c r="G12" s="180" t="s">
        <v>67</v>
      </c>
      <c r="H12" s="184" t="s">
        <v>68</v>
      </c>
      <c r="J12" s="170" t="s">
        <v>114</v>
      </c>
      <c r="K12" s="171" t="s">
        <v>70</v>
      </c>
      <c r="L12" s="171" t="s">
        <v>71</v>
      </c>
      <c r="M12" s="193" t="s">
        <v>115</v>
      </c>
    </row>
    <row r="13" spans="1:13" ht="14">
      <c r="A13" s="65" t="s">
        <v>73</v>
      </c>
      <c r="B13" s="66">
        <v>90000</v>
      </c>
      <c r="D13" s="194">
        <f>$B$13</f>
        <v>90000</v>
      </c>
      <c r="E13" s="168">
        <f t="shared" ref="E13:E21" si="0">B13-D13</f>
        <v>0</v>
      </c>
      <c r="F13" s="168">
        <f t="shared" ref="F13:F21" si="1">ABS(E13)</f>
        <v>0</v>
      </c>
      <c r="G13" s="168">
        <f t="shared" ref="G13:G21" si="2">E13^2</f>
        <v>0</v>
      </c>
      <c r="H13" s="188">
        <f t="shared" ref="H13:H21" si="3">F13/B13</f>
        <v>0</v>
      </c>
      <c r="J13" s="169"/>
      <c r="K13" s="168"/>
      <c r="L13" s="168"/>
      <c r="M13" s="189"/>
    </row>
    <row r="14" spans="1:13" ht="14">
      <c r="A14" s="65" t="s">
        <v>74</v>
      </c>
      <c r="B14" s="66">
        <v>95000</v>
      </c>
      <c r="D14" s="169">
        <f t="shared" ref="D14:D21" si="4">+D13+$B$10*(B13-D13)</f>
        <v>90000</v>
      </c>
      <c r="E14" s="168">
        <f t="shared" si="0"/>
        <v>5000</v>
      </c>
      <c r="F14" s="168">
        <f t="shared" si="1"/>
        <v>5000</v>
      </c>
      <c r="G14" s="168">
        <f t="shared" si="2"/>
        <v>25000000</v>
      </c>
      <c r="H14" s="188">
        <f>F14/B14</f>
        <v>5.2631578947368418E-2</v>
      </c>
      <c r="J14" s="169">
        <f>J13+E14</f>
        <v>5000</v>
      </c>
      <c r="K14" s="168">
        <f>K13+F14</f>
        <v>5000</v>
      </c>
      <c r="L14" s="168">
        <f>SUM($F$13:F14)/COUNT($F$13:F14)</f>
        <v>2500</v>
      </c>
      <c r="M14" s="189">
        <f>J14/L14</f>
        <v>2</v>
      </c>
    </row>
    <row r="15" spans="1:13" ht="14">
      <c r="A15" s="65" t="s">
        <v>75</v>
      </c>
      <c r="B15" s="66">
        <v>98000</v>
      </c>
      <c r="D15" s="169">
        <f t="shared" si="4"/>
        <v>91500</v>
      </c>
      <c r="E15" s="168">
        <f t="shared" si="0"/>
        <v>6500</v>
      </c>
      <c r="F15" s="168">
        <f t="shared" si="1"/>
        <v>6500</v>
      </c>
      <c r="G15" s="168">
        <f t="shared" si="2"/>
        <v>42250000</v>
      </c>
      <c r="H15" s="188">
        <f t="shared" si="3"/>
        <v>6.6326530612244902E-2</v>
      </c>
      <c r="J15" s="169">
        <f t="shared" ref="J15:J21" si="5">J14+E15</f>
        <v>11500</v>
      </c>
      <c r="K15" s="168">
        <f t="shared" ref="K15:K21" si="6">K14+F15</f>
        <v>11500</v>
      </c>
      <c r="L15" s="168">
        <f>SUM($F$13:F15)/COUNT($F$13:F15)</f>
        <v>3833.3333333333335</v>
      </c>
      <c r="M15" s="189">
        <f t="shared" ref="M15:M21" si="7">J15/L15</f>
        <v>3</v>
      </c>
    </row>
    <row r="16" spans="1:13" ht="14">
      <c r="A16" s="65" t="s">
        <v>76</v>
      </c>
      <c r="B16" s="66">
        <v>96000</v>
      </c>
      <c r="D16" s="169">
        <f t="shared" si="4"/>
        <v>93450</v>
      </c>
      <c r="E16" s="168">
        <f t="shared" si="0"/>
        <v>2550</v>
      </c>
      <c r="F16" s="168">
        <f t="shared" si="1"/>
        <v>2550</v>
      </c>
      <c r="G16" s="168">
        <f t="shared" si="2"/>
        <v>6502500</v>
      </c>
      <c r="H16" s="188">
        <f t="shared" si="3"/>
        <v>2.6562499999999999E-2</v>
      </c>
      <c r="J16" s="169">
        <f t="shared" si="5"/>
        <v>14050</v>
      </c>
      <c r="K16" s="168">
        <f t="shared" si="6"/>
        <v>14050</v>
      </c>
      <c r="L16" s="168">
        <f>SUM($F$13:F16)/COUNT($F$13:F16)</f>
        <v>3512.5</v>
      </c>
      <c r="M16" s="189">
        <f t="shared" si="7"/>
        <v>4</v>
      </c>
    </row>
    <row r="17" spans="1:13" ht="14">
      <c r="A17" s="65" t="s">
        <v>77</v>
      </c>
      <c r="B17" s="66">
        <v>102000</v>
      </c>
      <c r="D17" s="169">
        <f t="shared" si="4"/>
        <v>94215</v>
      </c>
      <c r="E17" s="168">
        <f t="shared" si="0"/>
        <v>7785</v>
      </c>
      <c r="F17" s="168">
        <f t="shared" si="1"/>
        <v>7785</v>
      </c>
      <c r="G17" s="168">
        <f t="shared" si="2"/>
        <v>60606225</v>
      </c>
      <c r="H17" s="188">
        <f t="shared" si="3"/>
        <v>7.6323529411764707E-2</v>
      </c>
      <c r="J17" s="169">
        <f t="shared" si="5"/>
        <v>21835</v>
      </c>
      <c r="K17" s="168">
        <f t="shared" si="6"/>
        <v>21835</v>
      </c>
      <c r="L17" s="168">
        <f>SUM($F$13:F17)/COUNT($F$13:F17)</f>
        <v>4367</v>
      </c>
      <c r="M17" s="189">
        <f t="shared" si="7"/>
        <v>5</v>
      </c>
    </row>
    <row r="18" spans="1:13" ht="14">
      <c r="A18" s="65" t="s">
        <v>78</v>
      </c>
      <c r="B18" s="66">
        <v>99000</v>
      </c>
      <c r="D18" s="169">
        <f t="shared" si="4"/>
        <v>96550.5</v>
      </c>
      <c r="E18" s="168">
        <f t="shared" si="0"/>
        <v>2449.5</v>
      </c>
      <c r="F18" s="168">
        <f t="shared" si="1"/>
        <v>2449.5</v>
      </c>
      <c r="G18" s="168">
        <f t="shared" si="2"/>
        <v>6000050.25</v>
      </c>
      <c r="H18" s="188">
        <f t="shared" si="3"/>
        <v>2.4742424242424243E-2</v>
      </c>
      <c r="J18" s="169">
        <f t="shared" si="5"/>
        <v>24284.5</v>
      </c>
      <c r="K18" s="168">
        <f t="shared" si="6"/>
        <v>24284.5</v>
      </c>
      <c r="L18" s="168">
        <f>SUM($F$13:F18)/COUNT($F$13:F18)</f>
        <v>4047.4166666666665</v>
      </c>
      <c r="M18" s="189">
        <f t="shared" si="7"/>
        <v>6</v>
      </c>
    </row>
    <row r="19" spans="1:13" ht="14">
      <c r="A19" s="65" t="s">
        <v>79</v>
      </c>
      <c r="B19" s="66">
        <v>118000</v>
      </c>
      <c r="D19" s="169">
        <f t="shared" si="4"/>
        <v>97285.35</v>
      </c>
      <c r="E19" s="168">
        <f t="shared" si="0"/>
        <v>20714.649999999994</v>
      </c>
      <c r="F19" s="168">
        <f t="shared" si="1"/>
        <v>20714.649999999994</v>
      </c>
      <c r="G19" s="168">
        <f t="shared" si="2"/>
        <v>429096724.62249976</v>
      </c>
      <c r="H19" s="188">
        <f t="shared" si="3"/>
        <v>0.17554788135593216</v>
      </c>
      <c r="J19" s="169">
        <f t="shared" si="5"/>
        <v>44999.149999999994</v>
      </c>
      <c r="K19" s="168">
        <f t="shared" si="6"/>
        <v>44999.149999999994</v>
      </c>
      <c r="L19" s="168">
        <f>SUM($F$13:F19)/COUNT($F$13:F19)</f>
        <v>6428.4499999999989</v>
      </c>
      <c r="M19" s="189">
        <f t="shared" si="7"/>
        <v>7</v>
      </c>
    </row>
    <row r="20" spans="1:13" ht="14">
      <c r="A20" s="65" t="s">
        <v>80</v>
      </c>
      <c r="B20" s="66">
        <v>109000</v>
      </c>
      <c r="D20" s="169">
        <f t="shared" si="4"/>
        <v>103499.74500000001</v>
      </c>
      <c r="E20" s="168">
        <f t="shared" si="0"/>
        <v>5500.2549999999901</v>
      </c>
      <c r="F20" s="168">
        <f t="shared" si="1"/>
        <v>5500.2549999999901</v>
      </c>
      <c r="G20" s="168">
        <f t="shared" si="2"/>
        <v>30252805.06502489</v>
      </c>
      <c r="H20" s="188">
        <f t="shared" si="3"/>
        <v>5.0461055045871471E-2</v>
      </c>
      <c r="J20" s="169">
        <f t="shared" si="5"/>
        <v>50499.404999999984</v>
      </c>
      <c r="K20" s="168">
        <f t="shared" si="6"/>
        <v>50499.404999999984</v>
      </c>
      <c r="L20" s="168">
        <f>SUM($F$13:F20)/COUNT($F$13:F20)</f>
        <v>6312.425624999998</v>
      </c>
      <c r="M20" s="189">
        <f t="shared" si="7"/>
        <v>8</v>
      </c>
    </row>
    <row r="21" spans="1:13" ht="15" thickBot="1">
      <c r="A21" s="72" t="s">
        <v>81</v>
      </c>
      <c r="B21" s="73">
        <v>124000</v>
      </c>
      <c r="D21" s="169">
        <f t="shared" si="4"/>
        <v>105149.82150000001</v>
      </c>
      <c r="E21" s="168">
        <f t="shared" si="0"/>
        <v>18850.178499999995</v>
      </c>
      <c r="F21" s="168">
        <f t="shared" si="1"/>
        <v>18850.178499999995</v>
      </c>
      <c r="G21" s="168">
        <f t="shared" si="2"/>
        <v>355329229.48186207</v>
      </c>
      <c r="H21" s="189">
        <f t="shared" si="3"/>
        <v>0.15201756854838705</v>
      </c>
      <c r="J21" s="169">
        <f t="shared" si="5"/>
        <v>69349.583499999979</v>
      </c>
      <c r="K21" s="168">
        <f t="shared" si="6"/>
        <v>69349.583499999979</v>
      </c>
      <c r="L21" s="168">
        <f>SUM($F$13:F21)/COUNT($F$13:F21)</f>
        <v>7705.5092777777754</v>
      </c>
      <c r="M21" s="189">
        <f t="shared" si="7"/>
        <v>9</v>
      </c>
    </row>
    <row r="22" spans="1:13">
      <c r="D22" s="190" t="s">
        <v>82</v>
      </c>
      <c r="E22" s="168">
        <f>SUM(E13:E21)</f>
        <v>69349.583499999979</v>
      </c>
      <c r="F22" s="168">
        <f>SUM(F13:F21)</f>
        <v>69349.583499999979</v>
      </c>
      <c r="G22" s="168">
        <f>SUM(G13:G21)</f>
        <v>955037534.41938663</v>
      </c>
      <c r="H22" s="188">
        <f>SUM(H13:H21)</f>
        <v>0.62461306816399298</v>
      </c>
    </row>
    <row r="23" spans="1:13">
      <c r="D23" s="178" t="s">
        <v>84</v>
      </c>
      <c r="E23" s="176">
        <f>AVERAGE(E13:E21)</f>
        <v>7705.5092777777754</v>
      </c>
      <c r="F23" s="176">
        <f>AVERAGE(F13:F21)</f>
        <v>7705.5092777777754</v>
      </c>
      <c r="G23" s="176">
        <f>AVERAGE(G13:G21)</f>
        <v>106115281.60215408</v>
      </c>
      <c r="H23" s="185">
        <f>AVERAGE(H13:H21)</f>
        <v>6.9401452018221441E-2</v>
      </c>
    </row>
    <row r="24" spans="1:13">
      <c r="D24" s="175"/>
      <c r="E24" s="177" t="s">
        <v>86</v>
      </c>
      <c r="F24" s="177" t="s">
        <v>23</v>
      </c>
      <c r="G24" s="177" t="s">
        <v>21</v>
      </c>
      <c r="H24" s="186" t="s">
        <v>87</v>
      </c>
    </row>
    <row r="25" spans="1:13" ht="13" thickBot="1">
      <c r="D25" s="181"/>
      <c r="E25" s="182"/>
      <c r="F25" s="183" t="s">
        <v>88</v>
      </c>
      <c r="G25" s="182">
        <f>SQRT(G22/(COUNT(G13:G21)-2))</f>
        <v>11680.493717668094</v>
      </c>
      <c r="H25" s="187"/>
    </row>
    <row r="26" spans="1:13" ht="13" thickBot="1">
      <c r="A26" s="172" t="s">
        <v>98</v>
      </c>
      <c r="B26" s="173">
        <f>+D21+$B$10*(B21-D21)</f>
        <v>110804.87505</v>
      </c>
      <c r="G26" s="156" t="str">
        <f>IF(COUNT(G13:G21)-2&lt;1,"Not enough data to compute the standard error","")</f>
        <v/>
      </c>
    </row>
  </sheetData>
  <pageMargins left="0.75" right="0.75" top="1" bottom="1" header="0.5" footer="0.5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6"/>
  <sheetViews>
    <sheetView workbookViewId="0">
      <selection activeCell="G36" sqref="G36"/>
    </sheetView>
  </sheetViews>
  <sheetFormatPr baseColWidth="10" defaultRowHeight="12" x14ac:dyDescent="0"/>
  <cols>
    <col min="1" max="1" width="18.1640625" style="156" bestFit="1" customWidth="1"/>
    <col min="2" max="7" width="10.83203125" style="156"/>
    <col min="8" max="8" width="14" style="156" bestFit="1" customWidth="1"/>
    <col min="9" max="16384" width="10.83203125" style="156"/>
  </cols>
  <sheetData>
    <row r="1" spans="1:10">
      <c r="A1" s="197" t="s">
        <v>56</v>
      </c>
    </row>
    <row r="2" spans="1:10">
      <c r="A2" s="196">
        <f ca="1">NOW()</f>
        <v>41673.864140046295</v>
      </c>
    </row>
    <row r="4" spans="1:10" ht="16">
      <c r="A4" s="158" t="s">
        <v>58</v>
      </c>
      <c r="B4" s="159"/>
      <c r="C4" s="159" t="s">
        <v>93</v>
      </c>
      <c r="D4" s="159"/>
      <c r="E4" s="159"/>
      <c r="F4" s="159"/>
      <c r="G4" s="159"/>
      <c r="H4" s="159"/>
      <c r="I4" s="159"/>
      <c r="J4" s="159"/>
    </row>
    <row r="5" spans="1:10">
      <c r="A5" s="157"/>
      <c r="B5" s="157"/>
    </row>
    <row r="8" spans="1:10">
      <c r="A8" s="156" t="s">
        <v>91</v>
      </c>
      <c r="B8" s="162">
        <v>0.3</v>
      </c>
      <c r="C8" s="161" t="str">
        <f>IF(OR(B8&lt;0,B8&gt;1),"Alpha should be between 0 and 1","")</f>
        <v/>
      </c>
    </row>
    <row r="9" spans="1:10">
      <c r="A9" s="156" t="s">
        <v>94</v>
      </c>
      <c r="B9" s="162">
        <v>0.4</v>
      </c>
      <c r="C9" s="161" t="str">
        <f>IF(OR(B9&lt;0,B9&gt;1),"Beta should be between 0 and 1","")</f>
        <v/>
      </c>
      <c r="J9" s="163"/>
    </row>
    <row r="10" spans="1:10" ht="13" thickBot="1">
      <c r="A10" s="160" t="s">
        <v>60</v>
      </c>
      <c r="D10" s="174" t="s">
        <v>61</v>
      </c>
      <c r="E10" s="174"/>
      <c r="F10" s="174"/>
      <c r="J10" s="163"/>
    </row>
    <row r="11" spans="1:10" s="203" customFormat="1" ht="37">
      <c r="A11" s="201" t="s">
        <v>34</v>
      </c>
      <c r="B11" s="202" t="s">
        <v>92</v>
      </c>
      <c r="D11" s="210" t="s">
        <v>95</v>
      </c>
      <c r="E11" s="211" t="s">
        <v>96</v>
      </c>
      <c r="F11" s="211" t="s">
        <v>97</v>
      </c>
      <c r="G11" s="204" t="s">
        <v>65</v>
      </c>
      <c r="H11" s="204" t="s">
        <v>66</v>
      </c>
      <c r="I11" s="204" t="s">
        <v>67</v>
      </c>
      <c r="J11" s="205" t="s">
        <v>68</v>
      </c>
    </row>
    <row r="12" spans="1:10" ht="14">
      <c r="A12" s="65" t="s">
        <v>73</v>
      </c>
      <c r="B12" s="66">
        <v>90000</v>
      </c>
      <c r="D12" s="194">
        <f>$B$12</f>
        <v>90000</v>
      </c>
      <c r="E12" s="194"/>
      <c r="F12" s="167">
        <f>D12+E12</f>
        <v>90000</v>
      </c>
      <c r="G12" s="168">
        <f t="shared" ref="G12:G20" si="0">B12-F12</f>
        <v>0</v>
      </c>
      <c r="H12" s="168">
        <f t="shared" ref="H12:H20" si="1">ABS(G12)</f>
        <v>0</v>
      </c>
      <c r="I12" s="168">
        <f t="shared" ref="I12:I20" si="2">G12^2</f>
        <v>0</v>
      </c>
      <c r="J12" s="188">
        <f t="shared" ref="J12:J20" si="3">H12/B12</f>
        <v>0</v>
      </c>
    </row>
    <row r="13" spans="1:10" ht="14">
      <c r="A13" s="65" t="s">
        <v>74</v>
      </c>
      <c r="B13" s="66">
        <v>95000</v>
      </c>
      <c r="D13" s="169">
        <f>$B$8*B12+(1-$B$8)*F12</f>
        <v>90000</v>
      </c>
      <c r="E13" s="167">
        <f>$B$9*(D13-D12)+(1-$B$9)*E12</f>
        <v>0</v>
      </c>
      <c r="F13" s="167">
        <f>D13+E13</f>
        <v>90000</v>
      </c>
      <c r="G13" s="168">
        <f t="shared" si="0"/>
        <v>5000</v>
      </c>
      <c r="H13" s="168">
        <f t="shared" si="1"/>
        <v>5000</v>
      </c>
      <c r="I13" s="168">
        <f t="shared" si="2"/>
        <v>25000000</v>
      </c>
      <c r="J13" s="188">
        <f t="shared" si="3"/>
        <v>5.2631578947368418E-2</v>
      </c>
    </row>
    <row r="14" spans="1:10" ht="14">
      <c r="A14" s="65" t="s">
        <v>75</v>
      </c>
      <c r="B14" s="66">
        <v>98000</v>
      </c>
      <c r="D14" s="169">
        <f t="shared" ref="D14:D21" si="4">$B$8*B13+(1-$B$8)*F13</f>
        <v>91500</v>
      </c>
      <c r="E14" s="167">
        <f t="shared" ref="E14:E21" si="5">$B$9*(D14-D13)+(1-$B$9)*E13</f>
        <v>600</v>
      </c>
      <c r="F14" s="167">
        <f t="shared" ref="F14:F21" si="6">D14+E14</f>
        <v>92100</v>
      </c>
      <c r="G14" s="168">
        <f t="shared" si="0"/>
        <v>5900</v>
      </c>
      <c r="H14" s="168">
        <f t="shared" si="1"/>
        <v>5900</v>
      </c>
      <c r="I14" s="168">
        <f t="shared" si="2"/>
        <v>34810000</v>
      </c>
      <c r="J14" s="188">
        <f t="shared" si="3"/>
        <v>6.0204081632653061E-2</v>
      </c>
    </row>
    <row r="15" spans="1:10" ht="14">
      <c r="A15" s="65" t="s">
        <v>76</v>
      </c>
      <c r="B15" s="66">
        <v>96000</v>
      </c>
      <c r="D15" s="169">
        <f t="shared" si="4"/>
        <v>93870</v>
      </c>
      <c r="E15" s="167">
        <f t="shared" si="5"/>
        <v>1308</v>
      </c>
      <c r="F15" s="167">
        <f t="shared" si="6"/>
        <v>95178</v>
      </c>
      <c r="G15" s="168">
        <f t="shared" si="0"/>
        <v>822</v>
      </c>
      <c r="H15" s="168">
        <f t="shared" si="1"/>
        <v>822</v>
      </c>
      <c r="I15" s="168">
        <f t="shared" si="2"/>
        <v>675684</v>
      </c>
      <c r="J15" s="188">
        <f t="shared" si="3"/>
        <v>8.5625000000000007E-3</v>
      </c>
    </row>
    <row r="16" spans="1:10" ht="14">
      <c r="A16" s="65" t="s">
        <v>77</v>
      </c>
      <c r="B16" s="66">
        <v>102000</v>
      </c>
      <c r="D16" s="169">
        <f t="shared" si="4"/>
        <v>95424.599999999991</v>
      </c>
      <c r="E16" s="167">
        <f t="shared" si="5"/>
        <v>1406.6399999999965</v>
      </c>
      <c r="F16" s="167">
        <f t="shared" si="6"/>
        <v>96831.239999999991</v>
      </c>
      <c r="G16" s="168">
        <f t="shared" si="0"/>
        <v>5168.7600000000093</v>
      </c>
      <c r="H16" s="168">
        <f t="shared" si="1"/>
        <v>5168.7600000000093</v>
      </c>
      <c r="I16" s="168">
        <f t="shared" si="2"/>
        <v>26716079.937600095</v>
      </c>
      <c r="J16" s="188">
        <f t="shared" si="3"/>
        <v>5.0674117647058918E-2</v>
      </c>
    </row>
    <row r="17" spans="1:10" ht="14">
      <c r="A17" s="65" t="s">
        <v>78</v>
      </c>
      <c r="B17" s="66">
        <v>99000</v>
      </c>
      <c r="D17" s="169">
        <f t="shared" si="4"/>
        <v>98381.867999999988</v>
      </c>
      <c r="E17" s="167">
        <f t="shared" si="5"/>
        <v>2026.8911999999964</v>
      </c>
      <c r="F17" s="167">
        <f t="shared" si="6"/>
        <v>100408.75919999999</v>
      </c>
      <c r="G17" s="168">
        <f t="shared" si="0"/>
        <v>-1408.7591999999859</v>
      </c>
      <c r="H17" s="168">
        <f t="shared" si="1"/>
        <v>1408.7591999999859</v>
      </c>
      <c r="I17" s="168">
        <f t="shared" si="2"/>
        <v>1984602.4835846003</v>
      </c>
      <c r="J17" s="188">
        <f t="shared" si="3"/>
        <v>1.4229890909090766E-2</v>
      </c>
    </row>
    <row r="18" spans="1:10" ht="14">
      <c r="A18" s="65" t="s">
        <v>79</v>
      </c>
      <c r="B18" s="66">
        <v>118000</v>
      </c>
      <c r="D18" s="169">
        <f t="shared" si="4"/>
        <v>99986.131439999983</v>
      </c>
      <c r="E18" s="167">
        <f t="shared" si="5"/>
        <v>1857.8400959999958</v>
      </c>
      <c r="F18" s="167">
        <f t="shared" si="6"/>
        <v>101843.97153599998</v>
      </c>
      <c r="G18" s="168">
        <f t="shared" si="0"/>
        <v>16156.028464000017</v>
      </c>
      <c r="H18" s="168">
        <f t="shared" si="1"/>
        <v>16156.028464000017</v>
      </c>
      <c r="I18" s="168">
        <f t="shared" si="2"/>
        <v>261017255.72957876</v>
      </c>
      <c r="J18" s="188">
        <f t="shared" si="3"/>
        <v>0.13691549545762727</v>
      </c>
    </row>
    <row r="19" spans="1:10" ht="14">
      <c r="A19" s="65" t="s">
        <v>80</v>
      </c>
      <c r="B19" s="66">
        <v>109000</v>
      </c>
      <c r="D19" s="169">
        <f t="shared" si="4"/>
        <v>106690.78007519999</v>
      </c>
      <c r="E19" s="167">
        <f t="shared" si="5"/>
        <v>3796.5635116800004</v>
      </c>
      <c r="F19" s="167">
        <f t="shared" si="6"/>
        <v>110487.34358687999</v>
      </c>
      <c r="G19" s="168">
        <f t="shared" si="0"/>
        <v>-1487.3435868799861</v>
      </c>
      <c r="H19" s="168">
        <f t="shared" si="1"/>
        <v>1487.3435868799861</v>
      </c>
      <c r="I19" s="168">
        <f t="shared" si="2"/>
        <v>2212190.9454330229</v>
      </c>
      <c r="J19" s="188">
        <f t="shared" si="3"/>
        <v>1.3645354008073266E-2</v>
      </c>
    </row>
    <row r="20" spans="1:10" ht="15" thickBot="1">
      <c r="A20" s="72" t="s">
        <v>81</v>
      </c>
      <c r="B20" s="73">
        <v>124000</v>
      </c>
      <c r="D20" s="206">
        <f t="shared" si="4"/>
        <v>110041.14051081598</v>
      </c>
      <c r="E20" s="192">
        <f t="shared" si="5"/>
        <v>3618.0822812543975</v>
      </c>
      <c r="F20" s="192">
        <f t="shared" si="6"/>
        <v>113659.22279207037</v>
      </c>
      <c r="G20" s="168">
        <f t="shared" si="0"/>
        <v>10340.777207929626</v>
      </c>
      <c r="H20" s="168">
        <f t="shared" si="1"/>
        <v>10340.777207929626</v>
      </c>
      <c r="I20" s="168">
        <f t="shared" si="2"/>
        <v>106931673.26403683</v>
      </c>
      <c r="J20" s="189">
        <f t="shared" si="3"/>
        <v>8.3393364580077636E-2</v>
      </c>
    </row>
    <row r="21" spans="1:10" ht="13" thickBot="1">
      <c r="A21" s="166"/>
      <c r="B21" s="172" t="s">
        <v>98</v>
      </c>
      <c r="C21" s="209"/>
      <c r="D21" s="209">
        <f t="shared" si="4"/>
        <v>116761.45595444925</v>
      </c>
      <c r="E21" s="209">
        <f t="shared" si="5"/>
        <v>4858.9755462059466</v>
      </c>
      <c r="F21" s="173">
        <f t="shared" si="6"/>
        <v>121620.43150065519</v>
      </c>
      <c r="G21" s="167"/>
      <c r="H21" s="168"/>
      <c r="I21" s="168"/>
      <c r="J21" s="189"/>
    </row>
    <row r="22" spans="1:10">
      <c r="D22" s="207" t="s">
        <v>82</v>
      </c>
      <c r="E22" s="208"/>
      <c r="F22" s="208"/>
      <c r="G22" s="168">
        <f>SUM(G12:G20)</f>
        <v>40491.462885049681</v>
      </c>
      <c r="H22" s="168">
        <f>SUM(H12:H20)</f>
        <v>46283.668458809625</v>
      </c>
      <c r="I22" s="168">
        <f>SUM(I12:I20)</f>
        <v>459347486.36023331</v>
      </c>
      <c r="J22" s="188">
        <f>SUM(J12:J20)</f>
        <v>0.4202563831819493</v>
      </c>
    </row>
    <row r="23" spans="1:10">
      <c r="D23" s="178" t="s">
        <v>84</v>
      </c>
      <c r="E23" s="198"/>
      <c r="F23" s="198"/>
      <c r="G23" s="176">
        <f>AVERAGE(G12:G20)</f>
        <v>4499.0514316721865</v>
      </c>
      <c r="H23" s="176">
        <f>AVERAGE(H12:H20)</f>
        <v>5142.6298287566251</v>
      </c>
      <c r="I23" s="176">
        <f>AVERAGE(I12:I20)</f>
        <v>51038609.595581479</v>
      </c>
      <c r="J23" s="185">
        <f>AVERAGE(J12:J20)</f>
        <v>4.6695153686883255E-2</v>
      </c>
    </row>
    <row r="24" spans="1:10">
      <c r="D24" s="175"/>
      <c r="E24" s="199"/>
      <c r="F24" s="199"/>
      <c r="G24" s="177" t="s">
        <v>86</v>
      </c>
      <c r="H24" s="177" t="s">
        <v>23</v>
      </c>
      <c r="I24" s="177" t="s">
        <v>21</v>
      </c>
      <c r="J24" s="186" t="s">
        <v>87</v>
      </c>
    </row>
    <row r="25" spans="1:10" ht="13" thickBot="1">
      <c r="D25" s="181"/>
      <c r="E25" s="200"/>
      <c r="F25" s="200"/>
      <c r="G25" s="182"/>
      <c r="H25" s="183" t="s">
        <v>88</v>
      </c>
      <c r="I25" s="182">
        <f>SQRT(I22/(COUNT(I12:I20)-2))</f>
        <v>8100.6832724180331</v>
      </c>
      <c r="J25" s="187"/>
    </row>
    <row r="26" spans="1:10">
      <c r="A26" s="174"/>
      <c r="B26" s="174"/>
      <c r="I26" s="156" t="str">
        <f>IF(COUNT(I12:I20)-2&lt;1,"Not enough data to compute the standard error","")</f>
        <v/>
      </c>
    </row>
  </sheetData>
  <pageMargins left="0.75" right="0.75" top="1" bottom="1" header="0.5" footer="0.5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Charts</vt:lpstr>
      </vt:variant>
      <vt:variant>
        <vt:i4>3</vt:i4>
      </vt:variant>
    </vt:vector>
  </HeadingPairs>
  <TitlesOfParts>
    <vt:vector size="9" baseType="lpstr">
      <vt:lpstr>Comparison</vt:lpstr>
      <vt:lpstr>Decent. ES &amp; LR DS trend line</vt:lpstr>
      <vt:lpstr>Solver-Decent. ES &amp; LR DS trend</vt:lpstr>
      <vt:lpstr>Least Squares-Linear Regression</vt:lpstr>
      <vt:lpstr>Exponential Smoothing</vt:lpstr>
      <vt:lpstr>Trend Adjusted ES</vt:lpstr>
      <vt:lpstr>LS - Linear Regression Graph</vt:lpstr>
      <vt:lpstr>Exponential Smoothing Graph </vt:lpstr>
      <vt:lpstr>Trend Adjusted ES Graph</vt:lpstr>
    </vt:vector>
  </TitlesOfParts>
  <Company>Snowy Range Consulting Group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Larry Weatherford</dc:creator>
  <cp:lastModifiedBy>Aaron Camacho</cp:lastModifiedBy>
  <cp:lastPrinted>2001-04-23T22:16:54Z</cp:lastPrinted>
  <dcterms:created xsi:type="dcterms:W3CDTF">1997-02-05T17:34:39Z</dcterms:created>
  <dcterms:modified xsi:type="dcterms:W3CDTF">2014-02-04T03:51:20Z</dcterms:modified>
</cp:coreProperties>
</file>