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cambe\Desktop\Data Analytics\Data Analyst Scenarios\Connective SaaS scenario\Home Loans_ Australian Mortgage Debt Statistics (2025)_files\"/>
    </mc:Choice>
  </mc:AlternateContent>
  <xr:revisionPtr revIDLastSave="0" documentId="13_ncr:1_{F8FEFB7C-A157-4D9B-A84C-6A135BC8CE48}" xr6:coauthVersionLast="47" xr6:coauthVersionMax="47" xr10:uidLastSave="{00000000-0000-0000-0000-000000000000}"/>
  <bookViews>
    <workbookView xWindow="28680" yWindow="-90" windowWidth="29040" windowHeight="15720" activeTab="1" xr2:uid="{D9C11155-63D2-4265-BC34-43DC4FB8AA54}"/>
  </bookViews>
  <sheets>
    <sheet name="Number of new loan commitments " sheetId="1" r:id="rId1"/>
    <sheet name="Data Connective Scenario Sourc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4" i="3" l="1"/>
  <c r="J62" i="3"/>
  <c r="E73" i="3"/>
  <c r="E72" i="3"/>
  <c r="E62" i="3"/>
  <c r="E64" i="3"/>
  <c r="E65" i="3" s="1"/>
  <c r="F68" i="3"/>
  <c r="E61" i="3"/>
  <c r="F64" i="3"/>
  <c r="F62" i="3"/>
  <c r="F61" i="3"/>
  <c r="E58" i="3"/>
  <c r="E57" i="3"/>
  <c r="F56" i="3"/>
  <c r="G49" i="3"/>
  <c r="F43" i="3"/>
  <c r="F35" i="3"/>
  <c r="F32" i="3"/>
  <c r="F24" i="3"/>
  <c r="E27" i="3" s="1"/>
  <c r="E28" i="3" s="1"/>
  <c r="E22" i="3"/>
  <c r="E21" i="3"/>
  <c r="E18" i="3"/>
  <c r="D11" i="3"/>
  <c r="E8" i="3"/>
  <c r="D8" i="3"/>
  <c r="D9" i="3"/>
  <c r="D12" i="3"/>
  <c r="E79" i="3"/>
  <c r="F10" i="3"/>
  <c r="J6" i="1"/>
  <c r="I5" i="1"/>
  <c r="I6" i="1"/>
  <c r="G2" i="3"/>
  <c r="I7" i="1"/>
  <c r="I4" i="1"/>
  <c r="J4" i="1"/>
  <c r="J64" i="3" l="1"/>
  <c r="F65" i="3"/>
  <c r="E47" i="3"/>
  <c r="E38" i="3"/>
  <c r="E45" i="3"/>
  <c r="F15" i="3"/>
  <c r="E46" i="3"/>
  <c r="E9" i="3"/>
  <c r="E70" i="3" l="1"/>
  <c r="F73" i="3" s="1"/>
  <c r="F91" i="3"/>
  <c r="E94" i="3" s="1"/>
  <c r="E80" i="3"/>
  <c r="E81" i="3"/>
  <c r="F84" i="3" s="1"/>
  <c r="E31" i="3"/>
  <c r="E30" i="3"/>
  <c r="E19" i="3"/>
  <c r="C7" i="3"/>
  <c r="F7" i="3" s="1"/>
  <c r="E87" i="3" l="1"/>
  <c r="E84" i="3"/>
  <c r="J85" i="3" s="1"/>
  <c r="E97" i="3"/>
  <c r="E39" i="3"/>
  <c r="F38" i="3" s="1"/>
  <c r="F40" i="3" s="1"/>
  <c r="E41" i="3" s="1"/>
  <c r="E42" i="3" s="1"/>
  <c r="E85" i="3"/>
  <c r="F81" i="3"/>
  <c r="E95" i="3"/>
  <c r="F85" i="3"/>
  <c r="F87" i="3" s="1"/>
  <c r="F88" i="3" s="1"/>
  <c r="E69" i="3"/>
  <c r="E48" i="3"/>
  <c r="E49" i="3" s="1"/>
  <c r="J87" i="3" l="1"/>
  <c r="K61" i="3" s="1"/>
  <c r="K62" i="3" s="1"/>
  <c r="K64" i="3" s="1"/>
  <c r="K84" i="3" s="1"/>
  <c r="K85" i="3" s="1"/>
  <c r="K87" i="3" s="1"/>
  <c r="E88" i="3"/>
  <c r="E98" i="3"/>
  <c r="E100" i="3"/>
  <c r="E101" i="3"/>
  <c r="F97" i="3"/>
  <c r="F101" i="3"/>
  <c r="F100" i="3"/>
  <c r="F98" i="3"/>
  <c r="F72" i="3"/>
</calcChain>
</file>

<file path=xl/sharedStrings.xml><?xml version="1.0" encoding="utf-8"?>
<sst xmlns="http://schemas.openxmlformats.org/spreadsheetml/2006/main" count="121" uniqueCount="46">
  <si>
    <t>Number of new loan commitments for dwellings (a), seasonally adjusted, Australia</t>
  </si>
  <si>
    <t>Mar Qtr 25no.</t>
  </si>
  <si>
    <t>Dec Qtr 24 to Mar Qtr 25% change</t>
  </si>
  <si>
    <t>Mar Qtr 24 to Mar Qtr 25% change</t>
  </si>
  <si>
    <t>Total loan commitments</t>
  </si>
  <si>
    <t>Owner occupier</t>
  </si>
  <si>
    <t>First home buyers</t>
  </si>
  <si>
    <t>Non-first home buyers</t>
  </si>
  <si>
    <t>Investor</t>
  </si>
  <si>
    <t>a. Dwelling commitments exclude refinancing.Loan commitments for dwellings includes loans for the purpose of 'Construction of new dwellings', 'Purchase of new dwellings' and 'Purchase of existing dwellings'. 'Residential land' and 'Alterations and additions' are available as separate series.</t>
  </si>
  <si>
    <t>Source: Australian Bureau of Statistics, Lending indicators March Quarter 2025</t>
  </si>
  <si>
    <t>First</t>
  </si>
  <si>
    <t>Other</t>
  </si>
  <si>
    <t>Portion of all loans</t>
  </si>
  <si>
    <t>Interest only</t>
  </si>
  <si>
    <t xml:space="preserve">more than 4 </t>
  </si>
  <si>
    <t>investor</t>
  </si>
  <si>
    <t>Investor type</t>
  </si>
  <si>
    <t>non first-home buyers</t>
  </si>
  <si>
    <t>first-home buyers</t>
  </si>
  <si>
    <t>owner-occupier</t>
  </si>
  <si>
    <t>Loan commitment type</t>
  </si>
  <si>
    <t>Fixed</t>
  </si>
  <si>
    <t>Variable</t>
  </si>
  <si>
    <t>Proportion by Rates</t>
  </si>
  <si>
    <t>Loan commitments broken down for data project Dec 2024 to March 2025</t>
  </si>
  <si>
    <t>Used to calculate rate types, proportions. Interest rate has some assumptions by creator: 0.21 of all loans but 0.75 is an inference of the fact that they're 'mainly' taken out by investors. Similarly, the portions of 0.75 and other, other referring to owner-occupiers, are similarly treated</t>
  </si>
  <si>
    <t xml:space="preserve">Rejected </t>
  </si>
  <si>
    <t xml:space="preserve">Source: https://checkrate.com.au/home-loans/; Home Loans_ Australian Mortgage Debt Statistics (2025); </t>
  </si>
  <si>
    <t>Source: https://digitalfinanceanalytics.com/blog/mortgage-loan-rejections-still-elevated/</t>
  </si>
  <si>
    <t xml:space="preserve">Used for a calculation from total commitments. Rate is from 2019 and is ultimately an assumption for the purposes of the data project. This was done as rejection data is hard to come by. The rejection numbers are presented as a one to one fraction from the total commitments. </t>
  </si>
  <si>
    <t>Non-first home buyer</t>
  </si>
  <si>
    <t xml:space="preserve">Source: there is no source for this one and it is being assumed for this data scenario from the difference left over from total commitments less the rejected ratio of 40% of commited loans, meaning  60% of the commitments will be used as drop outs </t>
  </si>
  <si>
    <t>Product</t>
  </si>
  <si>
    <t>Loan application</t>
  </si>
  <si>
    <t>Client</t>
  </si>
  <si>
    <t>Total</t>
  </si>
  <si>
    <t>Non-investor</t>
  </si>
  <si>
    <t>first-home buyer</t>
  </si>
  <si>
    <t>non first-home buyer</t>
  </si>
  <si>
    <t>Source: https://checkrate.com.au/home-loans/ used for investor  5% more than 4 variable</t>
  </si>
  <si>
    <t>Start</t>
  </si>
  <si>
    <t>Dropout</t>
  </si>
  <si>
    <t>Grand totals</t>
  </si>
  <si>
    <t>Var</t>
  </si>
  <si>
    <t>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</si>
</sst>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3" fontId="0" fillId="0" borderId="0" xfId="0" applyNumberFormat="1"/>
    <xf numFmtId="0" fontId="0" fillId="0" borderId="0" xfId="0" quotePrefix="1"/>
    <xf numFmtId="0" fontId="18" fillId="0" borderId="0" xfId="0" applyFont="1"/>
    <xf numFmtId="9" fontId="0" fillId="0" borderId="0" xfId="42" applyFont="1"/>
    <xf numFmtId="10" fontId="0" fillId="0" borderId="0" xfId="42" applyNumberFormat="1" applyFont="1"/>
    <xf numFmtId="10" fontId="0" fillId="0" borderId="0" xfId="0" applyNumberFormat="1"/>
    <xf numFmtId="9" fontId="0" fillId="0" borderId="0" xfId="0" applyNumberFormat="1"/>
    <xf numFmtId="1" fontId="0" fillId="0" borderId="0" xfId="42" applyNumberFormat="1" applyFont="1"/>
    <xf numFmtId="1" fontId="0" fillId="0" borderId="0" xfId="0" quotePrefix="1" applyNumberFormat="1"/>
    <xf numFmtId="1" fontId="0" fillId="0" borderId="0" xfId="0" applyNumberFormat="1"/>
    <xf numFmtId="9" fontId="0" fillId="0" borderId="0" xfId="42" applyNumberFormat="1" applyFont="1"/>
    <xf numFmtId="0" fontId="0" fillId="33" borderId="0" xfId="0" applyFill="1"/>
    <xf numFmtId="9" fontId="0" fillId="33" borderId="0" xfId="42" applyFont="1" applyFill="1"/>
    <xf numFmtId="1" fontId="0" fillId="33"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801B8-D28C-4645-AC3F-52779D43ABC5}">
  <dimension ref="A1:J11"/>
  <sheetViews>
    <sheetView workbookViewId="0">
      <selection activeCell="F17" sqref="F17"/>
    </sheetView>
  </sheetViews>
  <sheetFormatPr defaultRowHeight="15" x14ac:dyDescent="0.25"/>
  <cols>
    <col min="4" max="4" width="12.85546875" bestFit="1" customWidth="1"/>
    <col min="5" max="5" width="30.5703125" bestFit="1" customWidth="1"/>
    <col min="6" max="6" width="30.7109375" bestFit="1" customWidth="1"/>
    <col min="8" max="8" width="19.85546875" bestFit="1" customWidth="1"/>
  </cols>
  <sheetData>
    <row r="1" spans="1:10" x14ac:dyDescent="0.25">
      <c r="A1" t="s">
        <v>0</v>
      </c>
    </row>
    <row r="2" spans="1:10" x14ac:dyDescent="0.25">
      <c r="D2" t="s">
        <v>1</v>
      </c>
      <c r="E2" t="s">
        <v>2</v>
      </c>
      <c r="F2" t="s">
        <v>3</v>
      </c>
    </row>
    <row r="3" spans="1:10" x14ac:dyDescent="0.25">
      <c r="A3" t="s">
        <v>4</v>
      </c>
      <c r="D3" s="1">
        <v>127108</v>
      </c>
      <c r="E3">
        <v>-3.5</v>
      </c>
      <c r="F3">
        <v>6</v>
      </c>
      <c r="H3" t="s">
        <v>5</v>
      </c>
    </row>
    <row r="4" spans="1:10" x14ac:dyDescent="0.25">
      <c r="B4" t="s">
        <v>5</v>
      </c>
      <c r="D4" s="1">
        <v>79890</v>
      </c>
      <c r="E4">
        <v>-3.4</v>
      </c>
      <c r="F4">
        <v>4.4000000000000004</v>
      </c>
      <c r="I4">
        <f>(D4/D3)*100/100</f>
        <v>0.62852062812726184</v>
      </c>
      <c r="J4">
        <f>D3*0.6285206</f>
        <v>79889.996424800003</v>
      </c>
    </row>
    <row r="5" spans="1:10" x14ac:dyDescent="0.25">
      <c r="C5" t="s">
        <v>6</v>
      </c>
      <c r="D5" s="1">
        <v>28383</v>
      </c>
      <c r="E5">
        <v>-4.2</v>
      </c>
      <c r="F5">
        <v>1.3</v>
      </c>
      <c r="H5" t="s">
        <v>11</v>
      </c>
      <c r="I5">
        <f>(D5/J4)*100/100</f>
        <v>0.35527602040534267</v>
      </c>
    </row>
    <row r="6" spans="1:10" x14ac:dyDescent="0.25">
      <c r="C6" t="s">
        <v>7</v>
      </c>
      <c r="D6" s="1">
        <v>50822</v>
      </c>
      <c r="E6">
        <v>-3.8</v>
      </c>
      <c r="F6">
        <v>6.1</v>
      </c>
      <c r="H6" t="s">
        <v>31</v>
      </c>
      <c r="I6">
        <f>(D6/J4)*100/100</f>
        <v>0.63614973431421362</v>
      </c>
      <c r="J6">
        <f>ROUNDUP(SUM(I5:I6),0)</f>
        <v>1</v>
      </c>
    </row>
    <row r="7" spans="1:10" x14ac:dyDescent="0.25">
      <c r="B7" t="s">
        <v>8</v>
      </c>
      <c r="D7" s="1">
        <v>47218</v>
      </c>
      <c r="E7">
        <v>-3.7</v>
      </c>
      <c r="F7">
        <v>8.8000000000000007</v>
      </c>
      <c r="H7" t="s">
        <v>8</v>
      </c>
      <c r="I7">
        <f>(D7/D3)*100/100</f>
        <v>0.37147937187273816</v>
      </c>
    </row>
    <row r="9" spans="1:10" x14ac:dyDescent="0.25">
      <c r="A9" t="s">
        <v>9</v>
      </c>
    </row>
    <row r="11" spans="1:10" x14ac:dyDescent="0.25">
      <c r="A1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0528F-A568-4676-A0D2-9805BCA75AFC}">
  <dimension ref="A1:K103"/>
  <sheetViews>
    <sheetView tabSelected="1" topLeftCell="A52" zoomScale="85" zoomScaleNormal="85" workbookViewId="0">
      <selection activeCell="M66" sqref="M66"/>
    </sheetView>
  </sheetViews>
  <sheetFormatPr defaultRowHeight="15" x14ac:dyDescent="0.25"/>
  <cols>
    <col min="1" max="1" width="21.140625" bestFit="1" customWidth="1"/>
    <col min="2" max="2" width="18" bestFit="1" customWidth="1"/>
    <col min="3" max="3" width="20.5703125" bestFit="1" customWidth="1"/>
    <col min="4" max="5" width="19.5703125" bestFit="1" customWidth="1"/>
    <col min="6" max="6" width="10.7109375" bestFit="1" customWidth="1"/>
    <col min="9" max="9" width="21.140625" bestFit="1" customWidth="1"/>
    <col min="10" max="10" width="10.7109375" bestFit="1" customWidth="1"/>
  </cols>
  <sheetData>
    <row r="1" spans="1:10" x14ac:dyDescent="0.25">
      <c r="A1" t="s">
        <v>25</v>
      </c>
      <c r="G1" t="s">
        <v>43</v>
      </c>
    </row>
    <row r="2" spans="1:10" x14ac:dyDescent="0.25">
      <c r="A2" t="s">
        <v>4</v>
      </c>
      <c r="B2" s="3"/>
      <c r="G2" s="1">
        <f>'Number of new loan commitments '!D3</f>
        <v>127108</v>
      </c>
      <c r="H2" s="3" t="s">
        <v>34</v>
      </c>
    </row>
    <row r="3" spans="1:10" x14ac:dyDescent="0.25">
      <c r="A3" t="s">
        <v>24</v>
      </c>
      <c r="B3" s="3" t="s">
        <v>33</v>
      </c>
      <c r="H3" s="3"/>
    </row>
    <row r="4" spans="1:10" x14ac:dyDescent="0.25">
      <c r="B4" t="s">
        <v>23</v>
      </c>
      <c r="C4" s="4">
        <v>0.98</v>
      </c>
      <c r="F4" s="1"/>
    </row>
    <row r="5" spans="1:10" x14ac:dyDescent="0.25">
      <c r="B5" t="s">
        <v>22</v>
      </c>
      <c r="C5" s="4">
        <v>0.02</v>
      </c>
      <c r="F5" s="1"/>
    </row>
    <row r="6" spans="1:10" x14ac:dyDescent="0.25">
      <c r="A6" t="s">
        <v>21</v>
      </c>
      <c r="C6" s="3" t="s">
        <v>35</v>
      </c>
    </row>
    <row r="7" spans="1:10" x14ac:dyDescent="0.25">
      <c r="B7" t="s">
        <v>20</v>
      </c>
      <c r="C7" s="4">
        <f>E8+E9</f>
        <v>0.62313151021178848</v>
      </c>
      <c r="F7" s="1">
        <f>G2*C7</f>
        <v>79205.000000000015</v>
      </c>
    </row>
    <row r="8" spans="1:10" x14ac:dyDescent="0.25">
      <c r="C8" t="s">
        <v>19</v>
      </c>
      <c r="D8" s="1">
        <f>'Number of new loan commitments '!D5</f>
        <v>28383</v>
      </c>
      <c r="E8" s="11">
        <f>D8/$G$2</f>
        <v>0.22329829751077823</v>
      </c>
    </row>
    <row r="9" spans="1:10" x14ac:dyDescent="0.25">
      <c r="C9" t="s">
        <v>18</v>
      </c>
      <c r="D9" s="1">
        <f>'Number of new loan commitments '!D6</f>
        <v>50822</v>
      </c>
      <c r="E9" s="11">
        <f>D9/G2</f>
        <v>0.39983321270101019</v>
      </c>
      <c r="F9" s="1"/>
      <c r="G9" s="1"/>
      <c r="J9" s="1"/>
    </row>
    <row r="10" spans="1:10" x14ac:dyDescent="0.25">
      <c r="B10" t="s">
        <v>17</v>
      </c>
      <c r="F10" s="1">
        <f>'Number of new loan commitments '!D7</f>
        <v>47218</v>
      </c>
    </row>
    <row r="11" spans="1:10" x14ac:dyDescent="0.25">
      <c r="C11" t="s">
        <v>16</v>
      </c>
      <c r="D11" s="1">
        <f>F10-D12</f>
        <v>44857.1</v>
      </c>
      <c r="E11" s="7">
        <v>0.38</v>
      </c>
      <c r="F11" s="5"/>
    </row>
    <row r="12" spans="1:10" x14ac:dyDescent="0.25">
      <c r="C12" t="s">
        <v>15</v>
      </c>
      <c r="D12" s="9">
        <f>F10*E12</f>
        <v>2360.9</v>
      </c>
      <c r="E12" s="7">
        <v>0.05</v>
      </c>
      <c r="G12" s="1"/>
    </row>
    <row r="13" spans="1:10" x14ac:dyDescent="0.25">
      <c r="D13" s="1"/>
      <c r="E13" s="6"/>
    </row>
    <row r="14" spans="1:10" x14ac:dyDescent="0.25">
      <c r="B14" t="s">
        <v>22</v>
      </c>
    </row>
    <row r="15" spans="1:10" x14ac:dyDescent="0.25">
      <c r="C15" t="s">
        <v>13</v>
      </c>
      <c r="D15" s="7">
        <v>0.02</v>
      </c>
      <c r="F15" s="8">
        <f>G2*D15</f>
        <v>2542.16</v>
      </c>
    </row>
    <row r="17" spans="2:10" x14ac:dyDescent="0.25">
      <c r="C17" t="s">
        <v>8</v>
      </c>
    </row>
    <row r="18" spans="2:10" x14ac:dyDescent="0.25">
      <c r="D18" t="s">
        <v>8</v>
      </c>
      <c r="E18" s="9">
        <f>F15*E11</f>
        <v>966.02080000000001</v>
      </c>
      <c r="G18" s="10"/>
    </row>
    <row r="19" spans="2:10" x14ac:dyDescent="0.25">
      <c r="D19" t="s">
        <v>15</v>
      </c>
      <c r="E19" s="9">
        <f>E18*E12</f>
        <v>48.30104</v>
      </c>
      <c r="I19" s="10"/>
    </row>
    <row r="20" spans="2:10" x14ac:dyDescent="0.25">
      <c r="C20" t="s">
        <v>37</v>
      </c>
      <c r="I20" s="10"/>
    </row>
    <row r="21" spans="2:10" x14ac:dyDescent="0.25">
      <c r="D21" t="s">
        <v>38</v>
      </c>
      <c r="E21" s="9">
        <f>F15*E8</f>
        <v>567.66</v>
      </c>
      <c r="G21" s="10"/>
      <c r="I21" s="10"/>
    </row>
    <row r="22" spans="2:10" x14ac:dyDescent="0.25">
      <c r="D22" t="s">
        <v>39</v>
      </c>
      <c r="E22" s="9">
        <f>F15*E9</f>
        <v>1016.44</v>
      </c>
    </row>
    <row r="23" spans="2:10" x14ac:dyDescent="0.25">
      <c r="B23" t="s">
        <v>23</v>
      </c>
      <c r="J23" s="10"/>
    </row>
    <row r="24" spans="2:10" x14ac:dyDescent="0.25">
      <c r="C24" t="s">
        <v>13</v>
      </c>
      <c r="F24">
        <f>ROUNDUP(G2*F25,0)</f>
        <v>124566</v>
      </c>
    </row>
    <row r="25" spans="2:10" x14ac:dyDescent="0.25">
      <c r="F25" s="7">
        <v>0.98</v>
      </c>
    </row>
    <row r="26" spans="2:10" x14ac:dyDescent="0.25">
      <c r="C26" t="s">
        <v>8</v>
      </c>
    </row>
    <row r="27" spans="2:10" x14ac:dyDescent="0.25">
      <c r="D27" t="s">
        <v>8</v>
      </c>
      <c r="E27" s="9">
        <f>F24*E11</f>
        <v>47335.08</v>
      </c>
    </row>
    <row r="28" spans="2:10" x14ac:dyDescent="0.25">
      <c r="D28" t="s">
        <v>15</v>
      </c>
      <c r="E28" s="9">
        <f>ROUNDUP(E27*E12,0)</f>
        <v>2367</v>
      </c>
      <c r="G28" s="10"/>
    </row>
    <row r="29" spans="2:10" x14ac:dyDescent="0.25">
      <c r="C29" t="s">
        <v>37</v>
      </c>
      <c r="F29" s="2"/>
    </row>
    <row r="30" spans="2:10" x14ac:dyDescent="0.25">
      <c r="D30" t="s">
        <v>38</v>
      </c>
      <c r="E30" s="9">
        <f>F24*E8</f>
        <v>27815.375727727602</v>
      </c>
      <c r="G30" s="10"/>
    </row>
    <row r="31" spans="2:10" x14ac:dyDescent="0.25">
      <c r="D31" t="s">
        <v>39</v>
      </c>
      <c r="E31" s="9">
        <f>F24*E9</f>
        <v>49805.623973314032</v>
      </c>
    </row>
    <row r="32" spans="2:10" x14ac:dyDescent="0.25">
      <c r="B32" t="s">
        <v>14</v>
      </c>
      <c r="F32">
        <f>ROUNDUP(G2*F33,0)</f>
        <v>26693</v>
      </c>
      <c r="I32" s="10"/>
    </row>
    <row r="33" spans="2:6" x14ac:dyDescent="0.25">
      <c r="B33" t="s">
        <v>13</v>
      </c>
      <c r="F33" s="4">
        <v>0.21</v>
      </c>
    </row>
    <row r="34" spans="2:6" x14ac:dyDescent="0.25">
      <c r="F34" s="1"/>
    </row>
    <row r="35" spans="2:6" x14ac:dyDescent="0.25">
      <c r="B35" t="s">
        <v>23</v>
      </c>
      <c r="F35">
        <f>ROUNDUP(F32*C4,0)</f>
        <v>26160</v>
      </c>
    </row>
    <row r="36" spans="2:6" x14ac:dyDescent="0.25">
      <c r="C36" t="s">
        <v>8</v>
      </c>
    </row>
    <row r="37" spans="2:6" x14ac:dyDescent="0.25">
      <c r="D37" s="4">
        <v>0.75</v>
      </c>
    </row>
    <row r="38" spans="2:6" x14ac:dyDescent="0.25">
      <c r="D38" t="s">
        <v>8</v>
      </c>
      <c r="E38" s="2">
        <f>ROUNDUP($F$35*D37,0)</f>
        <v>19620</v>
      </c>
      <c r="F38">
        <f>SUM(E38:E39)</f>
        <v>20601</v>
      </c>
    </row>
    <row r="39" spans="2:6" x14ac:dyDescent="0.25">
      <c r="D39" t="s">
        <v>15</v>
      </c>
      <c r="E39">
        <f>ROUNDUP(E38*0.05,0)</f>
        <v>981</v>
      </c>
    </row>
    <row r="40" spans="2:6" x14ac:dyDescent="0.25">
      <c r="C40" t="s">
        <v>37</v>
      </c>
      <c r="D40" s="4">
        <v>0.25</v>
      </c>
      <c r="F40" s="2">
        <f>F35-F38</f>
        <v>5559</v>
      </c>
    </row>
    <row r="41" spans="2:6" x14ac:dyDescent="0.25">
      <c r="D41" t="s">
        <v>38</v>
      </c>
      <c r="E41" s="2">
        <f>ROUNDUP(F40*'Number of new loan commitments '!I5,0)</f>
        <v>1975</v>
      </c>
    </row>
    <row r="42" spans="2:6" x14ac:dyDescent="0.25">
      <c r="D42" t="s">
        <v>39</v>
      </c>
      <c r="E42">
        <f>F40-E41</f>
        <v>3584</v>
      </c>
    </row>
    <row r="43" spans="2:6" x14ac:dyDescent="0.25">
      <c r="B43" t="s">
        <v>22</v>
      </c>
      <c r="F43">
        <f>ROUNDUP(G2*F33*0.02,0)</f>
        <v>534</v>
      </c>
    </row>
    <row r="44" spans="2:6" x14ac:dyDescent="0.25">
      <c r="D44" s="4">
        <v>0.75</v>
      </c>
    </row>
    <row r="45" spans="2:6" x14ac:dyDescent="0.25">
      <c r="D45" t="s">
        <v>8</v>
      </c>
      <c r="E45" s="2">
        <f>ROUNDUP(F43*D44,0)</f>
        <v>401</v>
      </c>
    </row>
    <row r="46" spans="2:6" x14ac:dyDescent="0.25">
      <c r="D46" t="s">
        <v>15</v>
      </c>
      <c r="E46">
        <f>ROUNDUP(E45*0.05,0)</f>
        <v>21</v>
      </c>
    </row>
    <row r="47" spans="2:6" x14ac:dyDescent="0.25">
      <c r="C47" t="s">
        <v>37</v>
      </c>
      <c r="D47" s="4">
        <v>0.25</v>
      </c>
      <c r="E47" s="2">
        <f>ROUNDUP($F$43*D47,0)</f>
        <v>134</v>
      </c>
    </row>
    <row r="48" spans="2:6" x14ac:dyDescent="0.25">
      <c r="D48" t="s">
        <v>38</v>
      </c>
      <c r="E48" s="2">
        <f>ROUNDUP($E$47*'Number of new loan commitments '!I5,0)</f>
        <v>48</v>
      </c>
    </row>
    <row r="49" spans="1:11" x14ac:dyDescent="0.25">
      <c r="D49" t="s">
        <v>39</v>
      </c>
      <c r="E49">
        <f>E47-E48</f>
        <v>86</v>
      </c>
      <c r="G49">
        <f>SUM(E45,E47)</f>
        <v>535</v>
      </c>
    </row>
    <row r="51" spans="1:11" x14ac:dyDescent="0.25">
      <c r="A51" t="s">
        <v>10</v>
      </c>
      <c r="G51" s="3" t="s">
        <v>34</v>
      </c>
      <c r="H51" s="1"/>
    </row>
    <row r="52" spans="1:11" x14ac:dyDescent="0.25">
      <c r="A52" t="s">
        <v>28</v>
      </c>
      <c r="G52" t="s">
        <v>36</v>
      </c>
    </row>
    <row r="53" spans="1:11" x14ac:dyDescent="0.25">
      <c r="A53" t="s">
        <v>26</v>
      </c>
    </row>
    <row r="54" spans="1:11" x14ac:dyDescent="0.25">
      <c r="A54" t="s">
        <v>40</v>
      </c>
    </row>
    <row r="55" spans="1:11" x14ac:dyDescent="0.25">
      <c r="A55" t="s">
        <v>27</v>
      </c>
      <c r="J55" t="s">
        <v>44</v>
      </c>
      <c r="K55" t="s">
        <v>45</v>
      </c>
    </row>
    <row r="56" spans="1:11" x14ac:dyDescent="0.25">
      <c r="A56" t="s">
        <v>36</v>
      </c>
      <c r="B56" s="4">
        <v>0.4</v>
      </c>
      <c r="F56">
        <f>ROUNDUP(G2*B56,0)</f>
        <v>50844</v>
      </c>
      <c r="G56" s="12"/>
      <c r="H56" s="12"/>
    </row>
    <row r="57" spans="1:11" x14ac:dyDescent="0.25">
      <c r="C57" t="s">
        <v>23</v>
      </c>
      <c r="D57" s="7">
        <v>0.98</v>
      </c>
      <c r="E57">
        <f>ROUNDUP(F56*C4,0)</f>
        <v>49828</v>
      </c>
    </row>
    <row r="58" spans="1:11" x14ac:dyDescent="0.25">
      <c r="C58" t="s">
        <v>22</v>
      </c>
      <c r="D58" s="7">
        <v>0.02</v>
      </c>
      <c r="E58">
        <f>ROUNDUP($F$56*D58,0)</f>
        <v>1017</v>
      </c>
    </row>
    <row r="59" spans="1:11" x14ac:dyDescent="0.25">
      <c r="B59" s="3" t="s">
        <v>35</v>
      </c>
      <c r="D59" s="7"/>
      <c r="E59" t="s">
        <v>23</v>
      </c>
      <c r="F59" t="s">
        <v>22</v>
      </c>
    </row>
    <row r="60" spans="1:11" x14ac:dyDescent="0.25">
      <c r="B60" t="s">
        <v>20</v>
      </c>
    </row>
    <row r="61" spans="1:11" x14ac:dyDescent="0.25">
      <c r="C61" t="s">
        <v>19</v>
      </c>
      <c r="D61" s="4">
        <v>0.22</v>
      </c>
      <c r="E61">
        <f>ROUNDUP(E57*D61,0)</f>
        <v>10963</v>
      </c>
      <c r="F61">
        <f>ROUNDUP(E58*D61,0)</f>
        <v>224</v>
      </c>
      <c r="I61" s="12" t="s">
        <v>41</v>
      </c>
      <c r="J61" s="14">
        <v>127555</v>
      </c>
      <c r="K61" s="12">
        <f>J87+E87</f>
        <v>253125</v>
      </c>
    </row>
    <row r="62" spans="1:11" x14ac:dyDescent="0.25">
      <c r="A62" s="12"/>
      <c r="B62" s="12"/>
      <c r="C62" s="12" t="s">
        <v>18</v>
      </c>
      <c r="D62" s="13">
        <v>0.39979999999999999</v>
      </c>
      <c r="E62" s="12">
        <f>ROUNDUP(E57*D62,0)</f>
        <v>19922</v>
      </c>
      <c r="F62" s="12">
        <f>ROUNDUP(E58*D62,0)</f>
        <v>407</v>
      </c>
      <c r="G62" s="12"/>
      <c r="H62" s="12"/>
      <c r="I62" s="12"/>
      <c r="J62" s="12">
        <f>J61+E61</f>
        <v>138518</v>
      </c>
      <c r="K62" s="12">
        <f>F61+K61</f>
        <v>253349</v>
      </c>
    </row>
    <row r="63" spans="1:11" x14ac:dyDescent="0.25">
      <c r="B63" t="s">
        <v>17</v>
      </c>
    </row>
    <row r="64" spans="1:11" x14ac:dyDescent="0.25">
      <c r="A64" s="12"/>
      <c r="B64" s="12"/>
      <c r="C64" s="12" t="s">
        <v>16</v>
      </c>
      <c r="D64" s="13">
        <v>0.38</v>
      </c>
      <c r="E64" s="12">
        <f>ROUNDUP(E57*D64,0)</f>
        <v>18935</v>
      </c>
      <c r="F64" s="12">
        <f>ROUNDUP(E58*D64,0)</f>
        <v>387</v>
      </c>
      <c r="G64" s="12"/>
      <c r="H64" s="12"/>
      <c r="I64" s="13"/>
      <c r="J64" s="12">
        <f>J62+E64</f>
        <v>157453</v>
      </c>
      <c r="K64" s="12">
        <f>K62+F62</f>
        <v>253756</v>
      </c>
    </row>
    <row r="65" spans="1:7" x14ac:dyDescent="0.25">
      <c r="C65" t="s">
        <v>15</v>
      </c>
      <c r="D65" s="4">
        <v>0.05</v>
      </c>
      <c r="E65">
        <f>ROUNDUP(E64*D65,0)</f>
        <v>947</v>
      </c>
      <c r="F65">
        <f>ROUNDUP(F64*D65,0)</f>
        <v>20</v>
      </c>
    </row>
    <row r="67" spans="1:7" x14ac:dyDescent="0.25">
      <c r="B67" t="s">
        <v>14</v>
      </c>
    </row>
    <row r="68" spans="1:7" x14ac:dyDescent="0.25">
      <c r="B68" t="s">
        <v>13</v>
      </c>
      <c r="C68" s="4">
        <v>0.21</v>
      </c>
      <c r="F68" s="2">
        <f>ROUNDUP(F56*C68,0)</f>
        <v>10678</v>
      </c>
    </row>
    <row r="69" spans="1:7" x14ac:dyDescent="0.25">
      <c r="C69" t="s">
        <v>23</v>
      </c>
      <c r="D69" s="4">
        <v>0.98</v>
      </c>
      <c r="E69">
        <f>ROUND($F$68*D69,0)</f>
        <v>10464</v>
      </c>
    </row>
    <row r="70" spans="1:7" x14ac:dyDescent="0.25">
      <c r="C70" t="s">
        <v>22</v>
      </c>
      <c r="D70" s="4">
        <v>0.02</v>
      </c>
      <c r="E70">
        <f>ROUND($F$68*D70,0)</f>
        <v>214</v>
      </c>
    </row>
    <row r="71" spans="1:7" x14ac:dyDescent="0.25">
      <c r="E71" t="s">
        <v>23</v>
      </c>
      <c r="F71" s="2" t="s">
        <v>22</v>
      </c>
    </row>
    <row r="72" spans="1:7" x14ac:dyDescent="0.25">
      <c r="C72" t="s">
        <v>8</v>
      </c>
      <c r="D72" s="4">
        <v>0.75</v>
      </c>
      <c r="E72" s="2">
        <f>ROUNDUP($E$69*D72,0)</f>
        <v>7848</v>
      </c>
      <c r="F72">
        <f>ROUND($E$70*D72,0)</f>
        <v>161</v>
      </c>
    </row>
    <row r="73" spans="1:7" x14ac:dyDescent="0.25">
      <c r="C73" t="s">
        <v>12</v>
      </c>
      <c r="D73" s="4">
        <v>0.25</v>
      </c>
      <c r="E73" s="2">
        <f>ROUNDUP($E$69*D73,0)</f>
        <v>2616</v>
      </c>
      <c r="F73" s="2">
        <f>ROUNDDOWN(E70*D73,0)</f>
        <v>53</v>
      </c>
    </row>
    <row r="75" spans="1:7" x14ac:dyDescent="0.25">
      <c r="A75" t="s">
        <v>29</v>
      </c>
      <c r="G75" s="3"/>
    </row>
    <row r="76" spans="1:7" x14ac:dyDescent="0.25">
      <c r="A76" t="s">
        <v>30</v>
      </c>
    </row>
    <row r="78" spans="1:7" x14ac:dyDescent="0.25">
      <c r="A78" t="s">
        <v>42</v>
      </c>
      <c r="B78" s="3" t="s">
        <v>35</v>
      </c>
    </row>
    <row r="79" spans="1:7" x14ac:dyDescent="0.25">
      <c r="A79" t="s">
        <v>36</v>
      </c>
      <c r="B79" s="4">
        <v>0.6</v>
      </c>
      <c r="E79">
        <f>ROUNDUP(G2*B79,0)</f>
        <v>76265</v>
      </c>
    </row>
    <row r="80" spans="1:7" x14ac:dyDescent="0.25">
      <c r="C80" t="s">
        <v>23</v>
      </c>
      <c r="D80" s="7">
        <v>0.98</v>
      </c>
      <c r="E80">
        <f>ROUNDUP($E$79*D80,0)</f>
        <v>74740</v>
      </c>
    </row>
    <row r="81" spans="1:11" x14ac:dyDescent="0.25">
      <c r="C81" t="s">
        <v>22</v>
      </c>
      <c r="D81" s="7">
        <v>0.02</v>
      </c>
      <c r="E81">
        <f>ROUNDUP($E$79*D81,0)</f>
        <v>1526</v>
      </c>
      <c r="F81">
        <f>SUM(E80:E81)</f>
        <v>76266</v>
      </c>
    </row>
    <row r="82" spans="1:11" x14ac:dyDescent="0.25">
      <c r="D82" s="7"/>
    </row>
    <row r="83" spans="1:11" x14ac:dyDescent="0.25">
      <c r="B83" t="s">
        <v>20</v>
      </c>
      <c r="E83" t="s">
        <v>23</v>
      </c>
      <c r="F83" t="s">
        <v>22</v>
      </c>
    </row>
    <row r="84" spans="1:11" x14ac:dyDescent="0.25">
      <c r="C84" t="s">
        <v>19</v>
      </c>
      <c r="D84" s="11">
        <v>0.22</v>
      </c>
      <c r="E84">
        <f>ROUNDUP(E80*D84,0)</f>
        <v>16443</v>
      </c>
      <c r="F84">
        <f>ROUNDUP(E81*D84,0)</f>
        <v>336</v>
      </c>
      <c r="I84" s="12" t="s">
        <v>41</v>
      </c>
      <c r="J84" s="12">
        <f>F56+127554</f>
        <v>178398</v>
      </c>
      <c r="K84" s="12">
        <f>K64+F64</f>
        <v>254143</v>
      </c>
    </row>
    <row r="85" spans="1:11" x14ac:dyDescent="0.25">
      <c r="A85" s="12"/>
      <c r="B85" s="12"/>
      <c r="C85" s="12" t="s">
        <v>18</v>
      </c>
      <c r="D85" s="12">
        <v>0.39979999999999999</v>
      </c>
      <c r="E85" s="12">
        <f>ROUNDUP(E80*D85,0)</f>
        <v>29882</v>
      </c>
      <c r="F85" s="12">
        <f>ROUNDUP(E81*D85,0)</f>
        <v>611</v>
      </c>
      <c r="G85" s="12"/>
      <c r="H85" s="12"/>
      <c r="I85" s="12"/>
      <c r="J85" s="12">
        <f>J84+E84</f>
        <v>194841</v>
      </c>
      <c r="K85" s="12">
        <f>K84+F84</f>
        <v>254479</v>
      </c>
    </row>
    <row r="86" spans="1:11" x14ac:dyDescent="0.25">
      <c r="B86" t="s">
        <v>17</v>
      </c>
    </row>
    <row r="87" spans="1:11" x14ac:dyDescent="0.25">
      <c r="A87" s="12"/>
      <c r="B87" s="12"/>
      <c r="C87" s="12" t="s">
        <v>16</v>
      </c>
      <c r="D87" s="12">
        <v>0.38</v>
      </c>
      <c r="E87" s="12">
        <f>ROUNDUP(E80*D87,0)</f>
        <v>28402</v>
      </c>
      <c r="F87" s="12">
        <f>E81-(SUM(F84:F85))</f>
        <v>579</v>
      </c>
      <c r="G87" s="12"/>
      <c r="H87" s="12"/>
      <c r="I87" s="12"/>
      <c r="J87" s="12">
        <f>$J$85+$E$85</f>
        <v>224723</v>
      </c>
      <c r="K87" s="12">
        <f>K85+F85</f>
        <v>255090</v>
      </c>
    </row>
    <row r="88" spans="1:11" x14ac:dyDescent="0.25">
      <c r="C88" t="s">
        <v>15</v>
      </c>
      <c r="D88" s="4">
        <v>0.05</v>
      </c>
      <c r="E88">
        <f>ROUNDUP(E87*D88,0)</f>
        <v>1421</v>
      </c>
      <c r="F88">
        <f>ROUNDUP(F87*D88,0)</f>
        <v>29</v>
      </c>
    </row>
    <row r="89" spans="1:11" x14ac:dyDescent="0.25">
      <c r="F89" s="1"/>
    </row>
    <row r="90" spans="1:11" x14ac:dyDescent="0.25">
      <c r="B90" t="s">
        <v>14</v>
      </c>
    </row>
    <row r="91" spans="1:11" x14ac:dyDescent="0.25">
      <c r="C91" t="s">
        <v>13</v>
      </c>
      <c r="D91" s="4">
        <v>0.21</v>
      </c>
      <c r="F91">
        <f>ROUNDUP(E79*D91,0)</f>
        <v>16016</v>
      </c>
    </row>
    <row r="92" spans="1:11" x14ac:dyDescent="0.25">
      <c r="F92" s="2"/>
    </row>
    <row r="94" spans="1:11" x14ac:dyDescent="0.25">
      <c r="C94" t="s">
        <v>23</v>
      </c>
      <c r="D94" s="4">
        <v>0.98</v>
      </c>
      <c r="E94" s="2">
        <f>ROUNDUP($F$91*D94,0)</f>
        <v>15696</v>
      </c>
    </row>
    <row r="95" spans="1:11" x14ac:dyDescent="0.25">
      <c r="C95" t="s">
        <v>22</v>
      </c>
      <c r="D95" s="4">
        <v>0.02</v>
      </c>
      <c r="E95" s="2">
        <f>ROUNDUP($F$91*D95,0)</f>
        <v>321</v>
      </c>
    </row>
    <row r="96" spans="1:11" x14ac:dyDescent="0.25">
      <c r="B96" t="s">
        <v>20</v>
      </c>
      <c r="E96" t="s">
        <v>23</v>
      </c>
      <c r="F96" t="s">
        <v>22</v>
      </c>
    </row>
    <row r="97" spans="1:6" x14ac:dyDescent="0.25">
      <c r="C97" t="s">
        <v>19</v>
      </c>
      <c r="D97" s="4">
        <v>0.22</v>
      </c>
      <c r="E97">
        <f>ROUNDUP($E$94*D97,0)</f>
        <v>3454</v>
      </c>
      <c r="F97">
        <f>ROUNDUP($E$95*D97,0)</f>
        <v>71</v>
      </c>
    </row>
    <row r="98" spans="1:6" x14ac:dyDescent="0.25">
      <c r="C98" t="s">
        <v>18</v>
      </c>
      <c r="D98" s="4">
        <v>0.39979999999999999</v>
      </c>
      <c r="E98">
        <f>ROUNDUP($E$94*D98,0)</f>
        <v>6276</v>
      </c>
      <c r="F98">
        <f>ROUNDUP($E$95*D98,0)</f>
        <v>129</v>
      </c>
    </row>
    <row r="99" spans="1:6" x14ac:dyDescent="0.25">
      <c r="B99" t="s">
        <v>17</v>
      </c>
    </row>
    <row r="100" spans="1:6" x14ac:dyDescent="0.25">
      <c r="C100" t="s">
        <v>16</v>
      </c>
      <c r="D100" s="4">
        <v>0.38</v>
      </c>
      <c r="E100">
        <f>ROUNDUP($E$94*D100,0)</f>
        <v>5965</v>
      </c>
      <c r="F100">
        <f>ROUNDUP($E$95*D100,0)</f>
        <v>122</v>
      </c>
    </row>
    <row r="101" spans="1:6" x14ac:dyDescent="0.25">
      <c r="C101" t="s">
        <v>15</v>
      </c>
      <c r="D101" s="4">
        <v>0.05</v>
      </c>
      <c r="E101">
        <f>ROUNDUP($E$94*D101,0)</f>
        <v>785</v>
      </c>
      <c r="F101">
        <f>ROUNDUP($E$95*D101,0)</f>
        <v>17</v>
      </c>
    </row>
    <row r="102" spans="1:6" x14ac:dyDescent="0.25">
      <c r="D102" s="4"/>
    </row>
    <row r="103" spans="1:6" x14ac:dyDescent="0.25">
      <c r="A103"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Number of new loan commitments </vt:lpstr>
      <vt:lpstr>Data Connective Scenario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Cambell</dc:creator>
  <cp:lastModifiedBy>Cambell Craigie</cp:lastModifiedBy>
  <dcterms:created xsi:type="dcterms:W3CDTF">2025-07-12T06:57:00Z</dcterms:created>
  <dcterms:modified xsi:type="dcterms:W3CDTF">2025-07-27T05:55:56Z</dcterms:modified>
</cp:coreProperties>
</file>