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"/>
    </mc:Choice>
  </mc:AlternateContent>
  <xr:revisionPtr revIDLastSave="0" documentId="13_ncr:1_{BF27BD12-48A4-40D6-9094-2AE025BF7BB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no disposal" sheetId="2" r:id="rId1"/>
    <sheet name="disposal_mat" sheetId="3" r:id="rId2"/>
    <sheet name="disposal" sheetId="4" r:id="rId3"/>
    <sheet name="discounting" sheetId="5" r:id="rId4"/>
  </sheets>
  <definedNames>
    <definedName name="OpenSolver_ChosenSolver" localSheetId="3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0" hidden="1">CBC</definedName>
    <definedName name="OpenSolver_DualsNewSheet" localSheetId="3" hidden="1">0</definedName>
    <definedName name="OpenSolver_DualsNewSheet" localSheetId="2" hidden="1">0</definedName>
    <definedName name="OpenSolver_DualsNewSheet" localSheetId="1" hidden="1">0</definedName>
    <definedName name="OpenSolver_DualsNewSheet" localSheetId="0" hidden="1">0</definedName>
    <definedName name="OpenSolver_LinearityCheck" localSheetId="3" hidden="1">1</definedName>
    <definedName name="OpenSolver_LinearityCheck" localSheetId="2" hidden="1">1</definedName>
    <definedName name="OpenSolver_LinearityCheck" localSheetId="1" hidden="1">1</definedName>
    <definedName name="OpenSolver_LinearityCheck" localSheetId="0" hidden="1">1</definedName>
    <definedName name="OpenSolver_UpdateSensitivity" localSheetId="3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0" hidden="1">1</definedName>
    <definedName name="solver_adj" localSheetId="3" hidden="1">discounting!$F$27:$H$31,discounting!$N$27:$P$31,discounting!$J$27:$L$31</definedName>
    <definedName name="solver_adj" localSheetId="2" hidden="1">disposal!$F$27:$H$31,disposal!$N$27:$P$31,disposal!$J$27:$L$31</definedName>
    <definedName name="solver_adj" localSheetId="1" hidden="1">disposal_mat!$F$27:$H$31,disposal_mat!$N$27:$P$31,disposal_mat!$J$27:$L$31</definedName>
    <definedName name="solver_adj" localSheetId="0" hidden="1">'no disposal'!$F$24:$H$28,'no disposal'!$N$24:$P$28,'no disposal'!$J$24:$L$28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3" hidden="1">discounting!$Z$10:$AD$12</definedName>
    <definedName name="solver_lhs1" localSheetId="2" hidden="1">disposal!$Z$10:$AD$12</definedName>
    <definedName name="solver_lhs1" localSheetId="1" hidden="1">disposal_mat!$AD$10:$AH$12</definedName>
    <definedName name="solver_lhs1" localSheetId="0" hidden="1">'no disposal'!$Z$10:$AD$12</definedName>
    <definedName name="solver_lhs2" localSheetId="3" hidden="1">discounting!$F$27:$H$31</definedName>
    <definedName name="solver_lhs2" localSheetId="2" hidden="1">disposal!$F$27:$H$31</definedName>
    <definedName name="solver_lhs2" localSheetId="1" hidden="1">disposal_mat!$F$27:$H$31</definedName>
    <definedName name="solver_lhs2" localSheetId="0" hidden="1">'no disposal'!$F$24:$H$28</definedName>
    <definedName name="solver_lhs3" localSheetId="3" hidden="1">discounting!$J$27:$L$31</definedName>
    <definedName name="solver_lhs3" localSheetId="2" hidden="1">disposal!$J$27:$L$31</definedName>
    <definedName name="solver_lhs3" localSheetId="1" hidden="1">disposal_mat!$J$27:$L$31</definedName>
    <definedName name="solver_lhs3" localSheetId="0" hidden="1">'no disposal'!$J$24:$L$28</definedName>
    <definedName name="solver_lhs4" localSheetId="3" hidden="1">discounting!$J$34:$L$38</definedName>
    <definedName name="solver_lhs4" localSheetId="2" hidden="1">disposal!$J$34:$L$38</definedName>
    <definedName name="solver_lhs4" localSheetId="1" hidden="1">disposal_mat!$J$34:$L$38</definedName>
    <definedName name="solver_lhs4" localSheetId="0" hidden="1">'no disposal'!$J$32:$L$36</definedName>
    <definedName name="solver_lhs5" localSheetId="3" hidden="1">discounting!$Z$7:$AD$8</definedName>
    <definedName name="solver_lhs5" localSheetId="2" hidden="1">disposal!$Z$7:$AD$8</definedName>
    <definedName name="solver_lhs5" localSheetId="1" hidden="1">disposal_mat!$AD$7:$AH$8</definedName>
    <definedName name="solver_lhs5" localSheetId="0" hidden="1">'no disposal'!$Z$7:$AD$8</definedName>
    <definedName name="solver_lhs6" localSheetId="3" hidden="1">discounting!$J$27:$L$31</definedName>
    <definedName name="solver_lhs6" localSheetId="2" hidden="1">disposal!$J$27:$L$31</definedName>
    <definedName name="solver_lhs6" localSheetId="1" hidden="1">disposal_mat!$J$27:$L$31</definedName>
    <definedName name="solver_lhs6" localSheetId="0" hidden="1">'no disposal'!$J$24:$L$28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3" hidden="1">"""""""""""""""""""""""""""""""""""""""""""""""""""""""""""""""0,075"""""""""""""""""""""""""""""""""""""""""""""""""""""""""""""""</definedName>
    <definedName name="solver_mrt" localSheetId="2" hidden="1">"""""""""""""""""""""""""""""""""""""""""""""""""""""""""""""""0,075"""""""""""""""""""""""""""""""""""""""""""""""""""""""""""""""</definedName>
    <definedName name="solver_mrt" localSheetId="1" hidden="1">"""""""""""""""""""""""""""""""""""""""""""""""""""""""""""""""0,075"""""""""""""""""""""""""""""""""""""""""""""""""""""""""""""""</definedName>
    <definedName name="solver_mrt" localSheetId="0" hidden="1">"""""""""""""""""""""""""""""""""""""""""""""""""""""""""""""""0,075"""""""""""""""""""""""""""""""""""""""""""""""""""""""""""""""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3" hidden="1">5</definedName>
    <definedName name="solver_num" localSheetId="2" hidden="1">5</definedName>
    <definedName name="solver_num" localSheetId="1" hidden="1">5</definedName>
    <definedName name="solver_num" localSheetId="0" hidden="1">5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3" hidden="1">discounting!$T$14</definedName>
    <definedName name="solver_opt" localSheetId="2" hidden="1">disposal!$T$14</definedName>
    <definedName name="solver_opt" localSheetId="1" hidden="1">disposal_mat!$X$14</definedName>
    <definedName name="solver_opt" localSheetId="0" hidden="1">'no disposal'!$T$14</definedName>
    <definedName name="solver_pre" localSheetId="3" hidden="1">"""""""""""""""""""""""""""""""""""""""""""""""""""""""""""""""0,000001"""""""""""""""""""""""""""""""""""""""""""""""""""""""""""""""</definedName>
    <definedName name="solver_pre" localSheetId="2" hidden="1">"""""""""""""""""""""""""""""""""""""""""""""""""""""""""""""""0,000001"""""""""""""""""""""""""""""""""""""""""""""""""""""""""""""""</definedName>
    <definedName name="solver_pre" localSheetId="1" hidden="1">"""""""""""""""""""""""""""""""""""""""""""""""""""""""""""""""0,000001"""""""""""""""""""""""""""""""""""""""""""""""""""""""""""""""</definedName>
    <definedName name="solver_pre" localSheetId="0" hidden="1">"""""""""""""""""""""""""""""""""""""""""""""""""""""""""""""""0,000001"""""""""""""""""""""""""""""""""""""""""""""""""""""""""""""""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1" localSheetId="0" hidden="1">2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el2" localSheetId="0" hidden="1">3</definedName>
    <definedName name="solver_rel3" localSheetId="3" hidden="1">1</definedName>
    <definedName name="solver_rel3" localSheetId="2" hidden="1">1</definedName>
    <definedName name="solver_rel3" localSheetId="1" hidden="1">1</definedName>
    <definedName name="solver_rel3" localSheetId="0" hidden="1">1</definedName>
    <definedName name="solver_rel4" localSheetId="3" hidden="1">1</definedName>
    <definedName name="solver_rel4" localSheetId="2" hidden="1">1</definedName>
    <definedName name="solver_rel4" localSheetId="1" hidden="1">1</definedName>
    <definedName name="solver_rel4" localSheetId="0" hidden="1">1</definedName>
    <definedName name="solver_rel5" localSheetId="3" hidden="1">2</definedName>
    <definedName name="solver_rel5" localSheetId="2" hidden="1">2</definedName>
    <definedName name="solver_rel5" localSheetId="1" hidden="1">2</definedName>
    <definedName name="solver_rel5" localSheetId="0" hidden="1">2</definedName>
    <definedName name="solver_rel6" localSheetId="3" hidden="1">3</definedName>
    <definedName name="solver_rel6" localSheetId="2" hidden="1">3</definedName>
    <definedName name="solver_rel6" localSheetId="1" hidden="1">3</definedName>
    <definedName name="solver_rel6" localSheetId="0" hidden="1">3</definedName>
    <definedName name="solver_rhs1" localSheetId="3" hidden="1">0</definedName>
    <definedName name="solver_rhs1" localSheetId="2" hidden="1">0</definedName>
    <definedName name="solver_rhs1" localSheetId="1" hidden="1">0</definedName>
    <definedName name="solver_rhs1" localSheetId="0" hidden="1">0</definedName>
    <definedName name="solver_rhs2" localSheetId="3" hidden="1">0</definedName>
    <definedName name="solver_rhs2" localSheetId="2" hidden="1">0</definedName>
    <definedName name="solver_rhs2" localSheetId="1" hidden="1">0</definedName>
    <definedName name="solver_rhs2" localSheetId="0" hidden="1">0</definedName>
    <definedName name="solver_rhs3" localSheetId="3" hidden="1">discounting!$J$41:$L$45</definedName>
    <definedName name="solver_rhs3" localSheetId="2" hidden="1">disposal!$J$41:$L$45</definedName>
    <definedName name="solver_rhs3" localSheetId="1" hidden="1">disposal_mat!$J$41:$L$45</definedName>
    <definedName name="solver_rhs3" localSheetId="0" hidden="1">'no disposal'!$J$39:$L$43</definedName>
    <definedName name="solver_rhs4" localSheetId="3" hidden="1">discounting!$J$27:$L$31</definedName>
    <definedName name="solver_rhs4" localSheetId="2" hidden="1">disposal!$J$27:$L$31</definedName>
    <definedName name="solver_rhs4" localSheetId="1" hidden="1">disposal_mat!$J$27:$L$31</definedName>
    <definedName name="solver_rhs4" localSheetId="0" hidden="1">'no disposal'!$J$24:$L$28</definedName>
    <definedName name="solver_rhs5" localSheetId="3" hidden="1">0</definedName>
    <definedName name="solver_rhs5" localSheetId="2" hidden="1">0</definedName>
    <definedName name="solver_rhs5" localSheetId="1" hidden="1">0</definedName>
    <definedName name="solver_rhs5" localSheetId="0" hidden="1">0</definedName>
    <definedName name="solver_rhs6" localSheetId="3" hidden="1">0</definedName>
    <definedName name="solver_rhs6" localSheetId="2" hidden="1">0</definedName>
    <definedName name="solver_rhs6" localSheetId="1" hidden="1">0</definedName>
    <definedName name="solver_rhs6" localSheetId="0" hidden="1">0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3" hidden="1">5</definedName>
    <definedName name="solver_tol" localSheetId="2" hidden="1">5</definedName>
    <definedName name="solver_tol" localSheetId="1" hidden="1">5</definedName>
    <definedName name="solver_tol" localSheetId="0" hidden="1">5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3" hidden="1">3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1" i="5" l="1" a="1"/>
  <c r="P41" i="5" s="1"/>
  <c r="O41" i="5" a="1"/>
  <c r="O41" i="5" s="1"/>
  <c r="N41" i="5" a="1"/>
  <c r="N44" i="5" s="1"/>
  <c r="N41" i="5"/>
  <c r="N42" i="5"/>
  <c r="N43" i="5"/>
  <c r="N45" i="5"/>
  <c r="AR34" i="5"/>
  <c r="AK34" i="5"/>
  <c r="AD34" i="5"/>
  <c r="AD35" i="5" s="1"/>
  <c r="AD36" i="5" s="1"/>
  <c r="AD37" i="5" s="1"/>
  <c r="AD38" i="5" s="1"/>
  <c r="R34" i="5" a="1"/>
  <c r="R36" i="5" s="1"/>
  <c r="AT31" i="5"/>
  <c r="AS31" i="5"/>
  <c r="AM31" i="5"/>
  <c r="AL31" i="5"/>
  <c r="AE31" i="5"/>
  <c r="AS30" i="5"/>
  <c r="AM30" i="5"/>
  <c r="AN31" i="5" s="1"/>
  <c r="AL30" i="5"/>
  <c r="AF30" i="5"/>
  <c r="AG31" i="5" s="1"/>
  <c r="AE30" i="5"/>
  <c r="AF31" i="5" s="1"/>
  <c r="AT29" i="5"/>
  <c r="AU30" i="5" s="1"/>
  <c r="AV31" i="5" s="1"/>
  <c r="AS29" i="5"/>
  <c r="AT30" i="5" s="1"/>
  <c r="AU31" i="5" s="1"/>
  <c r="AL29" i="5"/>
  <c r="AE29" i="5"/>
  <c r="AS28" i="5"/>
  <c r="AL28" i="5"/>
  <c r="AM29" i="5" s="1"/>
  <c r="AN30" i="5" s="1"/>
  <c r="AO31" i="5" s="1"/>
  <c r="AF28" i="5"/>
  <c r="AG29" i="5" s="1"/>
  <c r="AH30" i="5" s="1"/>
  <c r="AI31" i="5" s="1"/>
  <c r="AE28" i="5"/>
  <c r="AS27" i="5"/>
  <c r="AT28" i="5" s="1"/>
  <c r="AU29" i="5" s="1"/>
  <c r="AV30" i="5" s="1"/>
  <c r="AW31" i="5" s="1"/>
  <c r="AL27" i="5"/>
  <c r="AE27" i="5"/>
  <c r="R27" i="5" a="1"/>
  <c r="R30" i="5" s="1"/>
  <c r="Z10" i="5" a="1"/>
  <c r="AD12" i="5" s="1"/>
  <c r="T7" i="5" a="1"/>
  <c r="T7" i="5" s="1"/>
  <c r="AL35" i="4"/>
  <c r="AL36" i="4"/>
  <c r="AL37" i="4"/>
  <c r="AL38" i="4"/>
  <c r="AL34" i="4"/>
  <c r="AE35" i="4"/>
  <c r="AE36" i="4"/>
  <c r="AE37" i="4"/>
  <c r="AE38" i="4"/>
  <c r="AE34" i="4"/>
  <c r="N41" i="4" a="1"/>
  <c r="O34" i="4" a="1"/>
  <c r="O34" i="4" s="1"/>
  <c r="P34" i="4" a="1"/>
  <c r="P34" i="4" s="1"/>
  <c r="N34" i="4" a="1"/>
  <c r="N34" i="4" s="1"/>
  <c r="N35" i="4"/>
  <c r="AK34" i="4"/>
  <c r="AK35" i="4" s="1"/>
  <c r="AK36" i="4" s="1"/>
  <c r="AK37" i="4" s="1"/>
  <c r="AK38" i="4" s="1"/>
  <c r="AD34" i="4"/>
  <c r="AD35" i="4" s="1"/>
  <c r="AD36" i="4" s="1"/>
  <c r="AD37" i="4" s="1"/>
  <c r="AD38" i="4" s="1"/>
  <c r="W34" i="4"/>
  <c r="W35" i="4" s="1"/>
  <c r="W36" i="4" s="1"/>
  <c r="W37" i="4" s="1"/>
  <c r="W38" i="4" s="1"/>
  <c r="R34" i="4" a="1"/>
  <c r="R35" i="4" s="1"/>
  <c r="AL31" i="4"/>
  <c r="AE31" i="4"/>
  <c r="X31" i="4"/>
  <c r="AL30" i="4"/>
  <c r="AM31" i="4" s="1"/>
  <c r="AF30" i="4"/>
  <c r="AG31" i="4" s="1"/>
  <c r="AE30" i="4"/>
  <c r="AF31" i="4" s="1"/>
  <c r="X30" i="4"/>
  <c r="Y31" i="4" s="1"/>
  <c r="AL29" i="4"/>
  <c r="AM30" i="4" s="1"/>
  <c r="AN31" i="4" s="1"/>
  <c r="AE29" i="4"/>
  <c r="X29" i="4"/>
  <c r="Y30" i="4" s="1"/>
  <c r="Z31" i="4" s="1"/>
  <c r="AL28" i="4"/>
  <c r="AM29" i="4" s="1"/>
  <c r="AN30" i="4" s="1"/>
  <c r="AO31" i="4" s="1"/>
  <c r="AE28" i="4"/>
  <c r="AF29" i="4" s="1"/>
  <c r="X28" i="4"/>
  <c r="Y29" i="4" s="1"/>
  <c r="Z30" i="4" s="1"/>
  <c r="AA31" i="4" s="1"/>
  <c r="AL27" i="4"/>
  <c r="AM28" i="4" s="1"/>
  <c r="AN29" i="4" s="1"/>
  <c r="AO30" i="4" s="1"/>
  <c r="AP31" i="4" s="1"/>
  <c r="AE27" i="4"/>
  <c r="AF28" i="4" s="1"/>
  <c r="AG29" i="4" s="1"/>
  <c r="AH30" i="4" s="1"/>
  <c r="AI31" i="4" s="1"/>
  <c r="X27" i="4"/>
  <c r="Y28" i="4" s="1"/>
  <c r="R27" i="4" a="1"/>
  <c r="T28" i="4" s="1"/>
  <c r="Z10" i="4" a="1"/>
  <c r="Z12" i="4" s="1"/>
  <c r="T7" i="4" a="1"/>
  <c r="W8" i="4" s="1"/>
  <c r="P65" i="3" a="1"/>
  <c r="P65" i="3" s="1"/>
  <c r="O60" i="3" a="1"/>
  <c r="O60" i="3" s="1"/>
  <c r="N55" i="3" a="1"/>
  <c r="N55" i="3" s="1"/>
  <c r="AL28" i="3"/>
  <c r="AM29" i="3" s="1"/>
  <c r="AL29" i="3"/>
  <c r="AM30" i="3" s="1"/>
  <c r="AN31" i="3" s="1"/>
  <c r="AL30" i="3"/>
  <c r="AM31" i="3" s="1"/>
  <c r="AL31" i="3"/>
  <c r="AL27" i="3"/>
  <c r="AM28" i="3" s="1"/>
  <c r="AE28" i="3"/>
  <c r="AF29" i="3" s="1"/>
  <c r="AG30" i="3" s="1"/>
  <c r="AH31" i="3" s="1"/>
  <c r="AE29" i="3"/>
  <c r="AF30" i="3" s="1"/>
  <c r="AG31" i="3" s="1"/>
  <c r="AE30" i="3"/>
  <c r="AF31" i="3" s="1"/>
  <c r="AE31" i="3"/>
  <c r="AE27" i="3"/>
  <c r="X28" i="3"/>
  <c r="Y29" i="3" s="1"/>
  <c r="Z30" i="3" s="1"/>
  <c r="AA31" i="3" s="1"/>
  <c r="X29" i="3"/>
  <c r="X30" i="3"/>
  <c r="Y31" i="3" s="1"/>
  <c r="X31" i="3"/>
  <c r="X27" i="3"/>
  <c r="AK34" i="3"/>
  <c r="AK35" i="3" s="1"/>
  <c r="AK36" i="3" s="1"/>
  <c r="AK37" i="3" s="1"/>
  <c r="AK38" i="3" s="1"/>
  <c r="AD34" i="3"/>
  <c r="AD35" i="3" s="1"/>
  <c r="AD36" i="3" s="1"/>
  <c r="AD37" i="3" s="1"/>
  <c r="AD38" i="3" s="1"/>
  <c r="W34" i="3"/>
  <c r="W35" i="3"/>
  <c r="W36" i="3" s="1"/>
  <c r="W37" i="3" s="1"/>
  <c r="W38" i="3" s="1"/>
  <c r="X36" i="3"/>
  <c r="AE36" i="3"/>
  <c r="AL36" i="3"/>
  <c r="X37" i="3"/>
  <c r="AE37" i="3"/>
  <c r="AL37" i="3"/>
  <c r="X38" i="3"/>
  <c r="AE38" i="3"/>
  <c r="AL38" i="3"/>
  <c r="AL34" i="3"/>
  <c r="AL35" i="3"/>
  <c r="AE34" i="3"/>
  <c r="AE35" i="3"/>
  <c r="X34" i="3"/>
  <c r="X35" i="3"/>
  <c r="Y30" i="3"/>
  <c r="Z31" i="3" s="1"/>
  <c r="S36" i="5" l="1"/>
  <c r="S30" i="5"/>
  <c r="T36" i="5"/>
  <c r="U7" i="5"/>
  <c r="V7" i="5"/>
  <c r="P45" i="5"/>
  <c r="P44" i="5"/>
  <c r="P43" i="5"/>
  <c r="P42" i="5"/>
  <c r="O45" i="5"/>
  <c r="O44" i="5"/>
  <c r="O43" i="5"/>
  <c r="O42" i="5"/>
  <c r="X38" i="4"/>
  <c r="X37" i="4"/>
  <c r="X36" i="4"/>
  <c r="X35" i="4"/>
  <c r="X34" i="4"/>
  <c r="P34" i="5" a="1"/>
  <c r="AE34" i="5"/>
  <c r="AE37" i="5"/>
  <c r="Z11" i="5"/>
  <c r="R31" i="5"/>
  <c r="R37" i="5"/>
  <c r="AK35" i="5"/>
  <c r="AK36" i="5" s="1"/>
  <c r="AK37" i="5" s="1"/>
  <c r="AK38" i="5" s="1"/>
  <c r="X7" i="5"/>
  <c r="AA11" i="5"/>
  <c r="S27" i="5"/>
  <c r="S31" i="5"/>
  <c r="AM28" i="5"/>
  <c r="AN29" i="5" s="1"/>
  <c r="AO30" i="5" s="1"/>
  <c r="AP31" i="5" s="1"/>
  <c r="S37" i="5"/>
  <c r="AL34" i="5"/>
  <c r="AL35" i="5"/>
  <c r="AL37" i="5"/>
  <c r="T8" i="5"/>
  <c r="AB11" i="5"/>
  <c r="T27" i="5"/>
  <c r="T31" i="5"/>
  <c r="U8" i="5"/>
  <c r="AC11" i="5"/>
  <c r="R28" i="5"/>
  <c r="R34" i="5"/>
  <c r="R38" i="5"/>
  <c r="V8" i="5"/>
  <c r="AD11" i="5"/>
  <c r="S28" i="5"/>
  <c r="S34" i="5"/>
  <c r="S38" i="5"/>
  <c r="T30" i="5"/>
  <c r="AE35" i="5"/>
  <c r="R27" i="5"/>
  <c r="T37" i="5"/>
  <c r="AR35" i="5"/>
  <c r="AR36" i="5" s="1"/>
  <c r="AR37" i="5" s="1"/>
  <c r="AR38" i="5" s="1"/>
  <c r="AS34" i="5"/>
  <c r="W8" i="5"/>
  <c r="Z12" i="5"/>
  <c r="T28" i="5"/>
  <c r="AF29" i="5"/>
  <c r="AG30" i="5" s="1"/>
  <c r="AH31" i="5" s="1"/>
  <c r="T34" i="5"/>
  <c r="T38" i="5"/>
  <c r="AE36" i="5"/>
  <c r="AE38" i="5"/>
  <c r="AC10" i="5"/>
  <c r="AD10" i="5"/>
  <c r="X8" i="5"/>
  <c r="R29" i="5"/>
  <c r="R35" i="5"/>
  <c r="Z10" i="5"/>
  <c r="AB12" i="5"/>
  <c r="S29" i="5"/>
  <c r="S35" i="5"/>
  <c r="W7" i="5"/>
  <c r="AA12" i="5"/>
  <c r="T35" i="5"/>
  <c r="AA10" i="5"/>
  <c r="AC12" i="5"/>
  <c r="T29" i="5"/>
  <c r="AB10" i="5"/>
  <c r="AS36" i="5"/>
  <c r="AU34" i="4" a="1"/>
  <c r="AU34" i="4" s="1"/>
  <c r="P41" i="4" s="1"/>
  <c r="P45" i="4"/>
  <c r="P44" i="4"/>
  <c r="P43" i="4"/>
  <c r="O37" i="4"/>
  <c r="O38" i="4"/>
  <c r="O35" i="4"/>
  <c r="O36" i="4"/>
  <c r="P37" i="4"/>
  <c r="P38" i="4"/>
  <c r="P36" i="4"/>
  <c r="P35" i="4"/>
  <c r="N38" i="4"/>
  <c r="N37" i="4"/>
  <c r="N36" i="4"/>
  <c r="AS34" i="4" a="1"/>
  <c r="AT34" i="4" a="1"/>
  <c r="Z29" i="4"/>
  <c r="AA30" i="4" s="1"/>
  <c r="AB31" i="4" s="1"/>
  <c r="AG30" i="4"/>
  <c r="AH31" i="4" s="1"/>
  <c r="T35" i="4"/>
  <c r="U7" i="4"/>
  <c r="AC10" i="4"/>
  <c r="S30" i="4"/>
  <c r="S36" i="4"/>
  <c r="X8" i="4"/>
  <c r="AA12" i="4"/>
  <c r="R29" i="4"/>
  <c r="Z10" i="4"/>
  <c r="AB12" i="4"/>
  <c r="S29" i="4"/>
  <c r="S35" i="4"/>
  <c r="R37" i="4"/>
  <c r="T30" i="4"/>
  <c r="T36" i="4"/>
  <c r="W7" i="4"/>
  <c r="Z11" i="4"/>
  <c r="R27" i="4"/>
  <c r="R31" i="4"/>
  <c r="X7" i="4"/>
  <c r="AA11" i="4"/>
  <c r="S27" i="4"/>
  <c r="S31" i="4"/>
  <c r="S37" i="4"/>
  <c r="T37" i="4"/>
  <c r="S34" i="4"/>
  <c r="S38" i="4"/>
  <c r="AA10" i="4"/>
  <c r="AC12" i="4"/>
  <c r="T29" i="4"/>
  <c r="T7" i="4"/>
  <c r="AB10" i="4"/>
  <c r="AD12" i="4"/>
  <c r="R30" i="4"/>
  <c r="R36" i="4"/>
  <c r="V7" i="4"/>
  <c r="AD10" i="4"/>
  <c r="T8" i="4"/>
  <c r="AB11" i="4"/>
  <c r="T27" i="4"/>
  <c r="T31" i="4"/>
  <c r="U8" i="4"/>
  <c r="AC11" i="4"/>
  <c r="R28" i="4"/>
  <c r="R34" i="4"/>
  <c r="R38" i="4"/>
  <c r="V8" i="4"/>
  <c r="AD11" i="4"/>
  <c r="S28" i="4"/>
  <c r="T34" i="4"/>
  <c r="T38" i="4"/>
  <c r="N34" i="3" a="1"/>
  <c r="O34" i="3" s="1"/>
  <c r="AS34" i="3" a="1"/>
  <c r="AS34" i="3" s="1"/>
  <c r="AU34" i="3" a="1"/>
  <c r="AU34" i="3" s="1"/>
  <c r="AT34" i="3" a="1"/>
  <c r="AT34" i="3" s="1"/>
  <c r="AN30" i="3"/>
  <c r="AO31" i="3" s="1"/>
  <c r="AN29" i="3"/>
  <c r="AO30" i="3" s="1"/>
  <c r="AP31" i="3" s="1"/>
  <c r="AF28" i="3"/>
  <c r="AG29" i="3" s="1"/>
  <c r="AH30" i="3" s="1"/>
  <c r="AI31" i="3" s="1"/>
  <c r="Y28" i="3"/>
  <c r="Z7" i="5" l="1" a="1"/>
  <c r="AB7" i="5" s="1"/>
  <c r="P34" i="5"/>
  <c r="P35" i="5"/>
  <c r="P36" i="5"/>
  <c r="P38" i="5"/>
  <c r="P37" i="5"/>
  <c r="V34" i="5" a="1"/>
  <c r="AS35" i="5"/>
  <c r="AS37" i="5"/>
  <c r="AL38" i="5"/>
  <c r="O34" i="5" a="1"/>
  <c r="V27" i="5" a="1"/>
  <c r="AS38" i="5"/>
  <c r="AL36" i="5"/>
  <c r="N34" i="5" a="1"/>
  <c r="P42" i="4"/>
  <c r="AT34" i="4"/>
  <c r="O41" i="4" s="1"/>
  <c r="O45" i="4"/>
  <c r="O43" i="4"/>
  <c r="O42" i="4"/>
  <c r="O44" i="4"/>
  <c r="AS34" i="4"/>
  <c r="N41" i="4" s="1"/>
  <c r="N43" i="4"/>
  <c r="N44" i="4"/>
  <c r="N45" i="4"/>
  <c r="N42" i="4"/>
  <c r="Z7" i="4" a="1"/>
  <c r="T14" i="4"/>
  <c r="AD8" i="4"/>
  <c r="AC8" i="4"/>
  <c r="AB8" i="4"/>
  <c r="AA8" i="4"/>
  <c r="AC7" i="4"/>
  <c r="AA7" i="4"/>
  <c r="Z7" i="4"/>
  <c r="Z8" i="4"/>
  <c r="AD7" i="4"/>
  <c r="AB7" i="4"/>
  <c r="P37" i="3"/>
  <c r="P38" i="3"/>
  <c r="N34" i="3"/>
  <c r="N38" i="3"/>
  <c r="N35" i="3"/>
  <c r="O35" i="3"/>
  <c r="P35" i="3"/>
  <c r="N36" i="3"/>
  <c r="O36" i="3"/>
  <c r="P36" i="3"/>
  <c r="O38" i="3"/>
  <c r="N37" i="3"/>
  <c r="P34" i="3"/>
  <c r="O37" i="3"/>
  <c r="AX27" i="3" a="1"/>
  <c r="AX27" i="3" s="1"/>
  <c r="Z29" i="3"/>
  <c r="AA30" i="3" s="1"/>
  <c r="AB31" i="3" s="1"/>
  <c r="AS27" i="3" a="1"/>
  <c r="AS27" i="3" s="1"/>
  <c r="BC27" i="3" a="1"/>
  <c r="BC27" i="3" s="1"/>
  <c r="Z7" i="5" l="1"/>
  <c r="AA7" i="5"/>
  <c r="AC7" i="5"/>
  <c r="AD7" i="5"/>
  <c r="Z8" i="5"/>
  <c r="AA8" i="5"/>
  <c r="AB8" i="5"/>
  <c r="AC8" i="5"/>
  <c r="AD8" i="5"/>
  <c r="N48" i="4" a="1"/>
  <c r="P49" i="4" s="1"/>
  <c r="N48" i="4"/>
  <c r="O49" i="4"/>
  <c r="P48" i="4"/>
  <c r="O48" i="4"/>
  <c r="N49" i="4"/>
  <c r="O50" i="4"/>
  <c r="P52" i="4"/>
  <c r="O52" i="4"/>
  <c r="O51" i="4"/>
  <c r="N52" i="4"/>
  <c r="N50" i="4"/>
  <c r="P50" i="4"/>
  <c r="N51" i="4"/>
  <c r="P51" i="4"/>
  <c r="O38" i="5"/>
  <c r="O37" i="5"/>
  <c r="O36" i="5"/>
  <c r="O34" i="5"/>
  <c r="O35" i="5"/>
  <c r="X38" i="5"/>
  <c r="X34" i="5"/>
  <c r="V35" i="5"/>
  <c r="W38" i="5"/>
  <c r="W34" i="5"/>
  <c r="V38" i="5"/>
  <c r="V34" i="5"/>
  <c r="X37" i="5"/>
  <c r="W37" i="5"/>
  <c r="W36" i="5"/>
  <c r="W35" i="5"/>
  <c r="V37" i="5"/>
  <c r="X36" i="5"/>
  <c r="V36" i="5"/>
  <c r="X35" i="5"/>
  <c r="X28" i="5"/>
  <c r="W28" i="5"/>
  <c r="V28" i="5"/>
  <c r="X31" i="5"/>
  <c r="X27" i="5"/>
  <c r="W29" i="5"/>
  <c r="V29" i="5"/>
  <c r="W31" i="5"/>
  <c r="W27" i="5"/>
  <c r="V31" i="5"/>
  <c r="V27" i="5"/>
  <c r="X30" i="5"/>
  <c r="W30" i="5"/>
  <c r="V30" i="5"/>
  <c r="X29" i="5"/>
  <c r="N34" i="5"/>
  <c r="N35" i="5"/>
  <c r="N38" i="5"/>
  <c r="N37" i="5"/>
  <c r="N36" i="5"/>
  <c r="N41" i="3" a="1"/>
  <c r="R34" i="3" a="1"/>
  <c r="S35" i="3" s="1"/>
  <c r="R27" i="3" a="1"/>
  <c r="S28" i="3" s="1"/>
  <c r="AD10" i="3" a="1"/>
  <c r="AH11" i="3" s="1"/>
  <c r="X7" i="3" a="1"/>
  <c r="Z8" i="3" s="1"/>
  <c r="N32" i="2" a="1"/>
  <c r="N32" i="2" s="1"/>
  <c r="R32" i="2" a="1"/>
  <c r="R33" i="2" s="1"/>
  <c r="Z10" i="2" a="1"/>
  <c r="AA10" i="2" s="1"/>
  <c r="R24" i="2" a="1"/>
  <c r="S26" i="2" s="1"/>
  <c r="T14" i="5" l="1"/>
  <c r="N48" i="5" a="1"/>
  <c r="P43" i="3"/>
  <c r="N42" i="3"/>
  <c r="N44" i="3"/>
  <c r="P44" i="3"/>
  <c r="N43" i="3"/>
  <c r="O41" i="3"/>
  <c r="P42" i="3"/>
  <c r="P41" i="3"/>
  <c r="O42" i="3"/>
  <c r="O45" i="3"/>
  <c r="P45" i="3"/>
  <c r="O43" i="3"/>
  <c r="N45" i="3"/>
  <c r="N41" i="3"/>
  <c r="O44" i="3"/>
  <c r="Y8" i="3"/>
  <c r="AG11" i="3"/>
  <c r="R28" i="3"/>
  <c r="AA8" i="3"/>
  <c r="AD12" i="3"/>
  <c r="T28" i="3"/>
  <c r="T35" i="3"/>
  <c r="AB8" i="3"/>
  <c r="AE12" i="3"/>
  <c r="R29" i="3"/>
  <c r="R36" i="3"/>
  <c r="AD10" i="3"/>
  <c r="AF12" i="3"/>
  <c r="S29" i="3"/>
  <c r="T37" i="3"/>
  <c r="T30" i="3"/>
  <c r="AA7" i="3"/>
  <c r="AD11" i="3"/>
  <c r="R27" i="3"/>
  <c r="R31" i="3"/>
  <c r="R34" i="3"/>
  <c r="R38" i="3"/>
  <c r="S36" i="3"/>
  <c r="S30" i="3"/>
  <c r="S37" i="3"/>
  <c r="Z7" i="3"/>
  <c r="AH10" i="3"/>
  <c r="AB7" i="3"/>
  <c r="AE11" i="3"/>
  <c r="S27" i="3"/>
  <c r="S31" i="3"/>
  <c r="S34" i="3"/>
  <c r="S38" i="3"/>
  <c r="AE10" i="3"/>
  <c r="AG12" i="3"/>
  <c r="T29" i="3"/>
  <c r="T36" i="3"/>
  <c r="X7" i="3"/>
  <c r="AF10" i="3"/>
  <c r="AH12" i="3"/>
  <c r="R30" i="3"/>
  <c r="R37" i="3"/>
  <c r="Y7" i="3"/>
  <c r="AG10" i="3"/>
  <c r="X8" i="3"/>
  <c r="AF11" i="3"/>
  <c r="T27" i="3"/>
  <c r="T31" i="3"/>
  <c r="T34" i="3"/>
  <c r="T38" i="3"/>
  <c r="R35" i="3"/>
  <c r="N36" i="2"/>
  <c r="O35" i="2"/>
  <c r="O34" i="2"/>
  <c r="N34" i="2"/>
  <c r="P33" i="2"/>
  <c r="O33" i="2"/>
  <c r="N33" i="2"/>
  <c r="P36" i="2"/>
  <c r="O36" i="2"/>
  <c r="O32" i="2"/>
  <c r="J39" i="2" s="1" a="1"/>
  <c r="J39" i="2" s="1"/>
  <c r="P35" i="2"/>
  <c r="N35" i="2"/>
  <c r="P34" i="2"/>
  <c r="P32" i="2"/>
  <c r="AC10" i="2"/>
  <c r="Z10" i="2"/>
  <c r="AB12" i="2"/>
  <c r="AA12" i="2"/>
  <c r="AD11" i="2"/>
  <c r="AC11" i="2"/>
  <c r="AB11" i="2"/>
  <c r="AA11" i="2"/>
  <c r="Z11" i="2"/>
  <c r="Z12" i="2"/>
  <c r="AD10" i="2"/>
  <c r="T36" i="2"/>
  <c r="R36" i="2"/>
  <c r="T35" i="2"/>
  <c r="S35" i="2"/>
  <c r="R35" i="2"/>
  <c r="S34" i="2"/>
  <c r="AD12" i="2"/>
  <c r="AB10" i="2"/>
  <c r="R34" i="2"/>
  <c r="AC12" i="2"/>
  <c r="T33" i="2"/>
  <c r="T32" i="2"/>
  <c r="S36" i="2"/>
  <c r="S32" i="2"/>
  <c r="R32" i="2"/>
  <c r="T34" i="2"/>
  <c r="S33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P52" i="5" l="1"/>
  <c r="P48" i="5"/>
  <c r="N49" i="5"/>
  <c r="O52" i="5"/>
  <c r="O48" i="5"/>
  <c r="N52" i="5"/>
  <c r="N48" i="5"/>
  <c r="P51" i="5"/>
  <c r="O51" i="5"/>
  <c r="N51" i="5"/>
  <c r="P50" i="5"/>
  <c r="O49" i="5"/>
  <c r="O50" i="5"/>
  <c r="N50" i="5"/>
  <c r="P49" i="5"/>
  <c r="AD7" i="3" a="1"/>
  <c r="AE8" i="3" s="1"/>
  <c r="X14" i="3"/>
  <c r="J41" i="3" a="1"/>
  <c r="J34" i="3" a="1"/>
  <c r="J40" i="2"/>
  <c r="K41" i="2"/>
  <c r="L39" i="2"/>
  <c r="K42" i="2"/>
  <c r="J43" i="2"/>
  <c r="J32" i="2" a="1"/>
  <c r="J32" i="2" s="1"/>
  <c r="L43" i="2"/>
  <c r="J42" i="2"/>
  <c r="L42" i="2"/>
  <c r="K40" i="2"/>
  <c r="K39" i="2"/>
  <c r="K43" i="2"/>
  <c r="L40" i="2"/>
  <c r="J41" i="2"/>
  <c r="L41" i="2"/>
  <c r="T7" i="2" a="1"/>
  <c r="T7" i="2" s="1"/>
  <c r="J34" i="5" l="1" a="1"/>
  <c r="J41" i="5" a="1"/>
  <c r="J41" i="4" a="1"/>
  <c r="J34" i="4" a="1"/>
  <c r="AG8" i="3"/>
  <c r="AF8" i="3"/>
  <c r="AH8" i="3"/>
  <c r="AH7" i="3"/>
  <c r="AG7" i="3"/>
  <c r="AD8" i="3"/>
  <c r="AD7" i="3"/>
  <c r="AE7" i="3"/>
  <c r="AF7" i="3"/>
  <c r="J38" i="3"/>
  <c r="J34" i="3"/>
  <c r="L37" i="3"/>
  <c r="K37" i="3"/>
  <c r="L35" i="3"/>
  <c r="K35" i="3"/>
  <c r="J37" i="3"/>
  <c r="J36" i="3"/>
  <c r="L36" i="3"/>
  <c r="K36" i="3"/>
  <c r="J35" i="3"/>
  <c r="L38" i="3"/>
  <c r="L34" i="3"/>
  <c r="K38" i="3"/>
  <c r="K34" i="3"/>
  <c r="L45" i="3"/>
  <c r="K45" i="3"/>
  <c r="J45" i="3"/>
  <c r="J41" i="3"/>
  <c r="L44" i="3"/>
  <c r="K44" i="3"/>
  <c r="J44" i="3"/>
  <c r="L43" i="3"/>
  <c r="K43" i="3"/>
  <c r="J43" i="3"/>
  <c r="L42" i="3"/>
  <c r="L41" i="3"/>
  <c r="K42" i="3"/>
  <c r="K41" i="3"/>
  <c r="J42" i="3"/>
  <c r="L36" i="2"/>
  <c r="K33" i="2"/>
  <c r="K36" i="2"/>
  <c r="L35" i="2"/>
  <c r="K32" i="2"/>
  <c r="K35" i="2"/>
  <c r="L34" i="2"/>
  <c r="K34" i="2"/>
  <c r="J35" i="2"/>
  <c r="J36" i="2"/>
  <c r="L32" i="2"/>
  <c r="J33" i="2"/>
  <c r="L33" i="2"/>
  <c r="J34" i="2"/>
  <c r="W8" i="2"/>
  <c r="T8" i="2"/>
  <c r="X8" i="2"/>
  <c r="V8" i="2"/>
  <c r="U8" i="2"/>
  <c r="X7" i="2"/>
  <c r="W7" i="2"/>
  <c r="V7" i="2"/>
  <c r="U7" i="2"/>
  <c r="K44" i="5" l="1"/>
  <c r="J44" i="5"/>
  <c r="J45" i="5"/>
  <c r="L43" i="5"/>
  <c r="K43" i="5"/>
  <c r="J41" i="5"/>
  <c r="L44" i="5"/>
  <c r="J43" i="5"/>
  <c r="L42" i="5"/>
  <c r="J42" i="5"/>
  <c r="K42" i="5"/>
  <c r="L45" i="5"/>
  <c r="L41" i="5"/>
  <c r="K45" i="5"/>
  <c r="K41" i="5"/>
  <c r="K35" i="5"/>
  <c r="J35" i="5"/>
  <c r="L35" i="5"/>
  <c r="L38" i="5"/>
  <c r="L34" i="5"/>
  <c r="K38" i="5"/>
  <c r="K34" i="5"/>
  <c r="J38" i="5"/>
  <c r="J34" i="5"/>
  <c r="J36" i="5"/>
  <c r="L37" i="5"/>
  <c r="K37" i="5"/>
  <c r="J37" i="5"/>
  <c r="L36" i="5"/>
  <c r="K36" i="5"/>
  <c r="J45" i="4"/>
  <c r="J41" i="4"/>
  <c r="L44" i="4"/>
  <c r="K44" i="4"/>
  <c r="J44" i="4"/>
  <c r="L43" i="4"/>
  <c r="K43" i="4"/>
  <c r="J43" i="4"/>
  <c r="L42" i="4"/>
  <c r="K42" i="4"/>
  <c r="J42" i="4"/>
  <c r="L45" i="4"/>
  <c r="L41" i="4"/>
  <c r="K45" i="4"/>
  <c r="K41" i="4"/>
  <c r="L37" i="4"/>
  <c r="K37" i="4"/>
  <c r="L36" i="4"/>
  <c r="K36" i="4"/>
  <c r="L38" i="4"/>
  <c r="L34" i="4"/>
  <c r="J37" i="4"/>
  <c r="J36" i="4"/>
  <c r="K35" i="4"/>
  <c r="L35" i="4"/>
  <c r="J38" i="4"/>
  <c r="J34" i="4"/>
  <c r="J35" i="4"/>
  <c r="K38" i="4"/>
  <c r="K34" i="4"/>
  <c r="Z7" i="2" a="1"/>
  <c r="Z7" i="2" s="1"/>
  <c r="T14" i="2"/>
  <c r="AD7" i="2" l="1"/>
  <c r="AA8" i="2"/>
  <c r="Z8" i="2"/>
  <c r="AC7" i="2"/>
  <c r="AB7" i="2"/>
  <c r="AA7" i="2"/>
  <c r="AD8" i="2"/>
  <c r="AC8" i="2"/>
  <c r="A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<sst xmlns="http://schemas.openxmlformats.org/spreadsheetml/2006/main" count="418" uniqueCount="109">
  <si>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</si>
  <si>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</si>
  <si>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</si>
  <si>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</si>
  <si>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</si>
  <si>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</si>
  <si>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</si>
  <si>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</si>
  <si>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</si>
  <si>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</si>
  <si>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</si>
  <si>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</si>
  <si>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</si>
  <si>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</si>
  <si>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</si>
  <si>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</si>
  <si>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</si>
  <si>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</si>
  <si>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</si>
  <si>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</si>
  <si>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</si>
  <si>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</si>
  <si>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</si>
  <si>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</si>
  <si>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</si>
  <si>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</si>
  <si>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</si>
  <si>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</si>
  <si>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</si>
  <si>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</si>
  <si>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</si>
  <si>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</si>
  <si>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</si>
  <si>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</si>
  <si>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</si>
  <si>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</si>
  <si>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</si>
  <si>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</si>
  <si>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</si>
  <si>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</si>
  <si>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</si>
  <si>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</si>
  <si>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</si>
  <si>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</si>
  <si>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</si>
  <si>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</si>
  <si>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</si>
  <si>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</si>
  <si>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</si>
  <si>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</si>
  <si>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</si>
  <si>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</si>
  <si>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</si>
  <si>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</si>
  <si>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</si>
  <si>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</si>
  <si>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</si>
  <si>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</si>
  <si>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</si>
  <si>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</si>
  <si>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</si>
  <si>
    <t>Cap_disp</t>
  </si>
  <si>
    <t>y</t>
  </si>
  <si>
    <t>Shape factor</t>
  </si>
  <si>
    <t>-</t>
  </si>
  <si>
    <t>Average lifetime</t>
  </si>
  <si>
    <t>Initial capacity residual lifetime</t>
  </si>
  <si>
    <t>res_lt</t>
  </si>
  <si>
    <t>lt</t>
  </si>
  <si>
    <t>shape</t>
  </si>
  <si>
    <t>year of installation within time horizon</t>
  </si>
  <si>
    <t>year of lifetime</t>
  </si>
  <si>
    <t>weibull t.1 new</t>
  </si>
  <si>
    <t>weibull t.2 new</t>
  </si>
  <si>
    <t>weibull t.3 new</t>
  </si>
  <si>
    <t>weibull t.1 start</t>
  </si>
  <si>
    <t>weibull t.2 start</t>
  </si>
  <si>
    <t>weibull t.3 start</t>
  </si>
  <si>
    <t>weibull concat</t>
  </si>
  <si>
    <t>weibull start concat</t>
  </si>
  <si>
    <t>Cap_new_diag</t>
  </si>
  <si>
    <t>flows_agg/flows</t>
  </si>
  <si>
    <t>Minimize(sum(C_inv,C_om))</t>
  </si>
  <si>
    <t>C_inv = Cap_new * diag(c_inv)</t>
  </si>
  <si>
    <t>c_inv</t>
  </si>
  <si>
    <t>c_om</t>
  </si>
  <si>
    <t>emiss</t>
  </si>
  <si>
    <t>lf_min</t>
  </si>
  <si>
    <t>lf_max</t>
  </si>
  <si>
    <t>weib_shape</t>
  </si>
  <si>
    <t>lt_avg</t>
  </si>
  <si>
    <t>C_om = X * diag(c_om)</t>
  </si>
  <si>
    <t>Cap_disp_new_t = weib_t * Cap_new_t</t>
  </si>
  <si>
    <t>Cap_disp_start = c_start weib_concat</t>
  </si>
  <si>
    <t>weib t.1 new</t>
  </si>
  <si>
    <t>weib t.2 new</t>
  </si>
  <si>
    <t>weib t.3 new</t>
  </si>
  <si>
    <t>weib_start t.1</t>
  </si>
  <si>
    <t>weib_start t.2</t>
  </si>
  <si>
    <t>weib_start t.3</t>
  </si>
  <si>
    <t>Xmin = Cap_op * diag(lf_min) * 8760</t>
  </si>
  <si>
    <t>Xmin = Cap_op * diag(lf_max) * 8760</t>
  </si>
  <si>
    <t>C_start</t>
  </si>
  <si>
    <t>Cap_op = c_start + Tyy*Cap_new + Tyy*Cap_disp_new + Tyy*Cap_disp_start</t>
  </si>
  <si>
    <t>dr</t>
  </si>
  <si>
    <t>Minimize(sum(C_inv_y,C_om_y))</t>
  </si>
  <si>
    <t>C_inv_y = C_inv/(1+dr)^(years-1)</t>
  </si>
  <si>
    <t>C_om_y = C_om/(1+dr)^(years-1)</t>
  </si>
  <si>
    <t>Cap_disp_start = c_start*  weib_concat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</si>
</sst>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165" fontId="0" fillId="0" borderId="0" xfId="0" applyNumberFormat="1"/>
    <xf numFmtId="0" fontId="4" fillId="0" borderId="0" xfId="0" applyFont="1"/>
    <xf numFmtId="0" fontId="3" fillId="0" borderId="6" xfId="0" applyFont="1" applyBorder="1"/>
    <xf numFmtId="0" fontId="4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tabSelected="1" zoomScale="85" zoomScaleNormal="8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J19" sqref="J19"/>
    </sheetView>
  </sheetViews>
  <sheetFormatPr defaultRowHeight="14.6" x14ac:dyDescent="0.4"/>
  <cols>
    <col min="4" max="4" width="23.4609375" bestFit="1" customWidth="1"/>
    <col min="5" max="5" width="10.23046875" bestFit="1" customWidth="1"/>
    <col min="6" max="8" width="6.4609375" customWidth="1"/>
    <col min="9" max="9" width="4.69140625" customWidth="1"/>
    <col min="10" max="12" width="6.84375" customWidth="1"/>
    <col min="13" max="13" width="4.69140625" customWidth="1"/>
    <col min="14" max="16" width="7.4609375" customWidth="1"/>
    <col min="17" max="18" width="6.23046875" customWidth="1"/>
    <col min="19" max="19" width="4.84375" customWidth="1"/>
    <col min="20" max="30" width="7.4609375" customWidth="1"/>
    <col min="31" max="32" width="4.84375" customWidth="1"/>
    <col min="33" max="33" width="5.23046875" customWidth="1"/>
    <col min="34" max="36" width="7.15234375" customWidth="1"/>
    <col min="37" max="41" width="5.23046875" customWidth="1"/>
  </cols>
  <sheetData>
    <row r="1" spans="1:34" x14ac:dyDescent="0.4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4">
      <c r="B2" t="s">
        <v>1</v>
      </c>
      <c r="F2" t="s">
        <v>50</v>
      </c>
      <c r="G2" t="s">
        <v>51</v>
      </c>
      <c r="H2" t="s">
        <v>52</v>
      </c>
    </row>
    <row r="3" spans="1:34" x14ac:dyDescent="0.4">
      <c r="C3" t="s">
        <v>2</v>
      </c>
      <c r="J3" t="s">
        <v>11</v>
      </c>
      <c r="K3" t="s">
        <v>18</v>
      </c>
      <c r="L3" t="s">
        <v>35</v>
      </c>
    </row>
    <row r="4" spans="1:34" x14ac:dyDescent="0.4">
      <c r="D4" t="s">
        <v>3</v>
      </c>
    </row>
    <row r="5" spans="1:34" ht="95.25" customHeight="1" x14ac:dyDescent="0.4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4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4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T7:X8-MMULT(J7:L8,TRANSPOSE(J24:L28))-N7:R8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4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4">
      <c r="F9" s="14" t="s">
        <v>10</v>
      </c>
      <c r="Z9" s="14" t="s">
        <v>47</v>
      </c>
    </row>
    <row r="10" spans="1:34" x14ac:dyDescent="0.4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4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4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4">
      <c r="T13" s="14" t="s">
        <v>42</v>
      </c>
    </row>
    <row r="14" spans="1:34" x14ac:dyDescent="0.4">
      <c r="D14" t="s">
        <v>16</v>
      </c>
      <c r="E14" t="s">
        <v>22</v>
      </c>
      <c r="I14" s="24" t="s">
        <v>43</v>
      </c>
      <c r="J14" s="2">
        <v>10</v>
      </c>
      <c r="K14" s="2">
        <v>15</v>
      </c>
      <c r="L14" s="2">
        <v>5</v>
      </c>
      <c r="S14" s="14" t="s">
        <v>55</v>
      </c>
      <c r="T14" s="15">
        <f>SUM(R24:T28,R32:T36)</f>
        <v>2651862.165910033</v>
      </c>
    </row>
    <row r="15" spans="1:34" x14ac:dyDescent="0.4">
      <c r="D15" t="s">
        <v>17</v>
      </c>
      <c r="E15" t="s">
        <v>22</v>
      </c>
      <c r="I15" s="24" t="s">
        <v>44</v>
      </c>
      <c r="J15" s="2">
        <v>10</v>
      </c>
      <c r="K15" s="2">
        <v>0</v>
      </c>
      <c r="L15" s="2">
        <v>1</v>
      </c>
    </row>
    <row r="16" spans="1:34" x14ac:dyDescent="0.4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4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4">
      <c r="E18" t="s">
        <v>30</v>
      </c>
      <c r="I18" s="24" t="s">
        <v>57</v>
      </c>
      <c r="J18" s="2">
        <v>0.7</v>
      </c>
      <c r="K18" s="2">
        <v>0.3</v>
      </c>
      <c r="L18" s="2">
        <v>200</v>
      </c>
    </row>
    <row r="19" spans="1:20" x14ac:dyDescent="0.4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4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4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4">
      <c r="A24" t="s">
        <v>24</v>
      </c>
      <c r="F24" s="16">
        <v>108.57763</v>
      </c>
      <c r="G24" s="17">
        <v>0</v>
      </c>
      <c r="H24" s="18">
        <v>508022.2</v>
      </c>
      <c r="J24" s="16">
        <v>108.57763</v>
      </c>
      <c r="K24" s="17">
        <v>0</v>
      </c>
      <c r="L24" s="18">
        <v>508022.2</v>
      </c>
      <c r="N24" s="16">
        <v>1.7706724E-2</v>
      </c>
      <c r="O24" s="17">
        <v>0</v>
      </c>
      <c r="P24" s="18">
        <v>2.8996700999999998</v>
      </c>
      <c r="R24">
        <f t="array" ref="R24:T28">MMULT(N24:P28,_xlfn.MUNIT(3)*J14:L14)</f>
        <v>0.17706724000000001</v>
      </c>
      <c r="S24">
        <v>0</v>
      </c>
      <c r="T24">
        <v>14.498350499999999</v>
      </c>
    </row>
    <row r="25" spans="1:20" x14ac:dyDescent="0.4">
      <c r="A25" t="s">
        <v>25</v>
      </c>
      <c r="F25" s="19">
        <v>130.29316</v>
      </c>
      <c r="G25" s="4">
        <v>0</v>
      </c>
      <c r="H25" s="20">
        <v>518182.64</v>
      </c>
      <c r="J25" s="19">
        <v>130.29316</v>
      </c>
      <c r="K25" s="4">
        <v>0</v>
      </c>
      <c r="L25" s="20">
        <v>518182.64</v>
      </c>
      <c r="N25" s="19">
        <v>3.5413447999999999E-3</v>
      </c>
      <c r="O25" s="4">
        <v>0</v>
      </c>
      <c r="P25" s="20">
        <v>5.7993401999999999E-2</v>
      </c>
      <c r="R25">
        <v>3.5413448E-2</v>
      </c>
      <c r="S25">
        <v>0</v>
      </c>
      <c r="T25">
        <v>0.28996701000000003</v>
      </c>
    </row>
    <row r="26" spans="1:20" x14ac:dyDescent="0.4">
      <c r="A26" t="s">
        <v>26</v>
      </c>
      <c r="F26" s="19">
        <v>156.35178999999999</v>
      </c>
      <c r="G26" s="4">
        <v>0</v>
      </c>
      <c r="H26" s="20">
        <v>528546.30000000005</v>
      </c>
      <c r="J26" s="19">
        <v>156.35178999999999</v>
      </c>
      <c r="K26" s="4">
        <v>0</v>
      </c>
      <c r="L26" s="20">
        <v>528546.30000000005</v>
      </c>
      <c r="N26" s="19">
        <v>4.2496137999999996E-3</v>
      </c>
      <c r="O26" s="4">
        <v>0</v>
      </c>
      <c r="P26" s="20">
        <v>5.9153270000000001E-2</v>
      </c>
      <c r="R26">
        <v>4.2496137999999996E-2</v>
      </c>
      <c r="S26">
        <v>0</v>
      </c>
      <c r="T26">
        <v>0.29576635000000001</v>
      </c>
    </row>
    <row r="27" spans="1:20" x14ac:dyDescent="0.4">
      <c r="A27" t="s">
        <v>27</v>
      </c>
      <c r="F27" s="19">
        <v>187.83931000000001</v>
      </c>
      <c r="G27" s="4">
        <v>0</v>
      </c>
      <c r="H27" s="20">
        <v>539117.22</v>
      </c>
      <c r="J27" s="19">
        <v>187.83931000000001</v>
      </c>
      <c r="K27" s="4">
        <v>0</v>
      </c>
      <c r="L27" s="20">
        <v>539117.22</v>
      </c>
      <c r="N27" s="19">
        <v>5.1349500000000001E-3</v>
      </c>
      <c r="O27" s="4">
        <v>0</v>
      </c>
      <c r="P27" s="20">
        <v>6.0336334999999998E-2</v>
      </c>
      <c r="R27">
        <v>5.1349499999999999E-2</v>
      </c>
      <c r="S27">
        <v>0</v>
      </c>
      <c r="T27">
        <v>0.30168167499999998</v>
      </c>
    </row>
    <row r="28" spans="1:20" x14ac:dyDescent="0.4">
      <c r="A28" t="s">
        <v>28</v>
      </c>
      <c r="F28" s="21">
        <v>224.75569999999999</v>
      </c>
      <c r="G28" s="22">
        <v>0</v>
      </c>
      <c r="H28" s="23">
        <v>549899.56999999995</v>
      </c>
      <c r="J28" s="21">
        <v>224.75569999999999</v>
      </c>
      <c r="K28" s="22">
        <v>0</v>
      </c>
      <c r="L28" s="23">
        <v>549899.56999999995</v>
      </c>
      <c r="N28" s="21">
        <v>6.0202861999999998E-3</v>
      </c>
      <c r="O28" s="22">
        <v>0</v>
      </c>
      <c r="P28" s="23">
        <v>6.1543062000000003E-2</v>
      </c>
      <c r="R28">
        <v>6.0202861999999996E-2</v>
      </c>
      <c r="S28">
        <v>0</v>
      </c>
      <c r="T28">
        <v>0.30771531000000002</v>
      </c>
    </row>
    <row r="31" spans="1:20" x14ac:dyDescent="0.4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4">
      <c r="A32" t="s">
        <v>24</v>
      </c>
      <c r="J32" s="25">
        <f t="array" ref="J32:L36">N32:P36*J17:L17*8760</f>
        <v>0</v>
      </c>
      <c r="K32" s="25">
        <v>0</v>
      </c>
      <c r="L32" s="25">
        <v>0</v>
      </c>
      <c r="N32">
        <f t="array" ref="N32:P36">J19:L19+MMULT(N46:R50,N24:P28)</f>
        <v>1.7706724E-2</v>
      </c>
      <c r="O32">
        <v>0</v>
      </c>
      <c r="P32">
        <v>2.8996700999999998</v>
      </c>
      <c r="R32">
        <f t="array" ref="R32:T36">MMULT(J24:L28,_xlfn.MUNIT(3)*J15:L15)</f>
        <v>1085.7763</v>
      </c>
      <c r="S32">
        <v>0</v>
      </c>
      <c r="T32">
        <v>508022.2</v>
      </c>
    </row>
    <row r="33" spans="1:20" x14ac:dyDescent="0.4">
      <c r="A33" t="s">
        <v>25</v>
      </c>
      <c r="J33" s="25">
        <v>0</v>
      </c>
      <c r="K33" s="25">
        <v>0</v>
      </c>
      <c r="L33" s="25">
        <v>0</v>
      </c>
      <c r="N33">
        <v>2.1248068799999999E-2</v>
      </c>
      <c r="O33">
        <v>0</v>
      </c>
      <c r="P33">
        <v>2.9576635019999999</v>
      </c>
      <c r="R33">
        <v>1302.9315999999999</v>
      </c>
      <c r="S33">
        <v>0</v>
      </c>
      <c r="T33">
        <v>518182.64</v>
      </c>
    </row>
    <row r="34" spans="1:20" x14ac:dyDescent="0.4">
      <c r="A34" t="s">
        <v>26</v>
      </c>
      <c r="J34" s="25">
        <v>0</v>
      </c>
      <c r="K34" s="25">
        <v>0</v>
      </c>
      <c r="L34" s="25">
        <v>0</v>
      </c>
      <c r="N34">
        <v>2.5497682599999998E-2</v>
      </c>
      <c r="O34">
        <v>0</v>
      </c>
      <c r="P34">
        <v>3.0168167719999999</v>
      </c>
      <c r="R34">
        <v>1563.5178999999998</v>
      </c>
      <c r="S34">
        <v>0</v>
      </c>
      <c r="T34">
        <v>528546.30000000005</v>
      </c>
    </row>
    <row r="35" spans="1:20" x14ac:dyDescent="0.4">
      <c r="A35" t="s">
        <v>27</v>
      </c>
      <c r="J35" s="25">
        <v>0</v>
      </c>
      <c r="K35" s="25">
        <v>0</v>
      </c>
      <c r="L35" s="25">
        <v>0</v>
      </c>
      <c r="N35">
        <v>3.0632632599999998E-2</v>
      </c>
      <c r="O35">
        <v>0</v>
      </c>
      <c r="P35">
        <v>3.077153107</v>
      </c>
      <c r="R35">
        <v>1878.3931000000002</v>
      </c>
      <c r="S35">
        <v>0</v>
      </c>
      <c r="T35">
        <v>539117.22</v>
      </c>
    </row>
    <row r="36" spans="1:20" x14ac:dyDescent="0.4">
      <c r="A36" t="s">
        <v>28</v>
      </c>
      <c r="J36" s="25">
        <v>0</v>
      </c>
      <c r="K36" s="25">
        <v>0</v>
      </c>
      <c r="L36" s="25">
        <v>0</v>
      </c>
      <c r="N36">
        <v>3.6652918799999996E-2</v>
      </c>
      <c r="O36">
        <v>0</v>
      </c>
      <c r="P36">
        <v>3.1386961690000001</v>
      </c>
      <c r="R36">
        <v>2247.5569999999998</v>
      </c>
      <c r="S36">
        <v>0</v>
      </c>
      <c r="T36">
        <v>549899.56999999995</v>
      </c>
    </row>
    <row r="38" spans="1:20" x14ac:dyDescent="0.4">
      <c r="J38" s="14" t="s">
        <v>41</v>
      </c>
    </row>
    <row r="39" spans="1:20" x14ac:dyDescent="0.4">
      <c r="A39" t="s">
        <v>24</v>
      </c>
      <c r="J39">
        <f t="array" ref="J39:L43">N32:P36*J18:L18*8760</f>
        <v>108.57763156799999</v>
      </c>
      <c r="K39">
        <v>0</v>
      </c>
      <c r="L39">
        <v>5080222.0151999993</v>
      </c>
    </row>
    <row r="40" spans="1:20" x14ac:dyDescent="0.4">
      <c r="A40" t="s">
        <v>25</v>
      </c>
      <c r="J40">
        <v>130.29315788159997</v>
      </c>
      <c r="K40">
        <v>0</v>
      </c>
      <c r="L40">
        <v>5181826.4555039993</v>
      </c>
    </row>
    <row r="41" spans="1:20" x14ac:dyDescent="0.4">
      <c r="A41" t="s">
        <v>26</v>
      </c>
      <c r="J41">
        <v>156.35178970319998</v>
      </c>
      <c r="K41">
        <v>0</v>
      </c>
      <c r="L41">
        <v>5285462.9845439997</v>
      </c>
    </row>
    <row r="42" spans="1:20" x14ac:dyDescent="0.4">
      <c r="A42" t="s">
        <v>27</v>
      </c>
      <c r="J42">
        <v>187.8393031032</v>
      </c>
      <c r="K42">
        <v>0</v>
      </c>
      <c r="L42">
        <v>5391172.2434639996</v>
      </c>
    </row>
    <row r="43" spans="1:20" x14ac:dyDescent="0.4">
      <c r="A43" t="s">
        <v>28</v>
      </c>
      <c r="J43">
        <v>224.75569808159997</v>
      </c>
      <c r="K43">
        <v>0</v>
      </c>
      <c r="L43">
        <v>5498995.6880880008</v>
      </c>
    </row>
    <row r="45" spans="1:20" x14ac:dyDescent="0.4">
      <c r="N45" s="14" t="s">
        <v>60</v>
      </c>
    </row>
    <row r="46" spans="1:20" x14ac:dyDescent="0.4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4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4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4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4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180C-7F37-49BA-8D43-1CE2099A28F0}">
  <dimension ref="A1:BG69"/>
  <sheetViews>
    <sheetView zoomScale="85" zoomScaleNormal="85" workbookViewId="0">
      <pane xSplit="5" ySplit="6" topLeftCell="F22" activePane="bottomRight" state="frozen"/>
      <selection pane="topRight" activeCell="F1" sqref="F1"/>
      <selection pane="bottomLeft" activeCell="A7" sqref="A7"/>
      <selection pane="bottomRight" activeCell="N55" sqref="N55"/>
    </sheetView>
  </sheetViews>
  <sheetFormatPr defaultRowHeight="14.6" x14ac:dyDescent="0.4"/>
  <cols>
    <col min="1" max="1" width="5.23046875" bestFit="1" customWidth="1"/>
    <col min="2" max="2" width="7.15234375" customWidth="1"/>
    <col min="3" max="3" width="6" bestFit="1" customWidth="1"/>
    <col min="4" max="4" width="31.69140625" bestFit="1" customWidth="1"/>
    <col min="5" max="5" width="10.84375" bestFit="1" customWidth="1"/>
    <col min="6" max="8" width="6.4609375" customWidth="1"/>
    <col min="9" max="9" width="4.69140625" customWidth="1"/>
    <col min="10" max="12" width="6.84375" customWidth="1"/>
    <col min="13" max="13" width="4.69140625" customWidth="1"/>
    <col min="14" max="16" width="7.4609375" customWidth="1"/>
    <col min="17" max="18" width="6.23046875" customWidth="1"/>
    <col min="19" max="19" width="4.84375" customWidth="1"/>
    <col min="20" max="32" width="7.4609375" customWidth="1"/>
    <col min="33" max="34" width="4.84375" customWidth="1"/>
    <col min="35" max="35" width="5.23046875" customWidth="1"/>
    <col min="36" max="38" width="7.15234375" customWidth="1"/>
    <col min="39" max="43" width="5.23046875" customWidth="1"/>
    <col min="46" max="46" width="12.23046875" bestFit="1" customWidth="1"/>
  </cols>
  <sheetData>
    <row r="1" spans="1:38" x14ac:dyDescent="0.4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X1">
        <v>1</v>
      </c>
      <c r="Y1">
        <v>2</v>
      </c>
      <c r="Z1">
        <v>3</v>
      </c>
      <c r="AA1">
        <v>4</v>
      </c>
      <c r="AB1">
        <v>5</v>
      </c>
    </row>
    <row r="2" spans="1:38" x14ac:dyDescent="0.4">
      <c r="B2" t="s">
        <v>81</v>
      </c>
      <c r="F2" t="s">
        <v>50</v>
      </c>
      <c r="G2" t="s">
        <v>51</v>
      </c>
      <c r="H2" t="s">
        <v>52</v>
      </c>
    </row>
    <row r="3" spans="1:38" x14ac:dyDescent="0.4">
      <c r="C3" t="s">
        <v>2</v>
      </c>
      <c r="J3" t="s">
        <v>11</v>
      </c>
      <c r="K3" t="s">
        <v>18</v>
      </c>
      <c r="L3" t="s">
        <v>35</v>
      </c>
    </row>
    <row r="4" spans="1:38" x14ac:dyDescent="0.4">
      <c r="D4" t="s">
        <v>3</v>
      </c>
    </row>
    <row r="5" spans="1:38" ht="75" x14ac:dyDescent="0.4">
      <c r="E5" t="s">
        <v>4</v>
      </c>
      <c r="F5" s="1" t="s">
        <v>13</v>
      </c>
      <c r="G5" s="1" t="s">
        <v>14</v>
      </c>
      <c r="H5" s="1"/>
      <c r="J5" s="1"/>
      <c r="K5" s="1"/>
      <c r="L5" s="1"/>
      <c r="N5" s="1" t="s">
        <v>15</v>
      </c>
      <c r="AJ5" s="14" t="s">
        <v>33</v>
      </c>
    </row>
    <row r="6" spans="1:38" x14ac:dyDescent="0.4">
      <c r="J6" s="14" t="s">
        <v>9</v>
      </c>
      <c r="N6" s="14" t="s">
        <v>58</v>
      </c>
      <c r="X6" s="14" t="s">
        <v>32</v>
      </c>
      <c r="AD6" s="14" t="s">
        <v>46</v>
      </c>
      <c r="AJ6" t="s">
        <v>50</v>
      </c>
      <c r="AK6" t="s">
        <v>51</v>
      </c>
      <c r="AL6" t="s">
        <v>52</v>
      </c>
    </row>
    <row r="7" spans="1:38" x14ac:dyDescent="0.4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X7">
        <f t="array" ref="X7:AB8">MMULT(AJ7:AL8,TRANSPOSE(F27:H31))</f>
        <v>108.57763</v>
      </c>
      <c r="Y7">
        <v>130.29316</v>
      </c>
      <c r="Z7">
        <v>156.35178999999999</v>
      </c>
      <c r="AA7">
        <v>187.83931000000001</v>
      </c>
      <c r="AB7">
        <v>224.75569999999999</v>
      </c>
      <c r="AD7" s="13">
        <f t="array" ref="AD7:AH8">X7:AB8-MMULT(J7:L8,TRANSPOSE(J27:L31))-N7:R8</f>
        <v>-2.7699999947117249E-6</v>
      </c>
      <c r="AE7" s="6">
        <v>3.6000000136482413E-7</v>
      </c>
      <c r="AF7" s="6">
        <v>-1.4100000100825127E-6</v>
      </c>
      <c r="AG7" s="6">
        <v>4.5099999965714233E-6</v>
      </c>
      <c r="AH7" s="7">
        <v>-3.0000001061125658E-7</v>
      </c>
      <c r="AJ7" s="2">
        <v>1</v>
      </c>
      <c r="AK7" s="2">
        <v>1</v>
      </c>
      <c r="AL7" s="2">
        <v>0</v>
      </c>
    </row>
    <row r="8" spans="1:38" x14ac:dyDescent="0.4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X8">
        <v>508022.2</v>
      </c>
      <c r="Y8">
        <v>518182.64</v>
      </c>
      <c r="Z8">
        <v>528546.30000000005</v>
      </c>
      <c r="AA8">
        <v>539117.22</v>
      </c>
      <c r="AB8">
        <v>549899.56999999995</v>
      </c>
      <c r="AD8" s="8">
        <v>0</v>
      </c>
      <c r="AE8" s="9">
        <v>-3.9999999571591616E-3</v>
      </c>
      <c r="AF8" s="9">
        <v>3.1200001249089837E-3</v>
      </c>
      <c r="AG8" s="9">
        <v>-2.8175999177619815E-3</v>
      </c>
      <c r="AH8" s="10">
        <v>2.7260479982942343E-3</v>
      </c>
      <c r="AJ8" s="2">
        <v>0</v>
      </c>
      <c r="AK8" s="2">
        <v>0</v>
      </c>
      <c r="AL8" s="2">
        <v>1</v>
      </c>
    </row>
    <row r="9" spans="1:38" x14ac:dyDescent="0.4">
      <c r="F9" s="14" t="s">
        <v>10</v>
      </c>
      <c r="AD9" s="14" t="s">
        <v>47</v>
      </c>
    </row>
    <row r="10" spans="1:38" x14ac:dyDescent="0.4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X10" s="4"/>
      <c r="Y10" s="4"/>
      <c r="Z10" s="4"/>
      <c r="AA10" s="4"/>
      <c r="AB10" s="4"/>
      <c r="AD10" s="5">
        <f t="array" ref="AD10:AH12">TRANSPOSE(J27:L31)-MMULT(F10:H12,TRANSPOSE(F27:H31))</f>
        <v>0</v>
      </c>
      <c r="AE10" s="6">
        <v>0</v>
      </c>
      <c r="AF10" s="6">
        <v>0</v>
      </c>
      <c r="AG10" s="6">
        <v>0</v>
      </c>
      <c r="AH10" s="7">
        <v>0</v>
      </c>
    </row>
    <row r="11" spans="1:38" x14ac:dyDescent="0.4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X11" s="4"/>
      <c r="Y11" s="4"/>
      <c r="Z11" s="4"/>
      <c r="AA11" s="4"/>
      <c r="AB11" s="4"/>
      <c r="AD11" s="11">
        <v>0</v>
      </c>
      <c r="AE11">
        <v>0</v>
      </c>
      <c r="AF11">
        <v>0</v>
      </c>
      <c r="AG11">
        <v>0</v>
      </c>
      <c r="AH11" s="12">
        <v>0</v>
      </c>
    </row>
    <row r="12" spans="1:38" x14ac:dyDescent="0.4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X12" s="4"/>
      <c r="Y12" s="4"/>
      <c r="Z12" s="4"/>
      <c r="AA12" s="4"/>
      <c r="AB12" s="4"/>
      <c r="AD12" s="8">
        <v>0</v>
      </c>
      <c r="AE12" s="9">
        <v>0</v>
      </c>
      <c r="AF12" s="9">
        <v>0</v>
      </c>
      <c r="AG12" s="9">
        <v>0</v>
      </c>
      <c r="AH12" s="10">
        <v>0</v>
      </c>
    </row>
    <row r="13" spans="1:38" x14ac:dyDescent="0.4">
      <c r="X13" s="14" t="s">
        <v>42</v>
      </c>
    </row>
    <row r="14" spans="1:38" x14ac:dyDescent="0.4">
      <c r="D14" t="s">
        <v>16</v>
      </c>
      <c r="E14" t="s">
        <v>22</v>
      </c>
      <c r="I14" s="24" t="s">
        <v>84</v>
      </c>
      <c r="J14" s="2">
        <v>10</v>
      </c>
      <c r="K14" s="2">
        <v>10</v>
      </c>
      <c r="L14" s="2">
        <v>5</v>
      </c>
      <c r="W14" s="14" t="s">
        <v>55</v>
      </c>
      <c r="X14" s="15">
        <f>SUM(R27:T31,R34:T38)</f>
        <v>2651877.8847193602</v>
      </c>
    </row>
    <row r="15" spans="1:38" x14ac:dyDescent="0.4">
      <c r="D15" t="s">
        <v>17</v>
      </c>
      <c r="E15" t="s">
        <v>22</v>
      </c>
      <c r="I15" s="24" t="s">
        <v>85</v>
      </c>
      <c r="J15" s="2">
        <v>10</v>
      </c>
      <c r="K15" s="2">
        <v>10</v>
      </c>
      <c r="L15" s="2">
        <v>1</v>
      </c>
    </row>
    <row r="16" spans="1:38" x14ac:dyDescent="0.4">
      <c r="D16" t="s">
        <v>19</v>
      </c>
      <c r="E16" t="s">
        <v>23</v>
      </c>
      <c r="I16" s="24" t="s">
        <v>86</v>
      </c>
      <c r="J16" s="2">
        <v>50</v>
      </c>
      <c r="K16" s="2">
        <v>5</v>
      </c>
      <c r="L16" s="2">
        <v>20</v>
      </c>
    </row>
    <row r="17" spans="1:59" x14ac:dyDescent="0.4">
      <c r="D17" t="s">
        <v>29</v>
      </c>
      <c r="E17" t="s">
        <v>30</v>
      </c>
      <c r="I17" s="24" t="s">
        <v>87</v>
      </c>
      <c r="J17" s="2">
        <v>0</v>
      </c>
      <c r="K17" s="2">
        <v>0</v>
      </c>
      <c r="L17" s="2">
        <v>0</v>
      </c>
    </row>
    <row r="18" spans="1:59" x14ac:dyDescent="0.4">
      <c r="E18" t="s">
        <v>30</v>
      </c>
      <c r="I18" s="24" t="s">
        <v>88</v>
      </c>
      <c r="J18" s="2">
        <v>0.7</v>
      </c>
      <c r="K18" s="2">
        <v>0.3</v>
      </c>
      <c r="L18" s="2">
        <v>20</v>
      </c>
    </row>
    <row r="19" spans="1:59" x14ac:dyDescent="0.4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1</v>
      </c>
    </row>
    <row r="20" spans="1:59" x14ac:dyDescent="0.4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59" x14ac:dyDescent="0.4">
      <c r="D21" t="s">
        <v>65</v>
      </c>
      <c r="E21" t="s">
        <v>62</v>
      </c>
      <c r="I21" s="24" t="s">
        <v>90</v>
      </c>
      <c r="J21" s="2">
        <v>3</v>
      </c>
      <c r="K21" s="2">
        <v>2</v>
      </c>
      <c r="L21" s="2">
        <v>5</v>
      </c>
    </row>
    <row r="22" spans="1:59" x14ac:dyDescent="0.4">
      <c r="D22" t="s">
        <v>63</v>
      </c>
      <c r="E22" t="s">
        <v>64</v>
      </c>
      <c r="I22" s="24" t="s">
        <v>89</v>
      </c>
      <c r="J22" s="2">
        <v>3</v>
      </c>
      <c r="K22" s="2">
        <v>5</v>
      </c>
      <c r="L22" s="2">
        <v>5</v>
      </c>
    </row>
    <row r="24" spans="1:59" x14ac:dyDescent="0.4">
      <c r="X24" s="14" t="s">
        <v>72</v>
      </c>
      <c r="AE24" s="14" t="s">
        <v>73</v>
      </c>
      <c r="AL24" s="14" t="s">
        <v>74</v>
      </c>
      <c r="AS24" s="14" t="s">
        <v>78</v>
      </c>
    </row>
    <row r="25" spans="1:59" x14ac:dyDescent="0.4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  <c r="AS25" t="s">
        <v>11</v>
      </c>
      <c r="AX25" t="s">
        <v>18</v>
      </c>
      <c r="BC25" t="s">
        <v>35</v>
      </c>
    </row>
    <row r="26" spans="1:59" x14ac:dyDescent="0.4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  <c r="AX26" s="9">
        <v>1</v>
      </c>
      <c r="AY26" s="9">
        <v>2</v>
      </c>
      <c r="AZ26" s="9">
        <v>3</v>
      </c>
      <c r="BA26" s="9">
        <v>4</v>
      </c>
      <c r="BB26" s="9">
        <v>5</v>
      </c>
      <c r="BC26" s="9">
        <v>1</v>
      </c>
      <c r="BD26" s="9">
        <v>2</v>
      </c>
      <c r="BE26" s="9">
        <v>3</v>
      </c>
      <c r="BF26" s="9">
        <v>4</v>
      </c>
      <c r="BG26" s="9">
        <v>5</v>
      </c>
    </row>
    <row r="27" spans="1:59" x14ac:dyDescent="0.4">
      <c r="A27">
        <v>1</v>
      </c>
      <c r="F27" s="16">
        <v>108.57763</v>
      </c>
      <c r="G27" s="17">
        <v>0</v>
      </c>
      <c r="H27" s="18">
        <v>508022.2</v>
      </c>
      <c r="J27" s="16">
        <v>108.57763</v>
      </c>
      <c r="K27" s="17">
        <v>0</v>
      </c>
      <c r="L27" s="18">
        <v>508022.2</v>
      </c>
      <c r="N27" s="16">
        <v>1.9829939000000001E-2</v>
      </c>
      <c r="O27" s="17">
        <v>0</v>
      </c>
      <c r="P27" s="18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  <c r="AS27" cm="1">
        <f t="array" ref="AS27:AW31">X27:AB31</f>
        <v>0.10707116047792069</v>
      </c>
      <c r="AT27">
        <v>0</v>
      </c>
      <c r="AU27">
        <v>0</v>
      </c>
      <c r="AV27">
        <v>0</v>
      </c>
      <c r="AW27">
        <v>0</v>
      </c>
      <c r="AX27" cm="1">
        <f t="array" ref="AX27:BB31">AE27:AI31</f>
        <v>0.15144269288692877</v>
      </c>
      <c r="AY27">
        <v>0</v>
      </c>
      <c r="AZ27">
        <v>0</v>
      </c>
      <c r="BA27">
        <v>0</v>
      </c>
      <c r="BB27">
        <v>0</v>
      </c>
      <c r="BC27" cm="1">
        <f t="array" ref="BC27:BG31">AL27:AP31</f>
        <v>1.599488081911263E-3</v>
      </c>
      <c r="BD27">
        <v>0</v>
      </c>
      <c r="BE27">
        <v>0</v>
      </c>
      <c r="BF27">
        <v>0</v>
      </c>
      <c r="BG27">
        <v>0</v>
      </c>
    </row>
    <row r="28" spans="1:59" x14ac:dyDescent="0.4">
      <c r="A28">
        <v>2</v>
      </c>
      <c r="F28" s="19">
        <v>130.29316</v>
      </c>
      <c r="G28" s="4">
        <v>0</v>
      </c>
      <c r="H28" s="20">
        <v>518182.64</v>
      </c>
      <c r="J28" s="19">
        <v>130.29316</v>
      </c>
      <c r="K28" s="4">
        <v>0</v>
      </c>
      <c r="L28" s="20">
        <v>518182.64</v>
      </c>
      <c r="N28" s="19">
        <v>1.1305077E-2</v>
      </c>
      <c r="O28" s="4">
        <v>0</v>
      </c>
      <c r="P28" s="20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  <c r="AS28">
        <v>0.33047425742484726</v>
      </c>
      <c r="AT28">
        <v>0.10707116047792069</v>
      </c>
      <c r="AU28">
        <v>0</v>
      </c>
      <c r="AV28">
        <v>0</v>
      </c>
      <c r="AW28">
        <v>0</v>
      </c>
      <c r="AX28">
        <v>0.91969860292860572</v>
      </c>
      <c r="AY28">
        <v>0.15144269288692877</v>
      </c>
      <c r="AZ28">
        <v>0</v>
      </c>
      <c r="BA28">
        <v>0</v>
      </c>
      <c r="BB28">
        <v>0</v>
      </c>
      <c r="BC28">
        <v>2.5339193607685703E-2</v>
      </c>
      <c r="BD28">
        <v>1.599488081911263E-3</v>
      </c>
      <c r="BE28">
        <v>0</v>
      </c>
      <c r="BF28">
        <v>0</v>
      </c>
      <c r="BG28">
        <v>0</v>
      </c>
    </row>
    <row r="29" spans="1:59" x14ac:dyDescent="0.4">
      <c r="A29">
        <v>3</v>
      </c>
      <c r="F29" s="19">
        <v>156.35178999999999</v>
      </c>
      <c r="G29" s="4">
        <v>0</v>
      </c>
      <c r="H29" s="20">
        <v>528546.30000000005</v>
      </c>
      <c r="J29" s="19">
        <v>156.35178999999999</v>
      </c>
      <c r="K29" s="4">
        <v>0</v>
      </c>
      <c r="L29" s="20">
        <v>528546.30000000005</v>
      </c>
      <c r="N29" s="19">
        <v>1.7112985000000001E-2</v>
      </c>
      <c r="O29" s="4">
        <v>0</v>
      </c>
      <c r="P29" s="20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  <c r="AS29">
        <v>0.36787944117144239</v>
      </c>
      <c r="AT29">
        <v>0.33047425742484726</v>
      </c>
      <c r="AU29">
        <v>0.10707116047792069</v>
      </c>
      <c r="AV29">
        <v>0</v>
      </c>
      <c r="AW29">
        <v>0</v>
      </c>
      <c r="AX29">
        <v>6.3735489107332949E-3</v>
      </c>
      <c r="AY29">
        <v>0.91969860292860572</v>
      </c>
      <c r="AZ29">
        <v>0.15144269288692877</v>
      </c>
      <c r="BA29">
        <v>0</v>
      </c>
      <c r="BB29">
        <v>0</v>
      </c>
      <c r="BC29">
        <v>0.11990416322625341</v>
      </c>
      <c r="BD29">
        <v>2.5339193607685703E-2</v>
      </c>
      <c r="BE29">
        <v>1.599488081911263E-3</v>
      </c>
      <c r="BF29">
        <v>0</v>
      </c>
      <c r="BG29">
        <v>0</v>
      </c>
    </row>
    <row r="30" spans="1:59" x14ac:dyDescent="0.4">
      <c r="A30">
        <v>4</v>
      </c>
      <c r="F30" s="19">
        <v>187.83931000000001</v>
      </c>
      <c r="G30" s="4">
        <v>0</v>
      </c>
      <c r="H30" s="20">
        <v>539117.22</v>
      </c>
      <c r="J30" s="19">
        <v>187.83931000000001</v>
      </c>
      <c r="K30" s="4">
        <v>0</v>
      </c>
      <c r="L30" s="20">
        <v>539117.22</v>
      </c>
      <c r="N30" s="19">
        <v>2.0431115999999999E-2</v>
      </c>
      <c r="O30" s="4">
        <v>0</v>
      </c>
      <c r="P30" s="20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  <c r="AS30">
        <v>0.1661264181291118</v>
      </c>
      <c r="AT30">
        <v>0.36787944117144239</v>
      </c>
      <c r="AU30">
        <v>0.33047425742484726</v>
      </c>
      <c r="AV30">
        <v>0.10707116047792069</v>
      </c>
      <c r="AW30">
        <v>0</v>
      </c>
      <c r="AX30">
        <v>5.0656662196376692E-13</v>
      </c>
      <c r="AY30">
        <v>6.3735489107332949E-3</v>
      </c>
      <c r="AZ30">
        <v>0.91969860292860572</v>
      </c>
      <c r="BA30">
        <v>0.15144269288692877</v>
      </c>
      <c r="BB30">
        <v>0</v>
      </c>
      <c r="BC30">
        <v>0.29515512740172928</v>
      </c>
      <c r="BD30">
        <v>0.11990416322625341</v>
      </c>
      <c r="BE30">
        <v>2.5339193607685703E-2</v>
      </c>
      <c r="BF30">
        <v>1.599488081911263E-3</v>
      </c>
      <c r="BG30">
        <v>0</v>
      </c>
    </row>
    <row r="31" spans="1:59" x14ac:dyDescent="0.4">
      <c r="A31">
        <v>5</v>
      </c>
      <c r="F31" s="21">
        <v>224.75569999999999</v>
      </c>
      <c r="G31" s="22">
        <v>0</v>
      </c>
      <c r="H31" s="23">
        <v>549899.56999999995</v>
      </c>
      <c r="J31" s="21">
        <v>224.75569999999999</v>
      </c>
      <c r="K31" s="22">
        <v>0</v>
      </c>
      <c r="L31" s="23">
        <v>549899.56999999995</v>
      </c>
      <c r="N31" s="21">
        <v>2.4059423999999999E-2</v>
      </c>
      <c r="O31" s="22">
        <v>0</v>
      </c>
      <c r="P31" s="23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  <c r="AS31">
        <v>2.7106590681160576E-2</v>
      </c>
      <c r="AT31">
        <v>0.1661264181291118</v>
      </c>
      <c r="AU31">
        <v>0.36787944117144239</v>
      </c>
      <c r="AV31">
        <v>0.33047425742484726</v>
      </c>
      <c r="AW31">
        <v>0.10707116047792069</v>
      </c>
      <c r="AX31">
        <v>3.7855548657894578E-41</v>
      </c>
      <c r="AY31">
        <v>5.0656662196376692E-13</v>
      </c>
      <c r="AZ31">
        <v>6.3735489107332949E-3</v>
      </c>
      <c r="BA31">
        <v>0.91969860292860572</v>
      </c>
      <c r="BB31">
        <v>0.15144269288692877</v>
      </c>
      <c r="BC31">
        <v>0.36787944117144233</v>
      </c>
      <c r="BD31">
        <v>0.29515512740172928</v>
      </c>
      <c r="BE31">
        <v>0.11990416322625341</v>
      </c>
      <c r="BF31">
        <v>2.5339193607685703E-2</v>
      </c>
      <c r="BG31">
        <v>1.599488081911263E-3</v>
      </c>
    </row>
    <row r="32" spans="1:59" x14ac:dyDescent="0.4">
      <c r="F32" s="4"/>
      <c r="G32" s="4"/>
      <c r="H32" s="4"/>
      <c r="J32" s="4"/>
      <c r="K32" s="4"/>
      <c r="L32" s="4"/>
      <c r="N32" s="4"/>
      <c r="O32" s="4"/>
      <c r="P32" s="4"/>
    </row>
    <row r="33" spans="1:47" x14ac:dyDescent="0.4">
      <c r="J33" s="14" t="s">
        <v>40</v>
      </c>
      <c r="K33" s="14"/>
      <c r="L33" s="14"/>
      <c r="M33" s="14"/>
      <c r="N33" s="14" t="s">
        <v>61</v>
      </c>
      <c r="Q33" s="14"/>
      <c r="R33" s="14" t="s">
        <v>91</v>
      </c>
      <c r="S33" s="14"/>
      <c r="X33" s="27" t="s">
        <v>75</v>
      </c>
      <c r="AE33" s="27" t="s">
        <v>76</v>
      </c>
      <c r="AL33" s="27" t="s">
        <v>77</v>
      </c>
      <c r="AS33" s="14" t="s">
        <v>79</v>
      </c>
    </row>
    <row r="34" spans="1:47" x14ac:dyDescent="0.4">
      <c r="A34">
        <v>1</v>
      </c>
      <c r="J34" s="25">
        <f t="array" ref="J34:L38">N41:P45*J17:L17*8760</f>
        <v>0</v>
      </c>
      <c r="K34" s="25">
        <v>0</v>
      </c>
      <c r="L34" s="25">
        <v>0</v>
      </c>
      <c r="N34">
        <f t="array" ref="N34:P38">MMULT(AS27:BG31,N55:P69)+AS34:AU38*J19:L19</f>
        <v>2.1232145809363784E-3</v>
      </c>
      <c r="O34">
        <v>0</v>
      </c>
      <c r="P34">
        <v>0.37151217019214017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_xlfn.WEIBULL.DIST(COUNTA($A$27:$A32),J$22,J$21,FALSE)</f>
        <v>2.7106590681160576E-2</v>
      </c>
      <c r="AD34">
        <f>K21-K20</f>
        <v>2</v>
      </c>
      <c r="AE34" s="11">
        <f>_xlfn.WEIBULL.DIST(COUNTA($A$27:$A32),K$22,K$21,FALSE)</f>
        <v>3.7855548657894578E-41</v>
      </c>
      <c r="AK34">
        <f>L21-L20</f>
        <v>2</v>
      </c>
      <c r="AL34" s="11">
        <f>_xlfn.WEIBULL.DIST(COUNTA($A$27:$A32),L$22,L$21,FALSE)</f>
        <v>0.36787944117144233</v>
      </c>
      <c r="AS34" cm="1">
        <f t="array" ref="AS34:AS38">X34:X38</f>
        <v>2.7106590681160576E-2</v>
      </c>
      <c r="AT34" cm="1">
        <f t="array" ref="AT34:AT38">AE34:AE38</f>
        <v>3.7855548657894578E-41</v>
      </c>
      <c r="AU34" cm="1">
        <f t="array" ref="AU34:AU38">AL34:AL38</f>
        <v>0.36787944117144233</v>
      </c>
    </row>
    <row r="35" spans="1:47" x14ac:dyDescent="0.4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0.42620383690416558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_xlfn.WEIBULL.DIST(COUNTA($A$27:$A32),J$22,J$21,FALSE)</f>
        <v>2.7106590681160576E-2</v>
      </c>
      <c r="AD35">
        <f>AD34+1</f>
        <v>3</v>
      </c>
      <c r="AE35" s="11">
        <f>_xlfn.WEIBULL.DIST(COUNTA($A$27:$A32),K$22,K$21,FALSE)</f>
        <v>3.7855548657894578E-41</v>
      </c>
      <c r="AK35">
        <f>AK34+1</f>
        <v>3</v>
      </c>
      <c r="AL35" s="11">
        <f>_xlfn.WEIBULL.DIST(COUNTA($A$27:$A32),L$22,L$21,FALSE)</f>
        <v>0.36787944117144233</v>
      </c>
      <c r="AS35">
        <v>2.7106590681160576E-2</v>
      </c>
      <c r="AT35">
        <v>3.7855548657894578E-41</v>
      </c>
      <c r="AU35">
        <v>0.36787944117144233</v>
      </c>
    </row>
    <row r="36" spans="1:47" x14ac:dyDescent="0.4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0.65361288295800191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_xlfn.WEIBULL.DIST(COUNTA($A$27:$A32),J$22,J$21,FALSE)</f>
        <v>2.7106590681160576E-2</v>
      </c>
      <c r="AD36">
        <f t="shared" ref="AD36:AD38" si="4">AD35+1</f>
        <v>4</v>
      </c>
      <c r="AE36" s="11">
        <f>_xlfn.WEIBULL.DIST(COUNTA($A$27:$A32),K$22,K$21,FALSE)</f>
        <v>3.7855548657894578E-41</v>
      </c>
      <c r="AK36">
        <f t="shared" ref="AK36:AK38" si="5">AK35+1</f>
        <v>4</v>
      </c>
      <c r="AL36" s="11">
        <f>_xlfn.WEIBULL.DIST(COUNTA($A$27:$A32),L$22,L$21,FALSE)</f>
        <v>0.36787944117144233</v>
      </c>
      <c r="AS36">
        <v>2.7106590681160576E-2</v>
      </c>
      <c r="AT36">
        <v>3.7855548657894578E-41</v>
      </c>
      <c r="AU36">
        <v>0.36787944117144233</v>
      </c>
    </row>
    <row r="37" spans="1:47" x14ac:dyDescent="0.4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1.116230631545081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_xlfn.WEIBULL.DIST(COUNTA($A$27:$A32),J$22,J$21,FALSE)</f>
        <v>2.7106590681160576E-2</v>
      </c>
      <c r="AD37">
        <f t="shared" si="4"/>
        <v>5</v>
      </c>
      <c r="AE37" s="11">
        <f>_xlfn.WEIBULL.DIST(COUNTA($A$27:$A32),K$22,K$21,FALSE)</f>
        <v>3.7855548657894578E-41</v>
      </c>
      <c r="AK37">
        <f t="shared" si="5"/>
        <v>5</v>
      </c>
      <c r="AL37" s="11">
        <f>_xlfn.WEIBULL.DIST(COUNTA($A$27:$A32),L$22,L$21,FALSE)</f>
        <v>0.36787944117144233</v>
      </c>
      <c r="AS37">
        <v>2.7106590681160576E-2</v>
      </c>
      <c r="AT37">
        <v>3.7855548657894578E-41</v>
      </c>
      <c r="AU37">
        <v>0.36787944117144233</v>
      </c>
    </row>
    <row r="38" spans="1:47" x14ac:dyDescent="0.4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1.4640310399418639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_xlfn.WEIBULL.DIST(COUNTA($A$27:$A32),J$22,J$21,FALSE)</f>
        <v>2.7106590681160576E-2</v>
      </c>
      <c r="AD38">
        <f t="shared" si="4"/>
        <v>6</v>
      </c>
      <c r="AE38" s="11">
        <f>_xlfn.WEIBULL.DIST(COUNTA($A$27:$A32),K$22,K$21,FALSE)</f>
        <v>3.7855548657894578E-41</v>
      </c>
      <c r="AK38">
        <f t="shared" si="5"/>
        <v>6</v>
      </c>
      <c r="AL38" s="11">
        <f>_xlfn.WEIBULL.DIST(COUNTA($A$27:$A32),L$22,L$21,FALSE)</f>
        <v>0.36787944117144233</v>
      </c>
      <c r="AS38">
        <v>2.7106590681160576E-2</v>
      </c>
      <c r="AT38">
        <v>3.7855548657894578E-41</v>
      </c>
      <c r="AU38">
        <v>0.36787944117144233</v>
      </c>
    </row>
    <row r="40" spans="1:47" x14ac:dyDescent="0.4">
      <c r="J40" s="14" t="s">
        <v>41</v>
      </c>
      <c r="N40" s="14" t="s">
        <v>39</v>
      </c>
      <c r="O40" s="14"/>
      <c r="P40" s="14"/>
    </row>
    <row r="41" spans="1:47" x14ac:dyDescent="0.4">
      <c r="A41">
        <v>1</v>
      </c>
      <c r="J41">
        <f t="array" ref="J41:L45">N41:P45*J18:L18*8760</f>
        <v>108.57763413769814</v>
      </c>
      <c r="K41">
        <v>0</v>
      </c>
      <c r="L41">
        <v>508022.20674233703</v>
      </c>
      <c r="N41">
        <f t="array" ref="N41:P45">J19:L19-MMULT(N48:R52,N34:P38)+MMULT(N48:R52,N27:P31)</f>
        <v>1.7706724419063624E-2</v>
      </c>
      <c r="O41">
        <v>0</v>
      </c>
      <c r="P41">
        <v>2.89967012980786</v>
      </c>
    </row>
    <row r="42" spans="1:47" x14ac:dyDescent="0.4">
      <c r="A42">
        <v>2</v>
      </c>
      <c r="J42">
        <v>130.29316119028221</v>
      </c>
      <c r="K42">
        <v>0</v>
      </c>
      <c r="L42">
        <v>518182.65096472722</v>
      </c>
      <c r="N42">
        <v>2.1248069339576355E-2</v>
      </c>
      <c r="O42">
        <v>0</v>
      </c>
      <c r="P42">
        <v>2.9576635329036942</v>
      </c>
    </row>
    <row r="43" spans="1:47" x14ac:dyDescent="0.4">
      <c r="A43">
        <v>3</v>
      </c>
      <c r="J43">
        <v>156.35179443646376</v>
      </c>
      <c r="K43">
        <v>0</v>
      </c>
      <c r="L43">
        <v>528546.30335048528</v>
      </c>
      <c r="N43">
        <v>2.5497683371895591E-2</v>
      </c>
      <c r="O43">
        <v>0</v>
      </c>
      <c r="P43">
        <v>3.0168167999456923</v>
      </c>
    </row>
    <row r="44" spans="1:47" x14ac:dyDescent="0.4">
      <c r="A44">
        <v>4</v>
      </c>
      <c r="J44">
        <v>187.83930503337032</v>
      </c>
      <c r="K44">
        <v>0</v>
      </c>
      <c r="L44">
        <v>539117.23510378716</v>
      </c>
      <c r="N44">
        <v>3.0632632914770114E-2</v>
      </c>
      <c r="O44">
        <v>0</v>
      </c>
      <c r="P44">
        <v>3.0771531684006117</v>
      </c>
    </row>
    <row r="45" spans="1:47" x14ac:dyDescent="0.4">
      <c r="A45">
        <v>5</v>
      </c>
      <c r="J45">
        <v>224.75570072592933</v>
      </c>
      <c r="K45">
        <v>0</v>
      </c>
      <c r="L45">
        <v>549899.57922597264</v>
      </c>
      <c r="N45">
        <v>3.6652919231234399E-2</v>
      </c>
      <c r="O45">
        <v>0</v>
      </c>
      <c r="P45">
        <v>3.1386962284587483</v>
      </c>
    </row>
    <row r="47" spans="1:47" x14ac:dyDescent="0.4">
      <c r="N47" s="14" t="s">
        <v>60</v>
      </c>
    </row>
    <row r="48" spans="1:47" x14ac:dyDescent="0.4">
      <c r="A48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4">
      <c r="A49">
        <v>2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</row>
    <row r="50" spans="1:18" x14ac:dyDescent="0.4">
      <c r="A50">
        <v>3</v>
      </c>
      <c r="N50" s="2">
        <v>1</v>
      </c>
      <c r="O50" s="2">
        <v>1</v>
      </c>
      <c r="P50" s="2">
        <v>1</v>
      </c>
      <c r="Q50" s="2">
        <v>0</v>
      </c>
      <c r="R50" s="2">
        <v>0</v>
      </c>
    </row>
    <row r="51" spans="1:18" x14ac:dyDescent="0.4">
      <c r="A51">
        <v>4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</row>
    <row r="52" spans="1:18" x14ac:dyDescent="0.4">
      <c r="A5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</row>
    <row r="54" spans="1:18" x14ac:dyDescent="0.4">
      <c r="N54" s="27" t="s">
        <v>80</v>
      </c>
      <c r="O54" s="9"/>
      <c r="P54" s="9"/>
    </row>
    <row r="55" spans="1:18" x14ac:dyDescent="0.4">
      <c r="N55" cm="1">
        <f t="array" ref="N55:N59">N27:N31</f>
        <v>1.9829939000000001E-2</v>
      </c>
      <c r="O55">
        <v>0</v>
      </c>
      <c r="P55">
        <v>0</v>
      </c>
    </row>
    <row r="56" spans="1:18" x14ac:dyDescent="0.4">
      <c r="N56">
        <v>1.1305077E-2</v>
      </c>
      <c r="O56">
        <v>0</v>
      </c>
      <c r="P56">
        <v>0</v>
      </c>
    </row>
    <row r="57" spans="1:18" x14ac:dyDescent="0.4">
      <c r="N57">
        <v>1.7112985000000001E-2</v>
      </c>
      <c r="O57">
        <v>0</v>
      </c>
      <c r="P57">
        <v>0</v>
      </c>
    </row>
    <row r="58" spans="1:18" x14ac:dyDescent="0.4">
      <c r="N58">
        <v>2.0431115999999999E-2</v>
      </c>
      <c r="O58">
        <v>0</v>
      </c>
      <c r="P58">
        <v>0</v>
      </c>
    </row>
    <row r="59" spans="1:18" x14ac:dyDescent="0.4">
      <c r="N59">
        <v>2.4059423999999999E-2</v>
      </c>
      <c r="O59">
        <v>0</v>
      </c>
      <c r="P59">
        <v>0</v>
      </c>
    </row>
    <row r="60" spans="1:18" x14ac:dyDescent="0.4">
      <c r="N60">
        <v>0</v>
      </c>
      <c r="O60" cm="1">
        <f t="array" ref="O60:O64">O27:O31</f>
        <v>0</v>
      </c>
      <c r="P60">
        <v>0</v>
      </c>
    </row>
    <row r="61" spans="1:18" x14ac:dyDescent="0.4">
      <c r="N61">
        <v>0</v>
      </c>
      <c r="O61">
        <v>0</v>
      </c>
      <c r="P61">
        <v>0</v>
      </c>
    </row>
    <row r="62" spans="1:18" x14ac:dyDescent="0.4">
      <c r="N62">
        <v>0</v>
      </c>
      <c r="O62">
        <v>0</v>
      </c>
      <c r="P62">
        <v>0</v>
      </c>
    </row>
    <row r="63" spans="1:18" x14ac:dyDescent="0.4">
      <c r="N63">
        <v>0</v>
      </c>
      <c r="O63">
        <v>0</v>
      </c>
      <c r="P63">
        <v>0</v>
      </c>
    </row>
    <row r="64" spans="1:18" x14ac:dyDescent="0.4">
      <c r="N64">
        <v>0</v>
      </c>
      <c r="O64">
        <v>0</v>
      </c>
      <c r="P64">
        <v>0</v>
      </c>
    </row>
    <row r="65" spans="14:16" x14ac:dyDescent="0.4">
      <c r="N65">
        <v>0</v>
      </c>
      <c r="O65">
        <v>0</v>
      </c>
      <c r="P65" cm="1">
        <f t="array" ref="P65:P69">P27:P31</f>
        <v>2.2711823</v>
      </c>
    </row>
    <row r="66" spans="14:16" x14ac:dyDescent="0.4">
      <c r="N66">
        <v>0</v>
      </c>
      <c r="O66">
        <v>0</v>
      </c>
      <c r="P66">
        <v>0.48419723999999997</v>
      </c>
    </row>
    <row r="67" spans="14:16" x14ac:dyDescent="0.4">
      <c r="N67">
        <v>0</v>
      </c>
      <c r="O67">
        <v>0</v>
      </c>
      <c r="P67">
        <v>0.71276614999999999</v>
      </c>
    </row>
    <row r="68" spans="14:16" x14ac:dyDescent="0.4">
      <c r="N68">
        <v>0</v>
      </c>
      <c r="O68">
        <v>0</v>
      </c>
      <c r="P68">
        <v>1.1765669999999999</v>
      </c>
    </row>
    <row r="69" spans="14:16" x14ac:dyDescent="0.4">
      <c r="N69">
        <v>0</v>
      </c>
      <c r="O69">
        <v>0</v>
      </c>
      <c r="P69">
        <v>1.5255741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7AF8-4B71-42B5-9201-A885A5FCA9EF}">
  <dimension ref="A1:AU52"/>
  <sheetViews>
    <sheetView zoomScale="115" zoomScaleNormal="115" workbookViewId="0">
      <pane xSplit="5" ySplit="5" topLeftCell="F19" activePane="bottomRight" state="frozen"/>
      <selection pane="topRight" activeCell="F1" sqref="F1"/>
      <selection pane="bottomLeft" activeCell="A6" sqref="A6"/>
      <selection pane="bottomRight" activeCell="E19" sqref="E19"/>
    </sheetView>
  </sheetViews>
  <sheetFormatPr defaultRowHeight="14.6" x14ac:dyDescent="0.4"/>
  <cols>
    <col min="1" max="1" width="5.23046875" bestFit="1" customWidth="1"/>
    <col min="2" max="2" width="6.15234375" bestFit="1" customWidth="1"/>
    <col min="3" max="3" width="6" bestFit="1" customWidth="1"/>
    <col min="4" max="4" width="31.69140625" bestFit="1" customWidth="1"/>
    <col min="5" max="5" width="10.23046875" bestFit="1" customWidth="1"/>
    <col min="6" max="8" width="6.4609375" customWidth="1"/>
    <col min="9" max="9" width="4.69140625" customWidth="1"/>
    <col min="10" max="12" width="6.84375" customWidth="1"/>
    <col min="13" max="13" width="4.69140625" customWidth="1"/>
    <col min="14" max="16" width="7.4609375" customWidth="1"/>
    <col min="17" max="17" width="6.4609375" bestFit="1" customWidth="1"/>
    <col min="18" max="18" width="6.23046875" customWidth="1"/>
    <col min="19" max="19" width="4.84375" customWidth="1"/>
    <col min="20" max="32" width="7.4609375" customWidth="1"/>
    <col min="33" max="34" width="4.84375" customWidth="1"/>
    <col min="35" max="35" width="5.23046875" customWidth="1"/>
    <col min="36" max="38" width="7.15234375" customWidth="1"/>
    <col min="39" max="43" width="5.23046875" customWidth="1"/>
    <col min="46" max="46" width="12.23046875" bestFit="1" customWidth="1"/>
  </cols>
  <sheetData>
    <row r="1" spans="1:34" x14ac:dyDescent="0.4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T1">
        <v>1</v>
      </c>
      <c r="U1">
        <v>2</v>
      </c>
      <c r="V1">
        <v>3</v>
      </c>
      <c r="W1">
        <v>4</v>
      </c>
      <c r="X1">
        <v>5</v>
      </c>
    </row>
    <row r="2" spans="1:34" x14ac:dyDescent="0.4">
      <c r="B2" t="s">
        <v>81</v>
      </c>
      <c r="F2" t="s">
        <v>50</v>
      </c>
      <c r="G2" t="s">
        <v>51</v>
      </c>
      <c r="H2" t="s">
        <v>52</v>
      </c>
      <c r="AF2" t="s">
        <v>50</v>
      </c>
      <c r="AG2" t="s">
        <v>51</v>
      </c>
      <c r="AH2" t="s">
        <v>52</v>
      </c>
    </row>
    <row r="3" spans="1:34" x14ac:dyDescent="0.4">
      <c r="C3" t="s">
        <v>2</v>
      </c>
      <c r="J3" t="s">
        <v>11</v>
      </c>
      <c r="K3" t="s">
        <v>18</v>
      </c>
      <c r="L3" t="s">
        <v>35</v>
      </c>
      <c r="N3" t="s">
        <v>15</v>
      </c>
    </row>
    <row r="4" spans="1:34" x14ac:dyDescent="0.4">
      <c r="D4" t="s">
        <v>3</v>
      </c>
    </row>
    <row r="5" spans="1:34" ht="75" x14ac:dyDescent="0.4">
      <c r="E5" t="s">
        <v>4</v>
      </c>
      <c r="F5" s="1" t="s">
        <v>13</v>
      </c>
      <c r="G5" s="1" t="s">
        <v>14</v>
      </c>
      <c r="H5" s="1"/>
      <c r="J5" s="1"/>
      <c r="K5" s="1"/>
      <c r="L5" s="1"/>
    </row>
    <row r="6" spans="1:34" x14ac:dyDescent="0.4">
      <c r="J6" s="14" t="s">
        <v>9</v>
      </c>
      <c r="N6" s="14" t="s">
        <v>58</v>
      </c>
      <c r="T6" s="14" t="s">
        <v>32</v>
      </c>
      <c r="Z6" s="14" t="s">
        <v>46</v>
      </c>
      <c r="AF6" s="14" t="s">
        <v>33</v>
      </c>
    </row>
    <row r="7" spans="1:34" x14ac:dyDescent="0.4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MMULT(AF7:AH8,TRANSPOSE(F27:H31))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T7:X8-MMULT(J7:L8,TRANSPOSE(J27:L31))-N7:R8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4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4">
      <c r="F9" s="15" t="s">
        <v>10</v>
      </c>
      <c r="Z9" s="14" t="s">
        <v>47</v>
      </c>
    </row>
    <row r="10" spans="1:34" x14ac:dyDescent="0.4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TRANSPOSE(J27:L31)-MMULT(F10:H12,TRANSPOSE(F27:H31))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4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4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4">
      <c r="T13" s="14" t="s">
        <v>82</v>
      </c>
    </row>
    <row r="14" spans="1:34" x14ac:dyDescent="0.4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SUM(R27:T31,R34:T38)</f>
        <v>2651877.8847193602</v>
      </c>
    </row>
    <row r="15" spans="1:34" x14ac:dyDescent="0.4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4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42" x14ac:dyDescent="0.4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42" x14ac:dyDescent="0.4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42" x14ac:dyDescent="0.4">
      <c r="D19" t="s">
        <v>48</v>
      </c>
      <c r="I19" s="24" t="s">
        <v>102</v>
      </c>
      <c r="J19" s="2">
        <v>0</v>
      </c>
      <c r="K19" s="2">
        <v>0</v>
      </c>
      <c r="L19" s="2">
        <v>1</v>
      </c>
    </row>
    <row r="20" spans="1:42" x14ac:dyDescent="0.4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42" x14ac:dyDescent="0.4">
      <c r="D21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42" x14ac:dyDescent="0.4">
      <c r="D2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42" x14ac:dyDescent="0.4">
      <c r="X24" s="14" t="s">
        <v>94</v>
      </c>
      <c r="AE24" s="14" t="s">
        <v>95</v>
      </c>
      <c r="AL24" s="14" t="s">
        <v>96</v>
      </c>
    </row>
    <row r="25" spans="1:42" x14ac:dyDescent="0.4">
      <c r="F25" s="14" t="s">
        <v>31</v>
      </c>
      <c r="I25" s="14"/>
      <c r="J25" s="14" t="s">
        <v>34</v>
      </c>
      <c r="N25" s="14" t="s">
        <v>38</v>
      </c>
      <c r="R25" s="14" t="s">
        <v>83</v>
      </c>
      <c r="X25" s="26" t="s">
        <v>70</v>
      </c>
    </row>
    <row r="26" spans="1:42" x14ac:dyDescent="0.4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W26" s="28" t="s">
        <v>71</v>
      </c>
      <c r="X26" s="9">
        <v>1</v>
      </c>
      <c r="Y26" s="9">
        <v>2</v>
      </c>
      <c r="Z26" s="9">
        <v>3</v>
      </c>
      <c r="AA26" s="9">
        <v>4</v>
      </c>
      <c r="AB26" s="9">
        <v>5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</row>
    <row r="27" spans="1:42" x14ac:dyDescent="0.4">
      <c r="A27">
        <v>1</v>
      </c>
      <c r="F27" s="4">
        <v>108.57763</v>
      </c>
      <c r="G27" s="4">
        <v>0</v>
      </c>
      <c r="H27" s="4">
        <v>508022.2</v>
      </c>
      <c r="J27" s="4">
        <v>108.57763</v>
      </c>
      <c r="K27" s="4">
        <v>0</v>
      </c>
      <c r="L27" s="4">
        <v>508022.2</v>
      </c>
      <c r="N27" s="4">
        <v>1.9829939000000001E-2</v>
      </c>
      <c r="O27" s="4">
        <v>0</v>
      </c>
      <c r="P27" s="4">
        <v>2.2711823</v>
      </c>
      <c r="R27">
        <f t="array" ref="R27:T31">MMULT(N27:P31,_xlfn.MUNIT(3)*J14:L14)</f>
        <v>0.19829939000000002</v>
      </c>
      <c r="S27">
        <v>0</v>
      </c>
      <c r="T27">
        <v>11.355911499999999</v>
      </c>
      <c r="W27" s="12">
        <v>1</v>
      </c>
      <c r="X27">
        <f>_xlfn.WEIBULL.DIST(COUNTA($W$27:$W27),J$22,J$21,FALSE)</f>
        <v>0.10707116047792069</v>
      </c>
      <c r="Y27">
        <v>0</v>
      </c>
      <c r="Z27">
        <v>0</v>
      </c>
      <c r="AA27">
        <v>0</v>
      </c>
      <c r="AB27">
        <v>0</v>
      </c>
      <c r="AE27" s="5">
        <f>_xlfn.WEIBULL.DIST(COUNTA($W$27:$W27),K$22,K$21,FALSE)</f>
        <v>0.15144269288692877</v>
      </c>
      <c r="AF27">
        <v>0</v>
      </c>
      <c r="AG27">
        <v>0</v>
      </c>
      <c r="AH27">
        <v>0</v>
      </c>
      <c r="AI27">
        <v>0</v>
      </c>
      <c r="AL27" s="5">
        <f>_xlfn.WEIBULL.DIST(COUNTA($W$27:$W27),L$22,L$21,FALSE)</f>
        <v>1.599488081911263E-3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2</v>
      </c>
      <c r="F28" s="4">
        <v>130.29316</v>
      </c>
      <c r="G28" s="4">
        <v>0</v>
      </c>
      <c r="H28" s="4">
        <v>518182.64</v>
      </c>
      <c r="J28" s="4">
        <v>130.29316</v>
      </c>
      <c r="K28" s="4">
        <v>0</v>
      </c>
      <c r="L28" s="4">
        <v>518182.64</v>
      </c>
      <c r="N28" s="4">
        <v>1.1305077E-2</v>
      </c>
      <c r="O28" s="4">
        <v>0</v>
      </c>
      <c r="P28" s="4">
        <v>0.48419723999999997</v>
      </c>
      <c r="R28">
        <v>0.11305076999999999</v>
      </c>
      <c r="S28">
        <v>0</v>
      </c>
      <c r="T28">
        <v>2.4209861999999998</v>
      </c>
      <c r="W28" s="12">
        <v>2</v>
      </c>
      <c r="X28">
        <f>_xlfn.WEIBULL.DIST(COUNTA($W$27:$W28),J$22,J$21,FALSE)</f>
        <v>0.33047425742484726</v>
      </c>
      <c r="Y28">
        <f>X27</f>
        <v>0.10707116047792069</v>
      </c>
      <c r="Z28">
        <v>0</v>
      </c>
      <c r="AA28">
        <v>0</v>
      </c>
      <c r="AB28">
        <v>0</v>
      </c>
      <c r="AE28" s="11">
        <f>_xlfn.WEIBULL.DIST(COUNTA($W$27:$W28),K$22,K$21,FALSE)</f>
        <v>0.91969860292860572</v>
      </c>
      <c r="AF28">
        <f>AE27</f>
        <v>0.15144269288692877</v>
      </c>
      <c r="AG28">
        <v>0</v>
      </c>
      <c r="AH28">
        <v>0</v>
      </c>
      <c r="AI28">
        <v>0</v>
      </c>
      <c r="AL28" s="11">
        <f>_xlfn.WEIBULL.DIST(COUNTA($W$27:$W28),L$22,L$21,FALSE)</f>
        <v>2.5339193607685703E-2</v>
      </c>
      <c r="AM28">
        <f>AL27</f>
        <v>1.599488081911263E-3</v>
      </c>
      <c r="AN28">
        <v>0</v>
      </c>
      <c r="AO28">
        <v>0</v>
      </c>
      <c r="AP28">
        <v>0</v>
      </c>
    </row>
    <row r="29" spans="1:42" x14ac:dyDescent="0.4">
      <c r="A29">
        <v>3</v>
      </c>
      <c r="F29" s="4">
        <v>156.35178999999999</v>
      </c>
      <c r="G29" s="4">
        <v>0</v>
      </c>
      <c r="H29" s="4">
        <v>528546.30000000005</v>
      </c>
      <c r="J29" s="4">
        <v>156.35178999999999</v>
      </c>
      <c r="K29" s="4">
        <v>0</v>
      </c>
      <c r="L29" s="4">
        <v>528546.30000000005</v>
      </c>
      <c r="N29" s="4">
        <v>1.7112985000000001E-2</v>
      </c>
      <c r="O29" s="4">
        <v>0</v>
      </c>
      <c r="P29" s="4">
        <v>0.71276614999999999</v>
      </c>
      <c r="R29">
        <v>0.17112985</v>
      </c>
      <c r="S29">
        <v>0</v>
      </c>
      <c r="T29">
        <v>3.5638307500000002</v>
      </c>
      <c r="W29" s="12">
        <v>3</v>
      </c>
      <c r="X29">
        <f>_xlfn.WEIBULL.DIST(COUNTA($W$27:$W29),J$22,J$21,FALSE)</f>
        <v>0.36787944117144239</v>
      </c>
      <c r="Y29">
        <f t="shared" ref="Y29:Z31" si="0">X28</f>
        <v>0.33047425742484726</v>
      </c>
      <c r="Z29">
        <f>Y28</f>
        <v>0.10707116047792069</v>
      </c>
      <c r="AA29">
        <v>0</v>
      </c>
      <c r="AB29">
        <v>0</v>
      </c>
      <c r="AE29" s="11">
        <f>_xlfn.WEIBULL.DIST(COUNTA($W$27:$W29),K$22,K$21,FALSE)</f>
        <v>6.3735489107332949E-3</v>
      </c>
      <c r="AF29">
        <f t="shared" ref="AF29:AG31" si="1">AE28</f>
        <v>0.91969860292860572</v>
      </c>
      <c r="AG29">
        <f>AF28</f>
        <v>0.15144269288692877</v>
      </c>
      <c r="AH29">
        <v>0</v>
      </c>
      <c r="AI29">
        <v>0</v>
      </c>
      <c r="AL29" s="11">
        <f>_xlfn.WEIBULL.DIST(COUNTA($W$27:$W29),L$22,L$21,FALSE)</f>
        <v>0.11990416322625341</v>
      </c>
      <c r="AM29">
        <f t="shared" ref="AM29:AN31" si="2">AL28</f>
        <v>2.5339193607685703E-2</v>
      </c>
      <c r="AN29">
        <f>AM28</f>
        <v>1.599488081911263E-3</v>
      </c>
      <c r="AO29">
        <v>0</v>
      </c>
      <c r="AP29">
        <v>0</v>
      </c>
    </row>
    <row r="30" spans="1:42" x14ac:dyDescent="0.4">
      <c r="A30">
        <v>4</v>
      </c>
      <c r="F30" s="4">
        <v>187.83931000000001</v>
      </c>
      <c r="G30" s="4">
        <v>0</v>
      </c>
      <c r="H30" s="4">
        <v>539117.22</v>
      </c>
      <c r="J30" s="4">
        <v>187.83931000000001</v>
      </c>
      <c r="K30" s="4">
        <v>0</v>
      </c>
      <c r="L30" s="4">
        <v>539117.22</v>
      </c>
      <c r="N30" s="4">
        <v>2.0431115999999999E-2</v>
      </c>
      <c r="O30" s="4">
        <v>0</v>
      </c>
      <c r="P30" s="4">
        <v>1.1765669999999999</v>
      </c>
      <c r="R30">
        <v>0.20431115999999999</v>
      </c>
      <c r="S30">
        <v>0</v>
      </c>
      <c r="T30">
        <v>5.882835</v>
      </c>
      <c r="W30" s="12">
        <v>4</v>
      </c>
      <c r="X30">
        <f>_xlfn.WEIBULL.DIST(COUNTA($W$27:$W30),J$22,J$21,FALSE)</f>
        <v>0.1661264181291118</v>
      </c>
      <c r="Y30">
        <f t="shared" si="0"/>
        <v>0.36787944117144239</v>
      </c>
      <c r="Z30">
        <f t="shared" si="0"/>
        <v>0.33047425742484726</v>
      </c>
      <c r="AA30">
        <f>Z29</f>
        <v>0.10707116047792069</v>
      </c>
      <c r="AB30">
        <v>0</v>
      </c>
      <c r="AE30" s="11">
        <f>_xlfn.WEIBULL.DIST(COUNTA($W$27:$W30),K$22,K$21,FALSE)</f>
        <v>5.0656662196376692E-13</v>
      </c>
      <c r="AF30">
        <f t="shared" si="1"/>
        <v>6.3735489107332949E-3</v>
      </c>
      <c r="AG30">
        <f t="shared" si="1"/>
        <v>0.91969860292860572</v>
      </c>
      <c r="AH30">
        <f>AG29</f>
        <v>0.15144269288692877</v>
      </c>
      <c r="AI30">
        <v>0</v>
      </c>
      <c r="AL30" s="11">
        <f>_xlfn.WEIBULL.DIST(COUNTA($W$27:$W30),L$22,L$21,FALSE)</f>
        <v>0.29515512740172928</v>
      </c>
      <c r="AM30">
        <f t="shared" si="2"/>
        <v>0.11990416322625341</v>
      </c>
      <c r="AN30">
        <f t="shared" si="2"/>
        <v>2.5339193607685703E-2</v>
      </c>
      <c r="AO30">
        <f>AN29</f>
        <v>1.599488081911263E-3</v>
      </c>
      <c r="AP30">
        <v>0</v>
      </c>
    </row>
    <row r="31" spans="1:42" x14ac:dyDescent="0.4">
      <c r="A31">
        <v>5</v>
      </c>
      <c r="F31" s="4">
        <v>224.75569999999999</v>
      </c>
      <c r="G31" s="4">
        <v>0</v>
      </c>
      <c r="H31" s="4">
        <v>549899.56999999995</v>
      </c>
      <c r="J31" s="4">
        <v>224.75569999999999</v>
      </c>
      <c r="K31" s="4">
        <v>0</v>
      </c>
      <c r="L31" s="4">
        <v>549899.56999999995</v>
      </c>
      <c r="N31" s="4">
        <v>2.4059423999999999E-2</v>
      </c>
      <c r="O31" s="4">
        <v>0</v>
      </c>
      <c r="P31" s="4">
        <v>1.5255741</v>
      </c>
      <c r="R31">
        <v>0.24059423999999999</v>
      </c>
      <c r="S31">
        <v>0</v>
      </c>
      <c r="T31">
        <v>7.6278705000000002</v>
      </c>
      <c r="W31" s="12">
        <v>5</v>
      </c>
      <c r="X31">
        <f>_xlfn.WEIBULL.DIST(COUNTA($W$27:$W31),J$22,J$21,FALSE)</f>
        <v>2.7106590681160576E-2</v>
      </c>
      <c r="Y31">
        <f t="shared" si="0"/>
        <v>0.1661264181291118</v>
      </c>
      <c r="Z31">
        <f t="shared" si="0"/>
        <v>0.36787944117144239</v>
      </c>
      <c r="AA31">
        <f>Z30</f>
        <v>0.33047425742484726</v>
      </c>
      <c r="AB31">
        <f>AA30</f>
        <v>0.10707116047792069</v>
      </c>
      <c r="AE31" s="11">
        <f>_xlfn.WEIBULL.DIST(COUNTA($W$27:$W31),K$22,K$21,FALSE)</f>
        <v>3.7855548657894578E-41</v>
      </c>
      <c r="AF31">
        <f t="shared" si="1"/>
        <v>5.0656662196376692E-13</v>
      </c>
      <c r="AG31">
        <f t="shared" si="1"/>
        <v>6.3735489107332949E-3</v>
      </c>
      <c r="AH31">
        <f>AG30</f>
        <v>0.91969860292860572</v>
      </c>
      <c r="AI31">
        <f>AH30</f>
        <v>0.15144269288692877</v>
      </c>
      <c r="AL31" s="11">
        <f>_xlfn.WEIBULL.DIST(COUNTA($W$27:$W31),L$22,L$21,FALSE)</f>
        <v>0.36787944117144233</v>
      </c>
      <c r="AM31">
        <f t="shared" si="2"/>
        <v>0.29515512740172928</v>
      </c>
      <c r="AN31">
        <f t="shared" si="2"/>
        <v>0.11990416322625341</v>
      </c>
      <c r="AO31">
        <f>AN30</f>
        <v>2.5339193607685703E-2</v>
      </c>
      <c r="AP31">
        <f>AO30</f>
        <v>1.599488081911263E-3</v>
      </c>
    </row>
    <row r="32" spans="1:42" x14ac:dyDescent="0.4">
      <c r="F32" s="4"/>
      <c r="G32" s="4"/>
      <c r="H32" s="4"/>
      <c r="J32" s="4"/>
      <c r="K32" s="4"/>
      <c r="L32" s="4"/>
      <c r="N32" s="4"/>
      <c r="O32" s="4"/>
      <c r="P32" s="4"/>
    </row>
    <row r="33" spans="1:47" ht="30" customHeight="1" x14ac:dyDescent="0.4">
      <c r="J33" s="30" t="s">
        <v>100</v>
      </c>
      <c r="K33" s="30"/>
      <c r="L33" s="30"/>
      <c r="M33" s="14"/>
      <c r="N33" s="30" t="s">
        <v>92</v>
      </c>
      <c r="O33" s="30"/>
      <c r="P33" s="30"/>
      <c r="Q33" s="14"/>
      <c r="R33" s="14" t="s">
        <v>91</v>
      </c>
      <c r="S33" s="14"/>
      <c r="X33" s="27" t="s">
        <v>97</v>
      </c>
      <c r="AE33" s="27" t="s">
        <v>98</v>
      </c>
      <c r="AL33" s="27" t="s">
        <v>99</v>
      </c>
      <c r="AS33" s="27" t="s">
        <v>79</v>
      </c>
      <c r="AT33" s="9"/>
      <c r="AU33" s="9"/>
    </row>
    <row r="34" spans="1:47" x14ac:dyDescent="0.4">
      <c r="A34">
        <v>1</v>
      </c>
      <c r="J34" s="25">
        <f t="array" ref="J34:L38">N48:P52*J17:L17*8760</f>
        <v>0</v>
      </c>
      <c r="K34" s="25">
        <v>0</v>
      </c>
      <c r="L34" s="25">
        <v>0</v>
      </c>
      <c r="N34">
        <f t="array" ref="N34:N38">MMULT(X27:AB31,N27:N31)</f>
        <v>2.1232145809363784E-3</v>
      </c>
      <c r="O34">
        <f t="array" ref="O34:O38">MMULT(AE27:AI31,O27:O31)</f>
        <v>0</v>
      </c>
      <c r="P34">
        <f t="array" ref="P34:P38">MMULT(AL27:AP31,P27:P31)</f>
        <v>3.6327290206978106E-3</v>
      </c>
      <c r="R34">
        <f t="array" ref="R34:T38">MMULT(J27:L31,_xlfn.MUNIT(3)*J15:L15)</f>
        <v>1085.7763</v>
      </c>
      <c r="S34">
        <v>0</v>
      </c>
      <c r="T34">
        <v>508022.2</v>
      </c>
      <c r="W34">
        <f>J21-J20</f>
        <v>3</v>
      </c>
      <c r="X34" s="11">
        <f>_xlfn.WEIBULL.DIST(COUNTA($W$34:$W34)+$W$34,J$22,J$21,FALSE)</f>
        <v>0.1661264181291118</v>
      </c>
      <c r="AD34">
        <f>K21-K20</f>
        <v>2</v>
      </c>
      <c r="AE34" s="11">
        <f>_xlfn.WEIBULL.DIST(COUNTA($AD$34:$AD34)+$AD$34,K$22,K$21,FALSE)</f>
        <v>6.3735489107332949E-3</v>
      </c>
      <c r="AK34">
        <f>L21-L20</f>
        <v>2</v>
      </c>
      <c r="AL34" s="11">
        <f>_xlfn.WEIBULL.DIST(COUNTA($AK$34:$AK34)+$AK$34,L$22,L$21,FALSE)</f>
        <v>0.11990416322625341</v>
      </c>
      <c r="AS34" cm="1">
        <f t="array" ref="AS34:AS38">X34:X38</f>
        <v>0.1661264181291118</v>
      </c>
      <c r="AT34" cm="1">
        <f t="array" ref="AT34:AT38">AE34:AE38</f>
        <v>6.3735489107332949E-3</v>
      </c>
      <c r="AU34" cm="1">
        <f t="array" ref="AU34:AU38">AL34:AL38</f>
        <v>0.11990416322625341</v>
      </c>
    </row>
    <row r="35" spans="1:47" x14ac:dyDescent="0.4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5.8324395732723237E-2</v>
      </c>
      <c r="R35">
        <v>1302.9315999999999</v>
      </c>
      <c r="S35">
        <v>0</v>
      </c>
      <c r="T35">
        <v>518182.64</v>
      </c>
      <c r="W35">
        <f>W34+1</f>
        <v>4</v>
      </c>
      <c r="X35" s="11">
        <f>_xlfn.WEIBULL.DIST(COUNTA($W$34:$W35)+$W$34,J$22,J$21,FALSE)</f>
        <v>2.7106590681160576E-2</v>
      </c>
      <c r="AD35">
        <f>AD34+1</f>
        <v>3</v>
      </c>
      <c r="AE35" s="11">
        <f>_xlfn.WEIBULL.DIST(COUNTA($AD$34:$AD35)+$AD$34,K$22,K$21,FALSE)</f>
        <v>5.0656662196376692E-13</v>
      </c>
      <c r="AK35">
        <f>AK34+1</f>
        <v>3</v>
      </c>
      <c r="AL35" s="11">
        <f>_xlfn.WEIBULL.DIST(COUNTA($AK$34:$AK35)+$AK$34,L$22,L$21,FALSE)</f>
        <v>0.29515512740172928</v>
      </c>
      <c r="AS35">
        <v>2.7106590681160576E-2</v>
      </c>
      <c r="AT35">
        <v>5.0656662196376692E-13</v>
      </c>
      <c r="AU35">
        <v>0.29515512740172928</v>
      </c>
    </row>
    <row r="36" spans="1:47" x14ac:dyDescent="0.4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0.28573344178655952</v>
      </c>
      <c r="R36">
        <v>1563.5178999999998</v>
      </c>
      <c r="S36">
        <v>0</v>
      </c>
      <c r="T36">
        <v>528546.30000000005</v>
      </c>
      <c r="W36">
        <f t="shared" ref="W36:W38" si="3">W35+1</f>
        <v>5</v>
      </c>
      <c r="X36" s="11">
        <f>_xlfn.WEIBULL.DIST(COUNTA($W$34:$W36)+$W$34,J$22,J$21,FALSE)</f>
        <v>1.3418505116100498E-3</v>
      </c>
      <c r="AD36">
        <f t="shared" ref="AD36:AD38" si="4">AD35+1</f>
        <v>4</v>
      </c>
      <c r="AE36" s="11">
        <f>_xlfn.WEIBULL.DIST(COUNTA($AD$34:$AD36)+$AD$34,K$22,K$21,FALSE)</f>
        <v>3.7855548657894578E-41</v>
      </c>
      <c r="AK36">
        <f t="shared" ref="AK36:AK38" si="5">AK35+1</f>
        <v>4</v>
      </c>
      <c r="AL36" s="11">
        <f>_xlfn.WEIBULL.DIST(COUNTA($AK$34:$AK36)+$AK$34,L$22,L$21,FALSE)</f>
        <v>0.36787944117144233</v>
      </c>
      <c r="AS36">
        <v>1.3418505116100498E-3</v>
      </c>
      <c r="AT36">
        <v>3.7855548657894578E-41</v>
      </c>
      <c r="AU36">
        <v>0.36787944117144233</v>
      </c>
    </row>
    <row r="37" spans="1:47" x14ac:dyDescent="0.4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0.74835119037363873</v>
      </c>
      <c r="R37">
        <v>1878.3931000000002</v>
      </c>
      <c r="S37">
        <v>0</v>
      </c>
      <c r="T37">
        <v>539117.22</v>
      </c>
      <c r="W37">
        <f t="shared" si="3"/>
        <v>6</v>
      </c>
      <c r="X37" s="11">
        <f>_xlfn.WEIBULL.DIST(COUNTA($W$34:$W37)+$W$34,J$22,J$21,FALSE)</f>
        <v>1.6550272633902514E-5</v>
      </c>
      <c r="AD37">
        <f t="shared" si="4"/>
        <v>5</v>
      </c>
      <c r="AE37" s="11">
        <f>_xlfn.WEIBULL.DIST(COUNTA($AD$34:$AD37)+$AD$34,K$22,K$21,FALSE)</f>
        <v>5.9274230554426089E-104</v>
      </c>
      <c r="AK37">
        <f t="shared" si="5"/>
        <v>5</v>
      </c>
      <c r="AL37" s="11">
        <f>_xlfn.WEIBULL.DIST(COUNTA($AK$34:$AK37)+$AK$34,L$22,L$21,FALSE)</f>
        <v>0.17221117858191715</v>
      </c>
      <c r="AS37">
        <v>1.6550272633902514E-5</v>
      </c>
      <c r="AT37">
        <v>5.9274230554426089E-104</v>
      </c>
      <c r="AU37">
        <v>0.17221117858191715</v>
      </c>
    </row>
    <row r="38" spans="1:47" x14ac:dyDescent="0.4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1.0961515987704216</v>
      </c>
      <c r="R38">
        <v>2247.5569999999998</v>
      </c>
      <c r="S38">
        <v>0</v>
      </c>
      <c r="T38">
        <v>549899.56999999995</v>
      </c>
      <c r="W38">
        <f t="shared" si="3"/>
        <v>7</v>
      </c>
      <c r="X38" s="11">
        <f>_xlfn.WEIBULL.DIST(COUNTA($W$34:$W38)+$W$34,J$22,J$21,FALSE)</f>
        <v>4.1345408690430844E-8</v>
      </c>
      <c r="AD38">
        <f t="shared" si="4"/>
        <v>6</v>
      </c>
      <c r="AE38" s="11">
        <f>_xlfn.WEIBULL.DIST(COUNTA($AD$34:$AD38)+$AD$34,K$22,K$21,FALSE)</f>
        <v>2.9826841676640016E-226</v>
      </c>
      <c r="AK38">
        <f t="shared" si="5"/>
        <v>6</v>
      </c>
      <c r="AL38" s="11">
        <f>_xlfn.WEIBULL.DIST(COUNTA($AK$34:$AK38)+$AK$34,L$22,L$21,FALSE)</f>
        <v>1.7732590637651324E-2</v>
      </c>
      <c r="AS38">
        <v>4.1345408690430844E-8</v>
      </c>
      <c r="AT38">
        <v>2.9826841676640016E-226</v>
      </c>
      <c r="AU38">
        <v>1.7732590637651324E-2</v>
      </c>
    </row>
    <row r="40" spans="1:47" ht="30" customHeight="1" x14ac:dyDescent="0.4">
      <c r="J40" s="30" t="s">
        <v>101</v>
      </c>
      <c r="K40" s="30"/>
      <c r="L40" s="30"/>
      <c r="N40" s="30" t="s">
        <v>108</v>
      </c>
      <c r="O40" s="30"/>
      <c r="P40" s="30"/>
    </row>
    <row r="41" spans="1:47" x14ac:dyDescent="0.4">
      <c r="A41">
        <v>1</v>
      </c>
      <c r="J41">
        <f t="array" ref="J41:L45">N48:P52*J18:L18*8760</f>
        <v>108.57763413769814</v>
      </c>
      <c r="K41">
        <v>0</v>
      </c>
      <c r="L41">
        <v>593481.89423281339</v>
      </c>
      <c r="N41">
        <f t="array" ref="N41:P45">J19:L19*AS34:AU38</f>
        <v>0</v>
      </c>
      <c r="O41">
        <v>0</v>
      </c>
      <c r="P41">
        <v>0.11990416322625341</v>
      </c>
    </row>
    <row r="42" spans="1:47" x14ac:dyDescent="0.4">
      <c r="A42">
        <v>2</v>
      </c>
      <c r="J42">
        <v>130.29316119028221</v>
      </c>
      <c r="K42">
        <v>0</v>
      </c>
      <c r="L42">
        <v>719805.9948692231</v>
      </c>
      <c r="N42">
        <v>0</v>
      </c>
      <c r="O42">
        <v>0</v>
      </c>
      <c r="P42">
        <v>0.29515512740172928</v>
      </c>
    </row>
    <row r="43" spans="1:47" x14ac:dyDescent="0.4">
      <c r="A43">
        <v>3</v>
      </c>
      <c r="J43">
        <v>156.35179443646376</v>
      </c>
      <c r="K43">
        <v>0</v>
      </c>
      <c r="L43">
        <v>859074.6034414547</v>
      </c>
      <c r="N43">
        <v>0</v>
      </c>
      <c r="O43">
        <v>0</v>
      </c>
      <c r="P43">
        <v>0.36787944117144233</v>
      </c>
    </row>
    <row r="44" spans="1:47" x14ac:dyDescent="0.4">
      <c r="A44">
        <v>4</v>
      </c>
      <c r="J44">
        <v>187.83930503337032</v>
      </c>
      <c r="K44">
        <v>0</v>
      </c>
      <c r="L44">
        <v>964269.4117755451</v>
      </c>
      <c r="N44">
        <v>0</v>
      </c>
      <c r="O44">
        <v>0</v>
      </c>
      <c r="P44">
        <v>0.17221117858191715</v>
      </c>
    </row>
    <row r="45" spans="1:47" x14ac:dyDescent="0.4">
      <c r="A45">
        <v>5</v>
      </c>
      <c r="J45">
        <v>224.75570072592933</v>
      </c>
      <c r="K45">
        <v>0</v>
      </c>
      <c r="L45">
        <v>1042610.9838706838</v>
      </c>
      <c r="N45">
        <v>0</v>
      </c>
      <c r="O45">
        <v>0</v>
      </c>
      <c r="P45">
        <v>1.7732590637651324E-2</v>
      </c>
    </row>
    <row r="46" spans="1:47" x14ac:dyDescent="0.4">
      <c r="X46" s="14" t="s">
        <v>60</v>
      </c>
    </row>
    <row r="47" spans="1:47" ht="30" customHeight="1" x14ac:dyDescent="0.4">
      <c r="N47" s="30" t="s">
        <v>103</v>
      </c>
      <c r="O47" s="30"/>
      <c r="P47" s="30"/>
      <c r="Q47" s="30"/>
      <c r="R47" s="30"/>
      <c r="S47" s="30"/>
      <c r="X47" s="9">
        <v>1</v>
      </c>
      <c r="Y47" s="9">
        <v>2</v>
      </c>
      <c r="Z47" s="9">
        <v>3</v>
      </c>
      <c r="AA47" s="9">
        <v>4</v>
      </c>
      <c r="AB47" s="9">
        <v>5</v>
      </c>
    </row>
    <row r="48" spans="1:47" x14ac:dyDescent="0.4">
      <c r="A48">
        <v>1</v>
      </c>
      <c r="N48">
        <f t="array" ref="N48:P52">J19:L19-MMULT(X48:AB52,N34:P38)+MMULT(X48:AB52,N27:P31)+MMULT(X48:AB52,N41:P45)</f>
        <v>1.7706724419063624E-2</v>
      </c>
      <c r="O48">
        <v>0</v>
      </c>
      <c r="P48">
        <v>3.3874537342055557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4">
      <c r="A49">
        <v>2</v>
      </c>
      <c r="N49">
        <v>2.1248069339576355E-2</v>
      </c>
      <c r="O49">
        <v>0</v>
      </c>
      <c r="P49">
        <v>4.1084817058745617</v>
      </c>
      <c r="X49" s="2">
        <v>1</v>
      </c>
      <c r="Y49" s="2">
        <v>1</v>
      </c>
      <c r="Z49" s="2">
        <v>0</v>
      </c>
      <c r="AA49" s="2">
        <v>0</v>
      </c>
      <c r="AB49" s="2">
        <v>0</v>
      </c>
    </row>
    <row r="50" spans="1:28" x14ac:dyDescent="0.4">
      <c r="A50">
        <v>3</v>
      </c>
      <c r="N50">
        <v>2.5497683371895591E-2</v>
      </c>
      <c r="O50">
        <v>0</v>
      </c>
      <c r="P50">
        <v>4.9033938552594449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</row>
    <row r="51" spans="1:28" x14ac:dyDescent="0.4">
      <c r="A51">
        <v>4</v>
      </c>
      <c r="N51">
        <v>3.0632632914770114E-2</v>
      </c>
      <c r="O51">
        <v>0</v>
      </c>
      <c r="P51">
        <v>5.5038208434677234</v>
      </c>
      <c r="X51" s="2">
        <v>1</v>
      </c>
      <c r="Y51" s="2">
        <v>1</v>
      </c>
      <c r="Z51" s="2">
        <v>1</v>
      </c>
      <c r="AA51" s="2">
        <v>1</v>
      </c>
      <c r="AB51" s="2">
        <v>0</v>
      </c>
    </row>
    <row r="52" spans="1:28" x14ac:dyDescent="0.4">
      <c r="A52">
        <v>5</v>
      </c>
      <c r="N52">
        <v>3.6652919231234399E-2</v>
      </c>
      <c r="O52">
        <v>0</v>
      </c>
      <c r="P52">
        <v>5.9509759353349532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</row>
  </sheetData>
  <mergeCells count="5">
    <mergeCell ref="N33:P33"/>
    <mergeCell ref="N40:P40"/>
    <mergeCell ref="J40:L40"/>
    <mergeCell ref="J33:L33"/>
    <mergeCell ref="N47:S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26CD-DE21-40CC-88A4-8C9263AC5352}">
  <dimension ref="A1:AW52"/>
  <sheetViews>
    <sheetView zoomScale="115" zoomScaleNormal="115" workbookViewId="0">
      <pane xSplit="5" ySplit="5" topLeftCell="F18" activePane="bottomRight" state="frozen"/>
      <selection pane="topRight" activeCell="F1" sqref="F1"/>
      <selection pane="bottomLeft" activeCell="A6" sqref="A6"/>
      <selection pane="bottomRight" activeCell="U7" sqref="U7:U8"/>
    </sheetView>
  </sheetViews>
  <sheetFormatPr defaultRowHeight="14.6" x14ac:dyDescent="0.4"/>
  <cols>
    <col min="1" max="1" width="5.23046875" bestFit="1" customWidth="1"/>
    <col min="2" max="2" width="6.15234375" bestFit="1" customWidth="1"/>
    <col min="3" max="3" width="6" bestFit="1" customWidth="1"/>
    <col min="4" max="4" width="31.69140625" bestFit="1" customWidth="1"/>
    <col min="5" max="5" width="10.23046875" bestFit="1" customWidth="1"/>
    <col min="6" max="8" width="6.4609375" customWidth="1"/>
    <col min="9" max="9" width="4.69140625" customWidth="1"/>
    <col min="10" max="12" width="6.84375" customWidth="1"/>
    <col min="13" max="13" width="4.69140625" customWidth="1"/>
    <col min="14" max="16" width="7.4609375" customWidth="1"/>
    <col min="17" max="17" width="6.4609375" bestFit="1" customWidth="1"/>
    <col min="18" max="18" width="6.23046875" customWidth="1"/>
    <col min="19" max="19" width="4.84375" customWidth="1"/>
    <col min="20" max="21" width="7.4609375" customWidth="1"/>
    <col min="22" max="23" width="5.69140625" customWidth="1"/>
    <col min="24" max="24" width="6.69140625" customWidth="1"/>
    <col min="25" max="32" width="7.4609375" customWidth="1"/>
    <col min="33" max="34" width="4.84375" customWidth="1"/>
    <col min="35" max="35" width="5.23046875" customWidth="1"/>
    <col min="36" max="38" width="7.15234375" customWidth="1"/>
    <col min="39" max="43" width="5.23046875" customWidth="1"/>
    <col min="46" max="46" width="12.23046875" bestFit="1" customWidth="1"/>
  </cols>
  <sheetData>
    <row r="1" spans="1:34" x14ac:dyDescent="0.4">
      <c r="A1" t="s">
        <v>0</v>
      </c>
      <c r="N1">
        <v>1</v>
      </c>
      <c r="O1">
        <v>2</v>
      </c>
      <c r="P1">
        <v>3</v>
      </c>
      <c r="Q1">
        <v>4</v>
      </c>
      <c r="R1">
        <v>5</v>
      </c>
      <c r="T1">
        <v>1</v>
      </c>
      <c r="U1">
        <v>2</v>
      </c>
      <c r="V1">
        <v>3</v>
      </c>
      <c r="W1">
        <v>4</v>
      </c>
      <c r="X1">
        <v>5</v>
      </c>
    </row>
    <row r="2" spans="1:34" x14ac:dyDescent="0.4">
      <c r="B2" t="s">
        <v>81</v>
      </c>
      <c r="F2" t="s">
        <v>50</v>
      </c>
      <c r="G2" t="s">
        <v>51</v>
      </c>
      <c r="H2" t="s">
        <v>52</v>
      </c>
      <c r="AF2" t="s">
        <v>50</v>
      </c>
      <c r="AG2" t="s">
        <v>51</v>
      </c>
      <c r="AH2" t="s">
        <v>52</v>
      </c>
    </row>
    <row r="3" spans="1:34" x14ac:dyDescent="0.4">
      <c r="C3" t="s">
        <v>2</v>
      </c>
      <c r="J3" t="s">
        <v>11</v>
      </c>
      <c r="K3" t="s">
        <v>18</v>
      </c>
      <c r="L3" t="s">
        <v>35</v>
      </c>
      <c r="N3" t="s">
        <v>15</v>
      </c>
    </row>
    <row r="4" spans="1:34" x14ac:dyDescent="0.4">
      <c r="D4" t="s">
        <v>3</v>
      </c>
    </row>
    <row r="5" spans="1:34" ht="75" x14ac:dyDescent="0.4">
      <c r="E5" t="s">
        <v>4</v>
      </c>
      <c r="F5" s="1" t="s">
        <v>13</v>
      </c>
      <c r="G5" s="1" t="s">
        <v>14</v>
      </c>
      <c r="H5" s="1"/>
      <c r="J5" s="1"/>
      <c r="K5" s="1"/>
      <c r="L5" s="1"/>
    </row>
    <row r="6" spans="1:34" x14ac:dyDescent="0.4">
      <c r="J6" s="14" t="s">
        <v>9</v>
      </c>
      <c r="N6" s="14" t="s">
        <v>58</v>
      </c>
      <c r="T6" s="14" t="s">
        <v>32</v>
      </c>
      <c r="Z6" s="14" t="s">
        <v>46</v>
      </c>
      <c r="AF6" s="14" t="s">
        <v>33</v>
      </c>
    </row>
    <row r="7" spans="1:34" x14ac:dyDescent="0.4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MMULT(AF7:AH8,TRANSPOSE(F27:H31))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T7:X8-MMULT(J7:L8,TRANSPOSE(J27:L31))-N7:R8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4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4">
      <c r="F9" s="14" t="s">
        <v>10</v>
      </c>
      <c r="N9" s="14" t="s">
        <v>104</v>
      </c>
      <c r="Z9" s="14" t="s">
        <v>47</v>
      </c>
    </row>
    <row r="10" spans="1:34" x14ac:dyDescent="0.4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N10" s="2">
        <v>0.05</v>
      </c>
      <c r="T10" s="4"/>
      <c r="U10" s="4"/>
      <c r="V10" s="4"/>
      <c r="W10" s="4"/>
      <c r="X10" s="4"/>
      <c r="Z10" s="5">
        <f t="array" ref="Z10:AD12">TRANSPOSE(J27:L31)-MMULT(F10:H12,TRANSPOSE(F27:H31))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4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4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4">
      <c r="T13" s="14" t="s">
        <v>105</v>
      </c>
    </row>
    <row r="14" spans="1:34" x14ac:dyDescent="0.4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SUM(V27:X31,V34:X38)</f>
        <v>2406279.7255936628</v>
      </c>
    </row>
    <row r="15" spans="1:34" x14ac:dyDescent="0.4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4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49" x14ac:dyDescent="0.4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49" x14ac:dyDescent="0.4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49" x14ac:dyDescent="0.4">
      <c r="D19" t="s">
        <v>48</v>
      </c>
      <c r="E19" t="s">
        <v>49</v>
      </c>
      <c r="I19" s="24" t="s">
        <v>102</v>
      </c>
      <c r="J19" s="2">
        <v>0</v>
      </c>
      <c r="K19" s="2">
        <v>0</v>
      </c>
      <c r="L19" s="2">
        <v>1</v>
      </c>
    </row>
    <row r="20" spans="1:49" x14ac:dyDescent="0.4">
      <c r="D20" t="s">
        <v>66</v>
      </c>
      <c r="E20" t="s">
        <v>62</v>
      </c>
      <c r="I20" s="24" t="s">
        <v>67</v>
      </c>
      <c r="J20" s="2">
        <v>0</v>
      </c>
      <c r="K20" s="2">
        <v>0</v>
      </c>
      <c r="L20" s="2">
        <v>3</v>
      </c>
    </row>
    <row r="21" spans="1:49" x14ac:dyDescent="0.4">
      <c r="D21" t="s">
        <v>65</v>
      </c>
      <c r="E21" t="s">
        <v>62</v>
      </c>
      <c r="I21" s="24" t="s">
        <v>68</v>
      </c>
      <c r="J21" s="2">
        <v>3</v>
      </c>
      <c r="K21" s="2">
        <v>2</v>
      </c>
      <c r="L21" s="2">
        <v>5</v>
      </c>
    </row>
    <row r="22" spans="1:49" x14ac:dyDescent="0.4">
      <c r="D22" t="s">
        <v>63</v>
      </c>
      <c r="E22" t="s">
        <v>64</v>
      </c>
      <c r="I22" s="24" t="s">
        <v>69</v>
      </c>
      <c r="J22" s="2">
        <v>3</v>
      </c>
      <c r="K22" s="2">
        <v>5</v>
      </c>
      <c r="L22" s="2">
        <v>5</v>
      </c>
    </row>
    <row r="24" spans="1:49" x14ac:dyDescent="0.4">
      <c r="AE24" s="14" t="s">
        <v>94</v>
      </c>
      <c r="AL24" s="14" t="s">
        <v>95</v>
      </c>
      <c r="AS24" s="14" t="s">
        <v>96</v>
      </c>
    </row>
    <row r="25" spans="1:49" ht="30" customHeight="1" x14ac:dyDescent="0.4">
      <c r="F25" s="14" t="s">
        <v>31</v>
      </c>
      <c r="I25" s="14"/>
      <c r="J25" s="14" t="s">
        <v>34</v>
      </c>
      <c r="N25" s="14" t="s">
        <v>38</v>
      </c>
      <c r="R25" s="30" t="s">
        <v>83</v>
      </c>
      <c r="S25" s="30"/>
      <c r="T25" s="30"/>
      <c r="V25" s="14" t="s">
        <v>106</v>
      </c>
      <c r="AE25" s="26" t="s">
        <v>70</v>
      </c>
    </row>
    <row r="26" spans="1:49" x14ac:dyDescent="0.4">
      <c r="F26" t="s">
        <v>50</v>
      </c>
      <c r="G26" t="s">
        <v>51</v>
      </c>
      <c r="H26" t="s">
        <v>52</v>
      </c>
      <c r="J26" t="s">
        <v>11</v>
      </c>
      <c r="K26" t="s">
        <v>18</v>
      </c>
      <c r="L26" t="s">
        <v>35</v>
      </c>
      <c r="N26" t="s">
        <v>11</v>
      </c>
      <c r="O26" t="s">
        <v>18</v>
      </c>
      <c r="P26" t="s">
        <v>35</v>
      </c>
      <c r="R26" t="s">
        <v>11</v>
      </c>
      <c r="S26" t="s">
        <v>18</v>
      </c>
      <c r="T26" t="s">
        <v>35</v>
      </c>
      <c r="V26" t="s">
        <v>11</v>
      </c>
      <c r="W26" t="s">
        <v>18</v>
      </c>
      <c r="X26" t="s">
        <v>35</v>
      </c>
      <c r="AD26" s="28" t="s">
        <v>71</v>
      </c>
      <c r="AE26" s="9">
        <v>1</v>
      </c>
      <c r="AF26" s="9">
        <v>2</v>
      </c>
      <c r="AG26" s="9">
        <v>3</v>
      </c>
      <c r="AH26" s="9">
        <v>4</v>
      </c>
      <c r="AI26" s="9">
        <v>5</v>
      </c>
      <c r="AL26" s="9">
        <v>1</v>
      </c>
      <c r="AM26" s="9">
        <v>2</v>
      </c>
      <c r="AN26" s="9">
        <v>3</v>
      </c>
      <c r="AO26" s="9">
        <v>4</v>
      </c>
      <c r="AP26" s="9">
        <v>5</v>
      </c>
      <c r="AS26" s="9">
        <v>1</v>
      </c>
      <c r="AT26" s="9">
        <v>2</v>
      </c>
      <c r="AU26" s="9">
        <v>3</v>
      </c>
      <c r="AV26" s="9">
        <v>4</v>
      </c>
      <c r="AW26" s="9">
        <v>5</v>
      </c>
    </row>
    <row r="27" spans="1:49" x14ac:dyDescent="0.4">
      <c r="A27">
        <v>1</v>
      </c>
      <c r="F27" s="4">
        <v>108.57763</v>
      </c>
      <c r="G27" s="4">
        <v>0</v>
      </c>
      <c r="H27" s="4">
        <v>508022.2</v>
      </c>
      <c r="J27" s="4">
        <v>108.57763</v>
      </c>
      <c r="K27" s="4">
        <v>0</v>
      </c>
      <c r="L27" s="4">
        <v>508022.2</v>
      </c>
      <c r="N27" s="4">
        <v>1.9829939000000001E-2</v>
      </c>
      <c r="O27" s="4">
        <v>0</v>
      </c>
      <c r="P27" s="4">
        <v>1.7826172</v>
      </c>
      <c r="R27" s="29">
        <f t="array" ref="R27:T31">MMULT(N27:P31,_xlfn.MUNIT(3)*J14:L14)</f>
        <v>0.19829939000000002</v>
      </c>
      <c r="S27">
        <v>0</v>
      </c>
      <c r="T27">
        <v>8.9130859999999998</v>
      </c>
      <c r="V27">
        <f t="array" ref="V27:X31">R27:T31/((1+N10)^(A27:A31-1))</f>
        <v>0.19829939000000002</v>
      </c>
      <c r="W27">
        <v>0</v>
      </c>
      <c r="X27">
        <v>8.9130859999999998</v>
      </c>
      <c r="AD27" s="12">
        <v>1</v>
      </c>
      <c r="AE27">
        <f>_xlfn.WEIBULL.DIST(COUNTA($AD$27:$AD27),J$22,J$21,FALSE)</f>
        <v>0.10707116047792069</v>
      </c>
      <c r="AF27">
        <v>0</v>
      </c>
      <c r="AG27">
        <v>0</v>
      </c>
      <c r="AH27">
        <v>0</v>
      </c>
      <c r="AI27">
        <v>0</v>
      </c>
      <c r="AL27" s="5">
        <f>_xlfn.WEIBULL.DIST(COUNTA($AD$27:$AD27),K$22,K$21,FALSE)</f>
        <v>0.15144269288692877</v>
      </c>
      <c r="AM27">
        <v>0</v>
      </c>
      <c r="AN27">
        <v>0</v>
      </c>
      <c r="AO27">
        <v>0</v>
      </c>
      <c r="AP27">
        <v>0</v>
      </c>
      <c r="AS27" s="5">
        <f>_xlfn.WEIBULL.DIST(COUNTA($AD$27:$AD27),L$22,L$21,FALSE)</f>
        <v>1.599488081911263E-3</v>
      </c>
      <c r="AT27">
        <v>0</v>
      </c>
      <c r="AU27">
        <v>0</v>
      </c>
      <c r="AV27">
        <v>0</v>
      </c>
      <c r="AW27">
        <v>0</v>
      </c>
    </row>
    <row r="28" spans="1:49" x14ac:dyDescent="0.4">
      <c r="A28">
        <v>2</v>
      </c>
      <c r="F28" s="4">
        <v>130.29316</v>
      </c>
      <c r="G28" s="4">
        <v>0</v>
      </c>
      <c r="H28" s="4">
        <v>518182.64</v>
      </c>
      <c r="J28" s="4">
        <v>130.29316</v>
      </c>
      <c r="K28" s="4">
        <v>0</v>
      </c>
      <c r="L28" s="4">
        <v>518182.64</v>
      </c>
      <c r="N28" s="4">
        <v>1.1305077E-2</v>
      </c>
      <c r="O28" s="4">
        <v>0</v>
      </c>
      <c r="P28" s="4">
        <v>0</v>
      </c>
      <c r="R28">
        <v>0.11305076999999999</v>
      </c>
      <c r="S28">
        <v>0</v>
      </c>
      <c r="T28">
        <v>0</v>
      </c>
      <c r="V28">
        <v>0.1076674</v>
      </c>
      <c r="W28">
        <v>0</v>
      </c>
      <c r="X28">
        <v>0</v>
      </c>
      <c r="AD28" s="12">
        <v>2</v>
      </c>
      <c r="AE28">
        <f>_xlfn.WEIBULL.DIST(COUNTA($AD$27:$AD28),J$22,J$21,FALSE)</f>
        <v>0.33047425742484726</v>
      </c>
      <c r="AF28">
        <f>AE27</f>
        <v>0.10707116047792069</v>
      </c>
      <c r="AG28">
        <v>0</v>
      </c>
      <c r="AH28">
        <v>0</v>
      </c>
      <c r="AI28">
        <v>0</v>
      </c>
      <c r="AL28" s="11">
        <f>_xlfn.WEIBULL.DIST(COUNTA($AD$27:$AD28),K$22,K$21,FALSE)</f>
        <v>0.91969860292860572</v>
      </c>
      <c r="AM28">
        <f>AL27</f>
        <v>0.15144269288692877</v>
      </c>
      <c r="AN28">
        <v>0</v>
      </c>
      <c r="AO28">
        <v>0</v>
      </c>
      <c r="AP28">
        <v>0</v>
      </c>
      <c r="AS28" s="11">
        <f>_xlfn.WEIBULL.DIST(COUNTA($AD$27:$AD28),L$22,L$21,FALSE)</f>
        <v>2.5339193607685703E-2</v>
      </c>
      <c r="AT28">
        <f>AS27</f>
        <v>1.599488081911263E-3</v>
      </c>
      <c r="AU28">
        <v>0</v>
      </c>
      <c r="AV28">
        <v>0</v>
      </c>
      <c r="AW28">
        <v>0</v>
      </c>
    </row>
    <row r="29" spans="1:49" x14ac:dyDescent="0.4">
      <c r="A29">
        <v>3</v>
      </c>
      <c r="F29" s="4">
        <v>156.35178999999999</v>
      </c>
      <c r="G29" s="4">
        <v>0</v>
      </c>
      <c r="H29" s="4">
        <v>528546.30000000005</v>
      </c>
      <c r="J29" s="4">
        <v>156.35178999999999</v>
      </c>
      <c r="K29" s="4">
        <v>0</v>
      </c>
      <c r="L29" s="4">
        <v>528546.30000000005</v>
      </c>
      <c r="N29" s="4">
        <v>1.7112985000000001E-2</v>
      </c>
      <c r="O29" s="4">
        <v>0</v>
      </c>
      <c r="P29" s="4">
        <v>0</v>
      </c>
      <c r="R29">
        <v>0.17112985</v>
      </c>
      <c r="S29">
        <v>0</v>
      </c>
      <c r="T29">
        <v>0</v>
      </c>
      <c r="V29">
        <v>0.1552198185941043</v>
      </c>
      <c r="W29">
        <v>0</v>
      </c>
      <c r="X29">
        <v>0</v>
      </c>
      <c r="AD29" s="12">
        <v>3</v>
      </c>
      <c r="AE29">
        <f>_xlfn.WEIBULL.DIST(COUNTA($AD$27:$AD29),J$22,J$21,FALSE)</f>
        <v>0.36787944117144239</v>
      </c>
      <c r="AF29">
        <f t="shared" ref="AF29:AG31" si="0">AE28</f>
        <v>0.33047425742484726</v>
      </c>
      <c r="AG29">
        <f>AF28</f>
        <v>0.10707116047792069</v>
      </c>
      <c r="AH29">
        <v>0</v>
      </c>
      <c r="AI29">
        <v>0</v>
      </c>
      <c r="AL29" s="11">
        <f>_xlfn.WEIBULL.DIST(COUNTA($AD$27:$AD29),K$22,K$21,FALSE)</f>
        <v>6.3735489107332949E-3</v>
      </c>
      <c r="AM29">
        <f t="shared" ref="AM29:AN31" si="1">AL28</f>
        <v>0.91969860292860572</v>
      </c>
      <c r="AN29">
        <f>AM28</f>
        <v>0.15144269288692877</v>
      </c>
      <c r="AO29">
        <v>0</v>
      </c>
      <c r="AP29">
        <v>0</v>
      </c>
      <c r="AS29" s="11">
        <f>_xlfn.WEIBULL.DIST(COUNTA($AD$27:$AD29),L$22,L$21,FALSE)</f>
        <v>0.11990416322625341</v>
      </c>
      <c r="AT29">
        <f t="shared" ref="AT29:AU31" si="2">AS28</f>
        <v>2.5339193607685703E-2</v>
      </c>
      <c r="AU29">
        <f>AT28</f>
        <v>1.599488081911263E-3</v>
      </c>
      <c r="AV29">
        <v>0</v>
      </c>
      <c r="AW29">
        <v>0</v>
      </c>
    </row>
    <row r="30" spans="1:49" x14ac:dyDescent="0.4">
      <c r="A30">
        <v>4</v>
      </c>
      <c r="F30" s="4">
        <v>187.83931000000001</v>
      </c>
      <c r="G30" s="4">
        <v>0</v>
      </c>
      <c r="H30" s="4">
        <v>539117.22</v>
      </c>
      <c r="J30" s="4">
        <v>187.83931000000001</v>
      </c>
      <c r="K30" s="4">
        <v>0</v>
      </c>
      <c r="L30" s="4">
        <v>539117.22</v>
      </c>
      <c r="N30" s="4">
        <v>2.0431115999999999E-2</v>
      </c>
      <c r="O30" s="4">
        <v>0</v>
      </c>
      <c r="P30" s="4">
        <v>0.12750311</v>
      </c>
      <c r="R30">
        <v>0.20431115999999999</v>
      </c>
      <c r="S30">
        <v>0</v>
      </c>
      <c r="T30">
        <v>0.63751555000000004</v>
      </c>
      <c r="V30">
        <v>0.17649166180758014</v>
      </c>
      <c r="W30">
        <v>0</v>
      </c>
      <c r="X30">
        <v>0.55070990173847312</v>
      </c>
      <c r="AD30" s="12">
        <v>4</v>
      </c>
      <c r="AE30">
        <f>_xlfn.WEIBULL.DIST(COUNTA($AD$27:$AD30),J$22,J$21,FALSE)</f>
        <v>0.1661264181291118</v>
      </c>
      <c r="AF30">
        <f t="shared" si="0"/>
        <v>0.36787944117144239</v>
      </c>
      <c r="AG30">
        <f t="shared" si="0"/>
        <v>0.33047425742484726</v>
      </c>
      <c r="AH30">
        <f>AG29</f>
        <v>0.10707116047792069</v>
      </c>
      <c r="AI30">
        <v>0</v>
      </c>
      <c r="AL30" s="11">
        <f>_xlfn.WEIBULL.DIST(COUNTA($AD$27:$AD30),K$22,K$21,FALSE)</f>
        <v>5.0656662196376692E-13</v>
      </c>
      <c r="AM30">
        <f t="shared" si="1"/>
        <v>6.3735489107332949E-3</v>
      </c>
      <c r="AN30">
        <f t="shared" si="1"/>
        <v>0.91969860292860572</v>
      </c>
      <c r="AO30">
        <f>AN29</f>
        <v>0.15144269288692877</v>
      </c>
      <c r="AP30">
        <v>0</v>
      </c>
      <c r="AS30" s="11">
        <f>_xlfn.WEIBULL.DIST(COUNTA($AD$27:$AD30),L$22,L$21,FALSE)</f>
        <v>0.29515512740172928</v>
      </c>
      <c r="AT30">
        <f t="shared" si="2"/>
        <v>0.11990416322625341</v>
      </c>
      <c r="AU30">
        <f t="shared" si="2"/>
        <v>2.5339193607685703E-2</v>
      </c>
      <c r="AV30">
        <f>AU29</f>
        <v>1.599488081911263E-3</v>
      </c>
      <c r="AW30">
        <v>0</v>
      </c>
    </row>
    <row r="31" spans="1:49" x14ac:dyDescent="0.4">
      <c r="A31">
        <v>5</v>
      </c>
      <c r="F31" s="4">
        <v>224.75569999999999</v>
      </c>
      <c r="G31" s="4">
        <v>0</v>
      </c>
      <c r="H31" s="4">
        <v>549899.56999999995</v>
      </c>
      <c r="J31" s="4">
        <v>224.75569999999999</v>
      </c>
      <c r="K31" s="4">
        <v>0</v>
      </c>
      <c r="L31" s="4">
        <v>549899.56999999995</v>
      </c>
      <c r="N31" s="4">
        <v>2.4059423999999999E-2</v>
      </c>
      <c r="O31" s="4">
        <v>0</v>
      </c>
      <c r="P31" s="4">
        <v>0.70395549000000002</v>
      </c>
      <c r="R31">
        <v>0.24059423999999999</v>
      </c>
      <c r="S31">
        <v>0</v>
      </c>
      <c r="T31">
        <v>3.5197774500000003</v>
      </c>
      <c r="V31">
        <v>0.19793747666867198</v>
      </c>
      <c r="W31">
        <v>0</v>
      </c>
      <c r="X31">
        <v>2.8957296188316599</v>
      </c>
      <c r="AD31" s="12">
        <v>5</v>
      </c>
      <c r="AE31">
        <f>_xlfn.WEIBULL.DIST(COUNTA($AD$27:$AD31),J$22,J$21,FALSE)</f>
        <v>2.7106590681160576E-2</v>
      </c>
      <c r="AF31">
        <f t="shared" si="0"/>
        <v>0.1661264181291118</v>
      </c>
      <c r="AG31">
        <f t="shared" si="0"/>
        <v>0.36787944117144239</v>
      </c>
      <c r="AH31">
        <f>AG30</f>
        <v>0.33047425742484726</v>
      </c>
      <c r="AI31">
        <f>AH30</f>
        <v>0.10707116047792069</v>
      </c>
      <c r="AL31" s="11">
        <f>_xlfn.WEIBULL.DIST(COUNTA($AD$27:$AD31),K$22,K$21,FALSE)</f>
        <v>3.7855548657894578E-41</v>
      </c>
      <c r="AM31">
        <f t="shared" si="1"/>
        <v>5.0656662196376692E-13</v>
      </c>
      <c r="AN31">
        <f t="shared" si="1"/>
        <v>6.3735489107332949E-3</v>
      </c>
      <c r="AO31">
        <f>AN30</f>
        <v>0.91969860292860572</v>
      </c>
      <c r="AP31">
        <f>AO30</f>
        <v>0.15144269288692877</v>
      </c>
      <c r="AS31" s="11">
        <f>_xlfn.WEIBULL.DIST(COUNTA($AD$27:$AD31),L$22,L$21,FALSE)</f>
        <v>0.36787944117144233</v>
      </c>
      <c r="AT31">
        <f t="shared" si="2"/>
        <v>0.29515512740172928</v>
      </c>
      <c r="AU31">
        <f t="shared" si="2"/>
        <v>0.11990416322625341</v>
      </c>
      <c r="AV31">
        <f>AU30</f>
        <v>2.5339193607685703E-2</v>
      </c>
      <c r="AW31">
        <f>AV30</f>
        <v>1.599488081911263E-3</v>
      </c>
    </row>
    <row r="32" spans="1:49" x14ac:dyDescent="0.4">
      <c r="F32" s="4"/>
      <c r="G32" s="4"/>
      <c r="H32" s="4"/>
      <c r="J32" s="4"/>
      <c r="K32" s="4"/>
      <c r="L32" s="4"/>
      <c r="N32" s="4"/>
      <c r="O32" s="4"/>
      <c r="P32" s="4"/>
    </row>
    <row r="33" spans="1:45" ht="30" customHeight="1" x14ac:dyDescent="0.4">
      <c r="J33" s="30" t="s">
        <v>100</v>
      </c>
      <c r="K33" s="30"/>
      <c r="L33" s="30"/>
      <c r="M33" s="14"/>
      <c r="N33" s="30" t="s">
        <v>92</v>
      </c>
      <c r="O33" s="30"/>
      <c r="P33" s="30"/>
      <c r="Q33" s="14"/>
      <c r="R33" s="14" t="s">
        <v>91</v>
      </c>
      <c r="S33" s="14"/>
      <c r="V33" s="14" t="s">
        <v>107</v>
      </c>
      <c r="AE33" s="27" t="s">
        <v>97</v>
      </c>
      <c r="AL33" s="27" t="s">
        <v>98</v>
      </c>
      <c r="AS33" s="27" t="s">
        <v>99</v>
      </c>
    </row>
    <row r="34" spans="1:45" x14ac:dyDescent="0.4">
      <c r="A34">
        <v>1</v>
      </c>
      <c r="J34" s="25">
        <f t="array" ref="J34:L38">N48:P52*J17:L17*8760</f>
        <v>0</v>
      </c>
      <c r="K34" s="25">
        <v>0</v>
      </c>
      <c r="L34" s="25">
        <v>0</v>
      </c>
      <c r="N34">
        <f t="array" ref="N34:N38">MMULT(AE27:AI31,N27:N31)</f>
        <v>2.1232145809363784E-3</v>
      </c>
      <c r="O34">
        <f t="array" ref="O34:O38">MMULT(AL27:AP31,O27:O31)</f>
        <v>0</v>
      </c>
      <c r="P34">
        <f t="array" ref="P34:P38">MMULT(AS27:AW31,P27:P31)</f>
        <v>2.8512749660100263E-3</v>
      </c>
      <c r="R34">
        <f t="array" ref="R34:T38">MMULT(J27:L31,_xlfn.MUNIT(3)*J15:L15)</f>
        <v>1085.7763</v>
      </c>
      <c r="S34">
        <v>0</v>
      </c>
      <c r="T34">
        <v>508022.2</v>
      </c>
      <c r="V34">
        <f t="array" ref="V34:X38">R34:T38/((1+N10)^(A34:A38-1))</f>
        <v>1085.7763</v>
      </c>
      <c r="W34">
        <v>0</v>
      </c>
      <c r="X34">
        <v>508022.2</v>
      </c>
      <c r="AD34">
        <f>J21-J20</f>
        <v>3</v>
      </c>
      <c r="AE34" s="11">
        <f>_xlfn.WEIBULL.DIST(COUNTA($AD$34:$AD34)+$AD$34,J$22,J$21,FALSE)</f>
        <v>0.1661264181291118</v>
      </c>
      <c r="AK34">
        <f>K21-K20</f>
        <v>2</v>
      </c>
      <c r="AL34" s="11">
        <f>_xlfn.WEIBULL.DIST(COUNTA($AK$34:$AK34)+$AK$34,K$22,K$21,FALSE)</f>
        <v>6.3735489107332949E-3</v>
      </c>
      <c r="AR34">
        <f>L21-L20</f>
        <v>2</v>
      </c>
      <c r="AS34" s="11">
        <f>_xlfn.WEIBULL.DIST(COUNTA($AR$34:$AR34)+$AR$34,L$22,L$21,FALSE)</f>
        <v>0.11990416322625341</v>
      </c>
    </row>
    <row r="35" spans="1:45" x14ac:dyDescent="0.4">
      <c r="A35">
        <v>2</v>
      </c>
      <c r="J35" s="25">
        <v>0</v>
      </c>
      <c r="K35" s="25">
        <v>0</v>
      </c>
      <c r="L35" s="25">
        <v>0</v>
      </c>
      <c r="N35">
        <v>7.7637320794872689E-3</v>
      </c>
      <c r="O35">
        <v>0</v>
      </c>
      <c r="P35">
        <v>4.5170082359190587E-2</v>
      </c>
      <c r="R35">
        <v>1302.9315999999999</v>
      </c>
      <c r="S35">
        <v>0</v>
      </c>
      <c r="T35">
        <v>518182.64</v>
      </c>
      <c r="V35">
        <v>1240.887238095238</v>
      </c>
      <c r="W35">
        <v>0</v>
      </c>
      <c r="X35">
        <v>493507.2761904762</v>
      </c>
      <c r="AD35">
        <f>AD34+1</f>
        <v>4</v>
      </c>
      <c r="AE35" s="11">
        <f>_xlfn.WEIBULL.DIST(COUNTA($AD$34:$AD35)+$AD$34,J$22,J$21,FALSE)</f>
        <v>2.7106590681160576E-2</v>
      </c>
      <c r="AK35">
        <f>AK34+1</f>
        <v>3</v>
      </c>
      <c r="AL35" s="11">
        <f>_xlfn.WEIBULL.DIST(COUNTA($AK$34:$AK35)+$AK$34,K$22,K$21,FALSE)</f>
        <v>5.0656662196376692E-13</v>
      </c>
      <c r="AR35">
        <f>AR34+1</f>
        <v>3</v>
      </c>
      <c r="AS35" s="11">
        <f>_xlfn.WEIBULL.DIST(COUNTA($AR$34:$AR35)+$AR$34,L$22,L$21,FALSE)</f>
        <v>0.29515512740172928</v>
      </c>
    </row>
    <row r="36" spans="1:45" x14ac:dyDescent="0.4">
      <c r="A36">
        <v>3</v>
      </c>
      <c r="J36" s="25">
        <v>0</v>
      </c>
      <c r="K36" s="25">
        <v>0</v>
      </c>
      <c r="L36" s="25">
        <v>0</v>
      </c>
      <c r="N36">
        <v>1.2863370967680761E-2</v>
      </c>
      <c r="O36">
        <v>0</v>
      </c>
      <c r="P36">
        <v>0.21374322371872684</v>
      </c>
      <c r="R36">
        <v>1563.5178999999998</v>
      </c>
      <c r="S36">
        <v>0</v>
      </c>
      <c r="T36">
        <v>528546.30000000005</v>
      </c>
      <c r="V36">
        <v>1418.1568253968253</v>
      </c>
      <c r="W36">
        <v>0</v>
      </c>
      <c r="X36">
        <v>479407.07482993201</v>
      </c>
      <c r="AD36">
        <f t="shared" ref="AD36:AD38" si="3">AD35+1</f>
        <v>5</v>
      </c>
      <c r="AE36" s="11">
        <f>_xlfn.WEIBULL.DIST(COUNTA($AD$34:$AD36)+$AD$34,J$22,J$21,FALSE)</f>
        <v>1.3418505116100498E-3</v>
      </c>
      <c r="AK36">
        <f t="shared" ref="AK36:AK38" si="4">AK35+1</f>
        <v>4</v>
      </c>
      <c r="AL36" s="11">
        <f>_xlfn.WEIBULL.DIST(COUNTA($AK$34:$AK36)+$AK$34,K$22,K$21,FALSE)</f>
        <v>3.7855548657894578E-41</v>
      </c>
      <c r="AR36">
        <f t="shared" ref="AR36:AR38" si="5">AR35+1</f>
        <v>4</v>
      </c>
      <c r="AS36" s="11">
        <f>_xlfn.WEIBULL.DIST(COUNTA($AR$34:$AR36)+$AR$34,L$22,L$21,FALSE)</f>
        <v>0.36787944117144233</v>
      </c>
    </row>
    <row r="37" spans="1:45" x14ac:dyDescent="0.4">
      <c r="A37">
        <v>4</v>
      </c>
      <c r="J37" s="25">
        <v>0</v>
      </c>
      <c r="K37" s="25">
        <v>0</v>
      </c>
      <c r="L37" s="25">
        <v>0</v>
      </c>
      <c r="N37">
        <v>1.5296166457125473E-2</v>
      </c>
      <c r="O37">
        <v>0</v>
      </c>
      <c r="P37">
        <v>0.52635254647936558</v>
      </c>
      <c r="R37">
        <v>1878.3931000000002</v>
      </c>
      <c r="S37">
        <v>0</v>
      </c>
      <c r="T37">
        <v>539117.22</v>
      </c>
      <c r="V37">
        <v>1622.6265846020949</v>
      </c>
      <c r="W37">
        <v>0</v>
      </c>
      <c r="X37">
        <v>465709.72465176537</v>
      </c>
      <c r="AD37">
        <f t="shared" si="3"/>
        <v>6</v>
      </c>
      <c r="AE37" s="11">
        <f>_xlfn.WEIBULL.DIST(COUNTA($AD$34:$AD37)+$AD$34,J$22,J$21,FALSE)</f>
        <v>1.6550272633902514E-5</v>
      </c>
      <c r="AK37">
        <f t="shared" si="4"/>
        <v>5</v>
      </c>
      <c r="AL37" s="11">
        <f>_xlfn.WEIBULL.DIST(COUNTA($AK$34:$AK37)+$AK$34,K$22,K$21,FALSE)</f>
        <v>5.9274230554426089E-104</v>
      </c>
      <c r="AR37">
        <f t="shared" si="5"/>
        <v>5</v>
      </c>
      <c r="AS37" s="11">
        <f>_xlfn.WEIBULL.DIST(COUNTA($AR$34:$AR37)+$AR$34,L$22,L$21,FALSE)</f>
        <v>0.17221117858191715</v>
      </c>
    </row>
    <row r="38" spans="1:45" x14ac:dyDescent="0.4">
      <c r="A38">
        <v>5</v>
      </c>
      <c r="J38" s="25">
        <v>0</v>
      </c>
      <c r="K38" s="25">
        <v>0</v>
      </c>
      <c r="L38" s="25">
        <v>0</v>
      </c>
      <c r="N38">
        <v>1.8039137683535714E-2</v>
      </c>
      <c r="O38">
        <v>0</v>
      </c>
      <c r="P38">
        <v>0.66014501376492418</v>
      </c>
      <c r="R38">
        <v>2247.5569999999998</v>
      </c>
      <c r="S38">
        <v>0</v>
      </c>
      <c r="T38">
        <v>549899.56999999995</v>
      </c>
      <c r="V38">
        <v>1849.0707061358178</v>
      </c>
      <c r="W38">
        <v>0</v>
      </c>
      <c r="X38">
        <v>452403.73712599167</v>
      </c>
      <c r="AD38">
        <f t="shared" si="3"/>
        <v>7</v>
      </c>
      <c r="AE38" s="11">
        <f>_xlfn.WEIBULL.DIST(COUNTA($AD$34:$AD38)+$AD$34,J$22,J$21,FALSE)</f>
        <v>4.1345408690430844E-8</v>
      </c>
      <c r="AK38">
        <f t="shared" si="4"/>
        <v>6</v>
      </c>
      <c r="AL38" s="11">
        <f>_xlfn.WEIBULL.DIST(COUNTA($AK$34:$AK38)+$AK$34,K$22,K$21,FALSE)</f>
        <v>2.9826841676640016E-226</v>
      </c>
      <c r="AR38">
        <f t="shared" si="5"/>
        <v>6</v>
      </c>
      <c r="AS38" s="11">
        <f>_xlfn.WEIBULL.DIST(COUNTA($AR$34:$AR38)+$AR$34,L$22,L$21,FALSE)</f>
        <v>1.7732590637651324E-2</v>
      </c>
    </row>
    <row r="40" spans="1:45" ht="30" customHeight="1" x14ac:dyDescent="0.4">
      <c r="J40" s="30" t="s">
        <v>101</v>
      </c>
      <c r="K40" s="30"/>
      <c r="L40" s="30"/>
      <c r="N40" s="30" t="s">
        <v>93</v>
      </c>
      <c r="O40" s="30"/>
      <c r="P40" s="30"/>
    </row>
    <row r="41" spans="1:45" x14ac:dyDescent="0.4">
      <c r="A41">
        <v>1</v>
      </c>
      <c r="J41">
        <f t="array" ref="J41:L45">N48:P52*J18:L18*8760</f>
        <v>108.57763413769814</v>
      </c>
      <c r="K41">
        <v>0</v>
      </c>
      <c r="L41">
        <v>508022.1994631947</v>
      </c>
      <c r="N41">
        <f t="array" ref="N41:N45">J19*AE34:AE38</f>
        <v>0</v>
      </c>
      <c r="O41">
        <f t="array" ref="O41:O45">K19*AL34:AL38</f>
        <v>0</v>
      </c>
      <c r="P41">
        <f t="array" ref="P41:P45">L19*AS34:AS38</f>
        <v>0.11990416322625341</v>
      </c>
    </row>
    <row r="42" spans="1:45" x14ac:dyDescent="0.4">
      <c r="A42">
        <v>2</v>
      </c>
      <c r="J42">
        <v>130.29316119028221</v>
      </c>
      <c r="K42">
        <v>0</v>
      </c>
      <c r="L42">
        <v>551819.57935464743</v>
      </c>
      <c r="N42">
        <v>0</v>
      </c>
      <c r="O42">
        <v>0</v>
      </c>
      <c r="P42">
        <v>0.29515512740172928</v>
      </c>
    </row>
    <row r="43" spans="1:45" x14ac:dyDescent="0.4">
      <c r="A43">
        <v>3</v>
      </c>
      <c r="J43">
        <v>156.35179443646376</v>
      </c>
      <c r="K43">
        <v>0</v>
      </c>
      <c r="L43">
        <v>578824.24465236312</v>
      </c>
      <c r="N43">
        <v>0</v>
      </c>
      <c r="O43">
        <v>0</v>
      </c>
      <c r="P43">
        <v>0.36787944117144233</v>
      </c>
    </row>
    <row r="44" spans="1:45" x14ac:dyDescent="0.4">
      <c r="A44">
        <v>4</v>
      </c>
      <c r="J44">
        <v>187.83930503337032</v>
      </c>
      <c r="K44">
        <v>0</v>
      </c>
      <c r="L44">
        <v>539117.22186873027</v>
      </c>
      <c r="N44">
        <v>0</v>
      </c>
      <c r="O44">
        <v>0</v>
      </c>
      <c r="P44">
        <v>0.17221117858191715</v>
      </c>
    </row>
    <row r="45" spans="1:45" x14ac:dyDescent="0.4">
      <c r="A45">
        <v>5</v>
      </c>
      <c r="J45">
        <v>224.75570072592933</v>
      </c>
      <c r="K45">
        <v>0</v>
      </c>
      <c r="L45">
        <v>549899.56718483206</v>
      </c>
      <c r="N45">
        <v>0</v>
      </c>
      <c r="O45">
        <v>0</v>
      </c>
      <c r="P45">
        <v>1.7732590637651324E-2</v>
      </c>
    </row>
    <row r="46" spans="1:45" x14ac:dyDescent="0.4">
      <c r="AE46" s="14" t="s">
        <v>60</v>
      </c>
    </row>
    <row r="47" spans="1:45" ht="30" customHeight="1" x14ac:dyDescent="0.4">
      <c r="N47" s="30" t="s">
        <v>103</v>
      </c>
      <c r="O47" s="30"/>
      <c r="P47" s="30"/>
      <c r="Q47" s="30"/>
      <c r="R47" s="30"/>
      <c r="S47" s="30"/>
      <c r="AE47" s="9">
        <v>1</v>
      </c>
      <c r="AF47" s="9">
        <v>2</v>
      </c>
      <c r="AG47" s="9">
        <v>3</v>
      </c>
      <c r="AH47" s="9">
        <v>4</v>
      </c>
      <c r="AI47" s="9">
        <v>5</v>
      </c>
    </row>
    <row r="48" spans="1:45" x14ac:dyDescent="0.4">
      <c r="A48">
        <v>1</v>
      </c>
      <c r="N48">
        <f t="array" ref="N48:P52">J19:L19-MMULT(AE48:AI52,N34:P38)+MMULT(AE48:AI52,N27:P31)+MMULT(AE48:AI52,N41:P45)</f>
        <v>1.7706724419063624E-2</v>
      </c>
      <c r="O48">
        <v>0</v>
      </c>
      <c r="P48">
        <v>2.8996700882602435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</row>
    <row r="49" spans="1:35" x14ac:dyDescent="0.4">
      <c r="A49">
        <v>2</v>
      </c>
      <c r="N49">
        <v>2.1248069339576355E-2</v>
      </c>
      <c r="O49">
        <v>0</v>
      </c>
      <c r="P49">
        <v>3.1496551333027822</v>
      </c>
      <c r="AE49" s="2">
        <v>1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4">
      <c r="A50">
        <v>3</v>
      </c>
      <c r="N50">
        <v>2.5497683371895591E-2</v>
      </c>
      <c r="O50">
        <v>0</v>
      </c>
      <c r="P50">
        <v>3.3037913507554979</v>
      </c>
      <c r="AE50" s="2">
        <v>1</v>
      </c>
      <c r="AF50" s="2">
        <v>1</v>
      </c>
      <c r="AG50" s="2">
        <v>1</v>
      </c>
      <c r="AH50" s="2">
        <v>0</v>
      </c>
      <c r="AI50" s="2">
        <v>0</v>
      </c>
    </row>
    <row r="51" spans="1:35" x14ac:dyDescent="0.4">
      <c r="A51">
        <v>4</v>
      </c>
      <c r="N51">
        <v>3.0632632914770114E-2</v>
      </c>
      <c r="O51">
        <v>0</v>
      </c>
      <c r="P51">
        <v>3.0771530928580493</v>
      </c>
      <c r="AE51" s="2">
        <v>1</v>
      </c>
      <c r="AF51" s="2">
        <v>1</v>
      </c>
      <c r="AG51" s="2">
        <v>1</v>
      </c>
      <c r="AH51" s="2">
        <v>1</v>
      </c>
      <c r="AI51" s="2">
        <v>0</v>
      </c>
    </row>
    <row r="52" spans="1:35" x14ac:dyDescent="0.4">
      <c r="A52">
        <v>5</v>
      </c>
      <c r="N52">
        <v>3.6652919231234399E-2</v>
      </c>
      <c r="O52">
        <v>0</v>
      </c>
      <c r="P52">
        <v>3.1386961597307765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</row>
  </sheetData>
  <mergeCells count="6">
    <mergeCell ref="N47:S47"/>
    <mergeCell ref="R25:T25"/>
    <mergeCell ref="J33:L33"/>
    <mergeCell ref="N33:P33"/>
    <mergeCell ref="J40:L40"/>
    <mergeCell ref="N40: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disposal</vt:lpstr>
      <vt:lpstr>disposal_mat</vt:lpstr>
      <vt:lpstr>disposal</vt:lpstr>
      <vt:lpstr>discounting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2024-04-05T11:06:07Z</dcterms:modified>
</cp:coreProperties>
</file>