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ioc\Documents\GitHub\pyesm\default\prove_vale\"/>
    </mc:Choice>
  </mc:AlternateContent>
  <xr:revisionPtr revIDLastSave="0" documentId="13_ncr:1_{45C5BD54-413E-4234-B706-DA39B89A79FF}" xr6:coauthVersionLast="47" xr6:coauthVersionMax="47" xr10:uidLastSave="{00000000-0000-0000-0000-000000000000}"/>
  <bookViews>
    <workbookView xWindow="28680" yWindow="-2655" windowWidth="29040" windowHeight="15840" firstSheet="1" activeTab="1" xr2:uid="{73D1BB93-2A40-4C42-A2A1-530AD39D3EEC}"/>
  </bookViews>
  <sheets>
    <sheet name="4. Infra-year timeslices" sheetId="1" r:id="rId1"/>
    <sheet name="4. Infra-year timeslices_vale" sheetId="2" r:id="rId2"/>
  </sheets>
  <definedNames>
    <definedName name="OpenSolver_ChosenSolver" localSheetId="0" hidden="1">CBC</definedName>
    <definedName name="OpenSolver_ChosenSolver" localSheetId="1" hidden="1">CBC</definedName>
    <definedName name="OpenSolver_DualsNewSheet" localSheetId="0" hidden="1">0</definedName>
    <definedName name="OpenSolver_DualsNewSheet" localSheetId="1" hidden="1">0</definedName>
    <definedName name="OpenSolver_LinearityCheck" localSheetId="0" hidden="1">1</definedName>
    <definedName name="OpenSolver_LinearityCheck" localSheetId="1" hidden="1">1</definedName>
    <definedName name="OpenSolver_UpdateSensitivity" localSheetId="0" hidden="1">1</definedName>
    <definedName name="OpenSolver_UpdateSensitivity" localSheetId="1" hidden="1">1</definedName>
    <definedName name="solver_adj" localSheetId="0" hidden="1">'4. Infra-year timeslices'!$H$39:$I$41,'4. Infra-year timeslices'!$H$43:$I$45,'4. Infra-year timeslices'!$L$39:$M$41,'4. Infra-year timeslices'!$L$43:$M$45,'4. Infra-year timeslices'!$L$48:$N$49,'4. Infra-year timeslices'!$H$48:$J$49,'4. Infra-year timeslices'!$L$74:$N$75</definedName>
    <definedName name="solver_adj" localSheetId="1" hidden="1">'4. Infra-year timeslices_vale'!$G$35:$I$37,'4. Infra-year timeslices_vale'!$G$39:$I$41,'4. Infra-year timeslices_vale'!$K$35:$M$37,'4. Infra-year timeslices_vale'!$K$39:$M$41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'4. Infra-year timeslices'!$AM$10:$AN$11</definedName>
    <definedName name="solver_lhs1" localSheetId="1" hidden="1">'4. Infra-year timeslices_vale'!$AL$9:$AN$10</definedName>
    <definedName name="solver_lhs10" localSheetId="0" hidden="1">'4. Infra-year timeslices'!$L$43:$M$45</definedName>
    <definedName name="solver_lhs10" localSheetId="1" hidden="1">'4. Infra-year timeslices_vale'!$K$39:$M$41</definedName>
    <definedName name="solver_lhs11" localSheetId="0" hidden="1">'4. Infra-year timeslices'!$N$48:$N$49</definedName>
    <definedName name="solver_lhs11" localSheetId="1" hidden="1">'4. Infra-year timeslices_vale'!$AT$9:$AU$9</definedName>
    <definedName name="solver_lhs12" localSheetId="0" hidden="1">'4. Infra-year timeslices'!$L$39:$M$41</definedName>
    <definedName name="solver_lhs12" localSheetId="1" hidden="1">'4. Infra-year timeslices_vale'!$AP$9:$AR$9</definedName>
    <definedName name="solver_lhs13" localSheetId="0" hidden="1">'4. Infra-year timeslices'!$L$43:$M$45</definedName>
    <definedName name="solver_lhs13" localSheetId="1" hidden="1">'4. Infra-year timeslices_vale'!$AL$14:$AN$15</definedName>
    <definedName name="solver_lhs14" localSheetId="0" hidden="1">'4. Infra-year timeslices'!$N$48:$N$49</definedName>
    <definedName name="solver_lhs14" localSheetId="1" hidden="1">'4. Infra-year timeslices_vale'!$AT$14:$AU$15</definedName>
    <definedName name="solver_lhs15" localSheetId="0" hidden="1">'4. Infra-year timeslices'!$L$39:$M$41</definedName>
    <definedName name="solver_lhs15" localSheetId="1" hidden="1">'4. Infra-year timeslices_vale'!$K$35:$L$37</definedName>
    <definedName name="solver_lhs16" localSheetId="0" hidden="1">'4. Infra-year timeslices'!$L$43:$M$45</definedName>
    <definedName name="solver_lhs16" localSheetId="1" hidden="1">'4. Infra-year timeslices_vale'!$K$39:$L$41</definedName>
    <definedName name="solver_lhs17" localSheetId="0" hidden="1">'4. Infra-year timeslices'!$L$39:$M$41</definedName>
    <definedName name="solver_lhs17" localSheetId="1" hidden="1">'4. Infra-year timeslices_vale'!$K$35:$L$37</definedName>
    <definedName name="solver_lhs18" localSheetId="0" hidden="1">'4. Infra-year timeslices'!$L$43:$M$45</definedName>
    <definedName name="solver_lhs18" localSheetId="1" hidden="1">'4. Infra-year timeslices_vale'!$K$39:$L$41</definedName>
    <definedName name="solver_lhs2" localSheetId="0" hidden="1">'4. Infra-year timeslices'!$AM$15:$AN$17</definedName>
    <definedName name="solver_lhs2" localSheetId="1" hidden="1">'4. Infra-year timeslices_vale'!$AP$9:$AR$10</definedName>
    <definedName name="solver_lhs3" localSheetId="0" hidden="1">'4. Infra-year timeslices'!$AP$10:$AR$10</definedName>
    <definedName name="solver_lhs3" localSheetId="1" hidden="1">'4. Infra-year timeslices_vale'!$AL$14:$AN$16</definedName>
    <definedName name="solver_lhs4" localSheetId="0" hidden="1">'4. Infra-year timeslices'!$AT$10:$AV$10</definedName>
    <definedName name="solver_lhs4" localSheetId="1" hidden="1">'4. Infra-year timeslices_vale'!$AP$14:$AR$16</definedName>
    <definedName name="solver_lhs5" localSheetId="0" hidden="1">'4. Infra-year timeslices'!$AP$15:$AR$16</definedName>
    <definedName name="solver_lhs5" localSheetId="1" hidden="1">'4. Infra-year timeslices_vale'!$K$35:$M$37</definedName>
    <definedName name="solver_lhs6" localSheetId="0" hidden="1">'4. Infra-year timeslices'!$AT$15:$AV$16</definedName>
    <definedName name="solver_lhs6" localSheetId="1" hidden="1">'4. Infra-year timeslices_vale'!$K$39:$M$41</definedName>
    <definedName name="solver_lhs7" localSheetId="0" hidden="1">'4. Infra-year timeslices'!$AX$10:$AY$10</definedName>
    <definedName name="solver_lhs7" localSheetId="1" hidden="1">'4. Infra-year timeslices_vale'!$K$35:$M$37</definedName>
    <definedName name="solver_lhs8" localSheetId="0" hidden="1">'4. Infra-year timeslices'!$AX$15:$AY$16</definedName>
    <definedName name="solver_lhs8" localSheetId="1" hidden="1">'4. Infra-year timeslices_vale'!$K$35:$M$41</definedName>
    <definedName name="solver_lhs9" localSheetId="0" hidden="1">'4. Infra-year timeslices'!$L$39:$M$41</definedName>
    <definedName name="solver_lhs9" localSheetId="1" hidden="1">'4. Infra-year timeslices_vale'!$K$35:$M$41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1" hidden="1">2147483647</definedName>
    <definedName name="solver_num" localSheetId="0" hidden="1">14</definedName>
    <definedName name="solver_num" localSheetId="1" hidden="1">6</definedName>
    <definedName name="solver_nwt" localSheetId="0" hidden="1">1</definedName>
    <definedName name="solver_nwt" localSheetId="1" hidden="1">1</definedName>
    <definedName name="solver_opt" localSheetId="0" hidden="1">'4. Infra-year timeslices'!$Q$18</definedName>
    <definedName name="solver_opt" localSheetId="1" hidden="1">'4. Infra-year timeslices_vale'!$P$17</definedName>
    <definedName name="solver_pre" localSheetId="1" hidden="1">0.000001</definedName>
    <definedName name="solver_rbv" localSheetId="1" hidden="1">1</definedName>
    <definedName name="solver_rel1" localSheetId="0" hidden="1">2</definedName>
    <definedName name="solver_rel1" localSheetId="1" hidden="1">2</definedName>
    <definedName name="solver_rel10" localSheetId="0" hidden="1">1</definedName>
    <definedName name="solver_rel10" localSheetId="1" hidden="1">3</definedName>
    <definedName name="solver_rel11" localSheetId="0" hidden="1">1</definedName>
    <definedName name="solver_rel11" localSheetId="1" hidden="1">2</definedName>
    <definedName name="solver_rel12" localSheetId="0" hidden="1">3</definedName>
    <definedName name="solver_rel12" localSheetId="1" hidden="1">2</definedName>
    <definedName name="solver_rel13" localSheetId="0" hidden="1">3</definedName>
    <definedName name="solver_rel13" localSheetId="1" hidden="1">2</definedName>
    <definedName name="solver_rel14" localSheetId="0" hidden="1">3</definedName>
    <definedName name="solver_rel14" localSheetId="1" hidden="1">2</definedName>
    <definedName name="solver_rel15" localSheetId="0" hidden="1">1</definedName>
    <definedName name="solver_rel15" localSheetId="1" hidden="1">1</definedName>
    <definedName name="solver_rel16" localSheetId="0" hidden="1">1</definedName>
    <definedName name="solver_rel16" localSheetId="1" hidden="1">1</definedName>
    <definedName name="solver_rel17" localSheetId="0" hidden="1">3</definedName>
    <definedName name="solver_rel17" localSheetId="1" hidden="1">3</definedName>
    <definedName name="solver_rel18" localSheetId="0" hidden="1">3</definedName>
    <definedName name="solver_rel18" localSheetId="1" hidden="1">3</definedName>
    <definedName name="solver_rel2" localSheetId="0" hidden="1">2</definedName>
    <definedName name="solver_rel2" localSheetId="1" hidden="1">2</definedName>
    <definedName name="solver_rel3" localSheetId="0" hidden="1">2</definedName>
    <definedName name="solver_rel3" localSheetId="1" hidden="1">2</definedName>
    <definedName name="solver_rel4" localSheetId="0" hidden="1">2</definedName>
    <definedName name="solver_rel4" localSheetId="1" hidden="1">2</definedName>
    <definedName name="solver_rel5" localSheetId="0" hidden="1">2</definedName>
    <definedName name="solver_rel5" localSheetId="1" hidden="1">1</definedName>
    <definedName name="solver_rel6" localSheetId="0" hidden="1">2</definedName>
    <definedName name="solver_rel6" localSheetId="1" hidden="1">1</definedName>
    <definedName name="solver_rel7" localSheetId="0" hidden="1">2</definedName>
    <definedName name="solver_rel7" localSheetId="1" hidden="1">3</definedName>
    <definedName name="solver_rel8" localSheetId="0" hidden="1">2</definedName>
    <definedName name="solver_rel8" localSheetId="1" hidden="1">1</definedName>
    <definedName name="solver_rel9" localSheetId="0" hidden="1">1</definedName>
    <definedName name="solver_rel9" localSheetId="1" hidden="1">3</definedName>
    <definedName name="solver_rhs1" localSheetId="0" hidden="1">0</definedName>
    <definedName name="solver_rhs1" localSheetId="1" hidden="1">0</definedName>
    <definedName name="solver_rhs10" localSheetId="0" hidden="1">'4. Infra-year timeslices'!$L$56:$M$58</definedName>
    <definedName name="solver_rhs10" localSheetId="1" hidden="1">0</definedName>
    <definedName name="solver_rhs11" localSheetId="0" hidden="1">'4. Infra-year timeslices'!$N$59:$N$60</definedName>
    <definedName name="solver_rhs11" localSheetId="1" hidden="1">0</definedName>
    <definedName name="solver_rhs12" localSheetId="0" hidden="1">'4. Infra-year timeslices'!$L$63:$M$65</definedName>
    <definedName name="solver_rhs12" localSheetId="1" hidden="1">0</definedName>
    <definedName name="solver_rhs13" localSheetId="0" hidden="1">'4. Infra-year timeslices'!$L$67:$M$69</definedName>
    <definedName name="solver_rhs13" localSheetId="1" hidden="1">0</definedName>
    <definedName name="solver_rhs14" localSheetId="0" hidden="1">'4. Infra-year timeslices'!$N$70:$N$71</definedName>
    <definedName name="solver_rhs14" localSheetId="1" hidden="1">0</definedName>
    <definedName name="solver_rhs15" localSheetId="0" hidden="1">'4. Infra-year timeslices'!$L$52:$M$54</definedName>
    <definedName name="solver_rhs15" localSheetId="1" hidden="1">'4. Infra-year timeslices_vale'!$K$53:$L$55</definedName>
    <definedName name="solver_rhs16" localSheetId="0" hidden="1">'4. Infra-year timeslices'!$L$56:$M$58</definedName>
    <definedName name="solver_rhs16" localSheetId="1" hidden="1">'4. Infra-year timeslices_vale'!$K$57:$L$59</definedName>
    <definedName name="solver_rhs17" localSheetId="0" hidden="1">'4. Infra-year timeslices'!$L$63:$M$65</definedName>
    <definedName name="solver_rhs17" localSheetId="1" hidden="1">'4. Infra-year timeslices_vale'!$K$62:$L$64</definedName>
    <definedName name="solver_rhs18" localSheetId="0" hidden="1">'4. Infra-year timeslices'!$L$67:$M$69</definedName>
    <definedName name="solver_rhs18" localSheetId="1" hidden="1">'4. Infra-year timeslices_vale'!$K$66:$L$68</definedName>
    <definedName name="solver_rhs2" localSheetId="0" hidden="1">0</definedName>
    <definedName name="solver_rhs2" localSheetId="1" hidden="1">0</definedName>
    <definedName name="solver_rhs3" localSheetId="0" hidden="1">0</definedName>
    <definedName name="solver_rhs3" localSheetId="1" hidden="1">0</definedName>
    <definedName name="solver_rhs4" localSheetId="0" hidden="1">0</definedName>
    <definedName name="solver_rhs4" localSheetId="1" hidden="1">0</definedName>
    <definedName name="solver_rhs5" localSheetId="0" hidden="1">0</definedName>
    <definedName name="solver_rhs5" localSheetId="1" hidden="1">'4. Infra-year timeslices_vale'!$K$53:$M$55</definedName>
    <definedName name="solver_rhs6" localSheetId="0" hidden="1">0</definedName>
    <definedName name="solver_rhs6" localSheetId="1" hidden="1">'4. Infra-year timeslices_vale'!$K$57:$M$59</definedName>
    <definedName name="solver_rhs7" localSheetId="0" hidden="1">0</definedName>
    <definedName name="solver_rhs7" localSheetId="1" hidden="1">0</definedName>
    <definedName name="solver_rhs8" localSheetId="0" hidden="1">0</definedName>
    <definedName name="solver_rhs8" localSheetId="1" hidden="1">'4. Infra-year timeslices_vale'!$K$53:$M$59</definedName>
    <definedName name="solver_rhs9" localSheetId="0" hidden="1">'4. Infra-year timeslices'!$L$52:$M$54</definedName>
    <definedName name="solver_rhs9" localSheetId="1" hidden="1">'4. Infra-year timeslices_vale'!$K$62:$M$68</definedName>
    <definedName name="solver_rlx" localSheetId="0" hidden="1">2</definedName>
    <definedName name="solver_rlx" localSheetId="1" hidden="1">2</definedName>
    <definedName name="solver_rsd" localSheetId="1" hidden="1">0</definedName>
    <definedName name="solver_scl" localSheetId="0" hidden="1">2</definedName>
    <definedName name="solver_scl" localSheetId="1" hidden="1">1</definedName>
    <definedName name="solver_sho" localSheetId="0" hidden="1">0</definedName>
    <definedName name="solver_sho" localSheetId="1" hidden="1">2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0.05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3" i="2" l="1" a="1"/>
  <c r="K53" i="2" s="1"/>
  <c r="K44" i="2"/>
  <c r="AT14" i="2" s="1"/>
  <c r="M44" i="2"/>
  <c r="AT16" i="2" s="1"/>
  <c r="K66" i="2" a="1"/>
  <c r="K66" i="2" s="1"/>
  <c r="K62" i="2" a="1"/>
  <c r="K62" i="2" s="1"/>
  <c r="K57" i="2" a="1"/>
  <c r="K57" i="2" s="1"/>
  <c r="L45" i="2"/>
  <c r="AU15" i="2" s="1"/>
  <c r="M45" i="2"/>
  <c r="AU16" i="2" s="1"/>
  <c r="K45" i="2"/>
  <c r="AU14" i="2" s="1"/>
  <c r="L44" i="2"/>
  <c r="AT15" i="2" s="1"/>
  <c r="H45" i="2"/>
  <c r="I45" i="2"/>
  <c r="G45" i="2"/>
  <c r="H44" i="2"/>
  <c r="I44" i="2"/>
  <c r="G44" i="2"/>
  <c r="AP14" i="2" a="1"/>
  <c r="AP14" i="2" s="1"/>
  <c r="AL14" i="2" a="1"/>
  <c r="AL14" i="2" s="1"/>
  <c r="AH9" i="2" a="1"/>
  <c r="AH9" i="2" s="1"/>
  <c r="AD9" i="2" a="1"/>
  <c r="AD9" i="2" s="1"/>
  <c r="T13" i="2"/>
  <c r="U13" i="2"/>
  <c r="S13" i="2"/>
  <c r="AX10" i="1"/>
  <c r="S9" i="2" l="1" a="1"/>
  <c r="S9" i="2" s="1"/>
  <c r="AL9" i="2" s="1" a="1"/>
  <c r="AL9" i="2" s="1"/>
  <c r="K48" i="2" a="1"/>
  <c r="K48" i="2" s="1"/>
  <c r="P17" i="2" s="1"/>
  <c r="AA9" i="2" a="1"/>
  <c r="AA9" i="2" s="1"/>
  <c r="AT9" i="2" s="1"/>
  <c r="W9" i="2" a="1"/>
  <c r="W9" i="2" s="1"/>
  <c r="AP9" i="2" s="1" a="1"/>
  <c r="AP9" i="2" s="1"/>
  <c r="AT10" i="2" l="1"/>
  <c r="AU10" i="2"/>
  <c r="AU9" i="2"/>
  <c r="L92" i="1" a="1"/>
  <c r="L92" i="1" s="1"/>
  <c r="L90" i="1" a="1"/>
  <c r="L90" i="1" s="1"/>
  <c r="L86" i="1" a="1"/>
  <c r="L86" i="1" s="1"/>
  <c r="L82" i="1" a="1"/>
  <c r="L82" i="1" s="1"/>
  <c r="Q18" i="1" s="1"/>
  <c r="L78" i="1" a="1"/>
  <c r="L78" i="1" s="1"/>
  <c r="N70" i="1" a="1"/>
  <c r="N70" i="1" s="1"/>
  <c r="N59" i="1" a="1"/>
  <c r="N59" i="1" s="1"/>
  <c r="N35" i="1"/>
  <c r="N34" i="1"/>
  <c r="N33" i="1"/>
  <c r="AY16" i="1"/>
  <c r="AX16" i="1"/>
  <c r="AY15" i="1"/>
  <c r="AX15" i="1"/>
  <c r="AT15" i="1" a="1"/>
  <c r="AT15" i="1" s="1"/>
  <c r="AP15" i="1" a="1"/>
  <c r="AP15" i="1" s="1"/>
  <c r="AM15" i="1" a="1"/>
  <c r="AM15" i="1" s="1"/>
  <c r="AI10" i="1" a="1"/>
  <c r="AI10" i="1" s="1"/>
  <c r="AE10" i="1" a="1"/>
  <c r="AE10" i="1" s="1"/>
  <c r="AP10" i="1" s="1" a="1"/>
  <c r="AP10" i="1" s="1"/>
  <c r="AB10" i="1" a="1"/>
  <c r="AY10" i="1" s="1"/>
  <c r="X10" i="1" a="1"/>
  <c r="X10" i="1" s="1"/>
  <c r="AT10" i="1" s="1" a="1"/>
  <c r="AT10" i="1" s="1"/>
  <c r="T10" i="1" a="1"/>
  <c r="T10" i="1" s="1"/>
  <c r="L52" i="1" l="1" a="1"/>
  <c r="L63" i="1" a="1"/>
  <c r="L56" i="1" a="1"/>
  <c r="L67" i="1" a="1"/>
  <c r="AB10" i="1"/>
  <c r="M58" i="1" l="1"/>
  <c r="M56" i="1"/>
  <c r="L58" i="1"/>
  <c r="L56" i="1"/>
  <c r="L57" i="1"/>
  <c r="M57" i="1"/>
  <c r="M69" i="1"/>
  <c r="M67" i="1"/>
  <c r="L69" i="1"/>
  <c r="L67" i="1"/>
  <c r="L68" i="1"/>
  <c r="M68" i="1"/>
  <c r="L65" i="1"/>
  <c r="L63" i="1"/>
  <c r="M64" i="1"/>
  <c r="M65" i="1"/>
  <c r="M63" i="1"/>
  <c r="L64" i="1"/>
  <c r="AM10" i="1" a="1"/>
  <c r="AM10" i="1" s="1"/>
  <c r="L54" i="1"/>
  <c r="L52" i="1"/>
  <c r="M53" i="1"/>
  <c r="M54" i="1"/>
  <c r="M52" i="1"/>
  <c r="L5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<sst xmlns="http://schemas.openxmlformats.org/spreadsheetml/2006/main" count="301" uniqueCount="84">
  <si>
    <t>Back to contents</t>
  </si>
  <si>
    <t>year</t>
  </si>
  <si>
    <t>y.1</t>
  </si>
  <si>
    <t>y.2</t>
  </si>
  <si>
    <t>slices</t>
  </si>
  <si>
    <t>h.1</t>
  </si>
  <si>
    <t>h.2</t>
  </si>
  <si>
    <t>h.3</t>
  </si>
  <si>
    <t>flows</t>
  </si>
  <si>
    <t>f.1a</t>
  </si>
  <si>
    <t>f.1b</t>
  </si>
  <si>
    <t>f2</t>
  </si>
  <si>
    <t>f.1</t>
  </si>
  <si>
    <t>techs</t>
  </si>
  <si>
    <t>t.1</t>
  </si>
  <si>
    <t>t.2</t>
  </si>
  <si>
    <t>t.3</t>
  </si>
  <si>
    <t>d.1</t>
  </si>
  <si>
    <t>dispatch</t>
  </si>
  <si>
    <t>hour</t>
  </si>
  <si>
    <t>name</t>
  </si>
  <si>
    <t>EE PV</t>
  </si>
  <si>
    <t>EE Coal</t>
  </si>
  <si>
    <t>Coal</t>
  </si>
  <si>
    <t>FD</t>
  </si>
  <si>
    <t>I_ff</t>
  </si>
  <si>
    <t>u</t>
  </si>
  <si>
    <t>Y</t>
  </si>
  <si>
    <t>Y_h = Y * dp.d' /n_periods</t>
  </si>
  <si>
    <t>Q_agg_y=I_ff*Q_y'</t>
  </si>
  <si>
    <t>Q_agg_h=I_ff_h*Q_h'</t>
  </si>
  <si>
    <t>Q_agg_y - Y - u*X_y' = 0</t>
  </si>
  <si>
    <t>Q_agg_h - Y_h'-u_h*X_h' - u_y*X_y'*dp.t_y'/n_periods = 0</t>
  </si>
  <si>
    <t>Q_agg_y - sum(Q_agg_h)*n_periods = 0</t>
  </si>
  <si>
    <t>EE</t>
  </si>
  <si>
    <t>f.2</t>
  </si>
  <si>
    <t>d</t>
  </si>
  <si>
    <t>n_periods</t>
  </si>
  <si>
    <t>n_slices</t>
  </si>
  <si>
    <t>PV</t>
  </si>
  <si>
    <t>X_y' -d*Q_y' = 0</t>
  </si>
  <si>
    <t>X_h'-d_h*Q_h' = 0</t>
  </si>
  <si>
    <t>X_y - sum(X_h)*n_periods = 0</t>
  </si>
  <si>
    <t>Coal pp</t>
  </si>
  <si>
    <t>Mining</t>
  </si>
  <si>
    <t>Min(sum( C_inv,C_om))</t>
  </si>
  <si>
    <t>Cost inv</t>
  </si>
  <si>
    <t>c_inv</t>
  </si>
  <si>
    <t>Cost o&amp;m</t>
  </si>
  <si>
    <t>c_om</t>
  </si>
  <si>
    <t>Load factors max</t>
  </si>
  <si>
    <t>lf_max_h</t>
  </si>
  <si>
    <t>lf_max_y</t>
  </si>
  <si>
    <t>Load factors min</t>
  </si>
  <si>
    <t>lf_min_h</t>
  </si>
  <si>
    <t>lf_min_y</t>
  </si>
  <si>
    <t>dp.t</t>
  </si>
  <si>
    <t>dp.d</t>
  </si>
  <si>
    <t>Demand profiles</t>
  </si>
  <si>
    <t>Q_h</t>
  </si>
  <si>
    <t>X_h</t>
  </si>
  <si>
    <t>Q_y</t>
  </si>
  <si>
    <t>X_y</t>
  </si>
  <si>
    <t>X_max_h = lf_max_h * diag(Cap_op_h)</t>
  </si>
  <si>
    <t>X_max_y = lf_max_y * diag(Cap_op_y) * n_periods * n_slices</t>
  </si>
  <si>
    <t>X_min_h = lf_min_h * diag(Cap_op_h)</t>
  </si>
  <si>
    <t>X_min_y = lf_min_y * diag(Cap_op_y) * n_periods * n_slices</t>
  </si>
  <si>
    <t>Cap_new</t>
  </si>
  <si>
    <t>Tyy</t>
  </si>
  <si>
    <t>Cap_op = Tyy * Cap_new</t>
  </si>
  <si>
    <t>C_inv = Cap_new * diag(c_inv)</t>
  </si>
  <si>
    <t>C_om = X_y * diag(c_om)</t>
  </si>
  <si>
    <t>U = u * X_y</t>
  </si>
  <si>
    <t>Installed capacity</t>
  </si>
  <si>
    <t>cap_y1</t>
  </si>
  <si>
    <t>cap_y2</t>
  </si>
  <si>
    <t>demand profiles</t>
  </si>
  <si>
    <t>C_om_y = c_om * X_y</t>
  </si>
  <si>
    <t>Q_agg_y=sum(Qagg_h)</t>
  </si>
  <si>
    <t>Qy</t>
  </si>
  <si>
    <t>Xy</t>
  </si>
  <si>
    <t>X_max_h = lf_max_h * diag(Cap_op_h)/(n_slices*n_periods)</t>
  </si>
  <si>
    <t>X_min_h = lf_min_h * diag(Cap_op_h)/(n_slices*n_periods)</t>
  </si>
  <si>
    <t>Q_agg_h - Y_h'-u_h*X_h'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</si>
</sst>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"/>
  </numFmts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0">
    <xf numFmtId="0" fontId="0" fillId="0" borderId="0" xfId="0"/>
    <xf numFmtId="0" fontId="3" fillId="0" borderId="0" xfId="1"/>
    <xf numFmtId="0" fontId="4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3" fontId="0" fillId="3" borderId="0" xfId="0" applyNumberFormat="1" applyFill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 applyAlignment="1">
      <alignment horizontal="right"/>
    </xf>
    <xf numFmtId="0" fontId="2" fillId="5" borderId="0" xfId="0" applyFont="1" applyFill="1"/>
    <xf numFmtId="2" fontId="0" fillId="3" borderId="0" xfId="0" applyNumberFormat="1" applyFill="1"/>
    <xf numFmtId="164" fontId="5" fillId="6" borderId="0" xfId="0" applyNumberFormat="1" applyFont="1" applyFill="1"/>
    <xf numFmtId="164" fontId="0" fillId="0" borderId="0" xfId="0" applyNumberFormat="1"/>
    <xf numFmtId="0" fontId="1" fillId="0" borderId="0" xfId="0" applyFont="1"/>
    <xf numFmtId="0" fontId="5" fillId="6" borderId="0" xfId="0" applyFont="1" applyFill="1"/>
    <xf numFmtId="165" fontId="0" fillId="0" borderId="0" xfId="0" applyNumberFormat="1"/>
    <xf numFmtId="1" fontId="0" fillId="3" borderId="0" xfId="0" applyNumberFormat="1" applyFill="1"/>
    <xf numFmtId="166" fontId="5" fillId="6" borderId="0" xfId="0" applyNumberFormat="1" applyFont="1" applyFill="1"/>
    <xf numFmtId="166" fontId="0" fillId="4" borderId="0" xfId="0" applyNumberFormat="1" applyFill="1"/>
    <xf numFmtId="0" fontId="0" fillId="0" borderId="13" xfId="0" applyBorder="1"/>
    <xf numFmtId="0" fontId="2" fillId="0" borderId="0" xfId="0" applyFont="1" applyAlignment="1">
      <alignment horizontal="left" vertical="top"/>
    </xf>
    <xf numFmtId="0" fontId="0" fillId="7" borderId="0" xfId="0" applyFill="1"/>
    <xf numFmtId="0" fontId="0" fillId="6" borderId="0" xfId="0" applyFill="1"/>
    <xf numFmtId="0" fontId="2" fillId="0" borderId="14" xfId="0" applyFont="1" applyBorder="1"/>
    <xf numFmtId="0" fontId="2" fillId="0" borderId="15" xfId="0" applyFont="1" applyBorder="1"/>
    <xf numFmtId="0" fontId="0" fillId="3" borderId="16" xfId="0" applyFill="1" applyBorder="1"/>
    <xf numFmtId="3" fontId="0" fillId="3" borderId="17" xfId="0" applyNumberFormat="1" applyFill="1" applyBorder="1"/>
    <xf numFmtId="0" fontId="0" fillId="0" borderId="14" xfId="0" applyBorder="1"/>
    <xf numFmtId="0" fontId="0" fillId="0" borderId="18" xfId="0" applyBorder="1"/>
    <xf numFmtId="0" fontId="0" fillId="0" borderId="15" xfId="0" applyBorder="1"/>
    <xf numFmtId="2" fontId="0" fillId="0" borderId="3" xfId="0" applyNumberFormat="1" applyBorder="1"/>
    <xf numFmtId="2" fontId="0" fillId="0" borderId="12" xfId="0" applyNumberFormat="1" applyBorder="1"/>
    <xf numFmtId="2" fontId="0" fillId="0" borderId="4" xfId="0" applyNumberFormat="1" applyBorder="1"/>
    <xf numFmtId="0" fontId="0" fillId="6" borderId="1" xfId="0" applyFill="1" applyBorder="1"/>
    <xf numFmtId="0" fontId="0" fillId="6" borderId="1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12" xfId="0" applyFill="1" applyBorder="1"/>
    <xf numFmtId="0" fontId="0" fillId="6" borderId="4" xfId="0" applyFill="1" applyBorder="1"/>
    <xf numFmtId="164" fontId="1" fillId="6" borderId="1" xfId="0" applyNumberFormat="1" applyFont="1" applyFill="1" applyBorder="1"/>
    <xf numFmtId="164" fontId="1" fillId="6" borderId="11" xfId="0" applyNumberFormat="1" applyFont="1" applyFill="1" applyBorder="1"/>
    <xf numFmtId="0" fontId="1" fillId="6" borderId="2" xfId="0" applyFont="1" applyFill="1" applyBorder="1"/>
    <xf numFmtId="164" fontId="1" fillId="6" borderId="9" xfId="0" applyNumberFormat="1" applyFont="1" applyFill="1" applyBorder="1"/>
    <xf numFmtId="164" fontId="1" fillId="6" borderId="0" xfId="0" applyNumberFormat="1" applyFont="1" applyFill="1"/>
    <xf numFmtId="0" fontId="1" fillId="6" borderId="10" xfId="0" applyFont="1" applyFill="1" applyBorder="1"/>
    <xf numFmtId="0" fontId="1" fillId="0" borderId="9" xfId="0" applyFont="1" applyBorder="1"/>
    <xf numFmtId="164" fontId="1" fillId="6" borderId="3" xfId="0" applyNumberFormat="1" applyFont="1" applyFill="1" applyBorder="1"/>
    <xf numFmtId="164" fontId="1" fillId="6" borderId="12" xfId="0" applyNumberFormat="1" applyFont="1" applyFill="1" applyBorder="1"/>
    <xf numFmtId="0" fontId="1" fillId="6" borderId="4" xfId="0" applyFont="1" applyFill="1" applyBorder="1"/>
    <xf numFmtId="164" fontId="1" fillId="6" borderId="2" xfId="0" applyNumberFormat="1" applyFont="1" applyFill="1" applyBorder="1"/>
    <xf numFmtId="164" fontId="1" fillId="6" borderId="10" xfId="0" applyNumberFormat="1" applyFont="1" applyFill="1" applyBorder="1"/>
    <xf numFmtId="164" fontId="1" fillId="6" borderId="4" xfId="0" applyNumberFormat="1" applyFont="1" applyFill="1" applyBorder="1"/>
    <xf numFmtId="0" fontId="0" fillId="0" borderId="16" xfId="0" applyBorder="1"/>
    <xf numFmtId="0" fontId="0" fillId="0" borderId="17" xfId="0" applyBorder="1"/>
    <xf numFmtId="164" fontId="0" fillId="0" borderId="14" xfId="0" applyNumberFormat="1" applyBorder="1"/>
    <xf numFmtId="0" fontId="0" fillId="0" borderId="19" xfId="0" applyBorder="1"/>
    <xf numFmtId="0" fontId="0" fillId="0" borderId="20" xfId="0" applyBorder="1"/>
    <xf numFmtId="164" fontId="0" fillId="6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7DADC-6AEF-40A8-B215-E95E69AADBD4}">
  <sheetPr>
    <tabColor theme="8" tint="0.59999389629810485"/>
  </sheetPr>
  <dimension ref="A1:AZ93"/>
  <sheetViews>
    <sheetView showGridLines="0" zoomScaleNormal="100" workbookViewId="0">
      <pane xSplit="6" ySplit="7" topLeftCell="G8" activePane="bottomRight" state="frozen"/>
      <selection pane="topRight"/>
      <selection pane="bottomLeft"/>
      <selection pane="bottomRight" activeCell="N24" sqref="N24:N25"/>
    </sheetView>
  </sheetViews>
  <sheetFormatPr defaultRowHeight="15" x14ac:dyDescent="0.25"/>
  <cols>
    <col min="1" max="1" width="4.85546875" bestFit="1" customWidth="1"/>
    <col min="2" max="2" width="6" bestFit="1" customWidth="1"/>
    <col min="3" max="3" width="4.7109375" customWidth="1"/>
    <col min="4" max="4" width="5.7109375" bestFit="1" customWidth="1"/>
    <col min="5" max="5" width="9" bestFit="1" customWidth="1"/>
    <col min="6" max="6" width="15.85546875" bestFit="1" customWidth="1"/>
    <col min="7" max="7" width="1.5703125" customWidth="1"/>
    <col min="11" max="11" width="3.28515625" customWidth="1"/>
    <col min="13" max="13" width="10.140625" bestFit="1" customWidth="1"/>
    <col min="14" max="14" width="10.140625" customWidth="1"/>
    <col min="15" max="15" width="3.28515625" customWidth="1"/>
    <col min="18" max="18" width="3.28515625" customWidth="1"/>
    <col min="23" max="23" width="1.7109375" customWidth="1"/>
    <col min="30" max="30" width="1.7109375" customWidth="1"/>
    <col min="34" max="34" width="1.28515625" customWidth="1"/>
    <col min="41" max="41" width="10.28515625" customWidth="1"/>
    <col min="45" max="45" width="1.42578125" customWidth="1"/>
  </cols>
  <sheetData>
    <row r="1" spans="1:51" x14ac:dyDescent="0.25">
      <c r="A1" s="1" t="s">
        <v>0</v>
      </c>
    </row>
    <row r="2" spans="1:51" x14ac:dyDescent="0.25">
      <c r="A2" s="2" t="s">
        <v>1</v>
      </c>
      <c r="B2" s="2"/>
      <c r="C2" s="2"/>
      <c r="D2" s="2"/>
      <c r="E2" s="2"/>
      <c r="F2" s="2"/>
      <c r="G2" s="2"/>
      <c r="P2" t="s">
        <v>2</v>
      </c>
      <c r="Q2" t="s">
        <v>3</v>
      </c>
      <c r="T2" t="s">
        <v>2</v>
      </c>
      <c r="X2" t="s">
        <v>3</v>
      </c>
      <c r="AB2" t="s">
        <v>2</v>
      </c>
      <c r="AC2" t="s">
        <v>3</v>
      </c>
      <c r="AE2" t="s">
        <v>2</v>
      </c>
      <c r="AI2" t="s">
        <v>3</v>
      </c>
      <c r="AM2" t="s">
        <v>2</v>
      </c>
      <c r="AN2" t="s">
        <v>3</v>
      </c>
      <c r="AP2" t="s">
        <v>2</v>
      </c>
      <c r="AT2" t="s">
        <v>3</v>
      </c>
      <c r="AX2" t="s">
        <v>2</v>
      </c>
      <c r="AY2" t="s">
        <v>3</v>
      </c>
    </row>
    <row r="3" spans="1:51" x14ac:dyDescent="0.25">
      <c r="A3" s="2"/>
      <c r="B3" s="2" t="s">
        <v>4</v>
      </c>
      <c r="C3" s="2"/>
      <c r="D3" s="2"/>
      <c r="E3" s="2"/>
      <c r="F3" s="2"/>
      <c r="G3" s="2"/>
      <c r="T3" t="s">
        <v>5</v>
      </c>
      <c r="U3" t="s">
        <v>6</v>
      </c>
      <c r="V3" t="s">
        <v>7</v>
      </c>
      <c r="X3" t="s">
        <v>5</v>
      </c>
      <c r="Y3" t="s">
        <v>6</v>
      </c>
      <c r="Z3" t="s">
        <v>7</v>
      </c>
      <c r="AE3" t="s">
        <v>5</v>
      </c>
      <c r="AF3" t="s">
        <v>6</v>
      </c>
      <c r="AG3" t="s">
        <v>7</v>
      </c>
      <c r="AI3" t="s">
        <v>5</v>
      </c>
      <c r="AJ3" t="s">
        <v>6</v>
      </c>
      <c r="AK3" t="s">
        <v>7</v>
      </c>
      <c r="AP3" t="s">
        <v>5</v>
      </c>
      <c r="AQ3" t="s">
        <v>6</v>
      </c>
      <c r="AR3" t="s">
        <v>7</v>
      </c>
      <c r="AT3" t="s">
        <v>5</v>
      </c>
      <c r="AU3" t="s">
        <v>6</v>
      </c>
      <c r="AV3" t="s">
        <v>7</v>
      </c>
    </row>
    <row r="4" spans="1:51" x14ac:dyDescent="0.25">
      <c r="A4" s="2"/>
      <c r="B4" s="2"/>
      <c r="C4" s="2" t="s">
        <v>8</v>
      </c>
      <c r="D4" s="2"/>
      <c r="E4" s="2"/>
      <c r="F4" s="2"/>
      <c r="G4" s="2"/>
      <c r="H4" t="s">
        <v>9</v>
      </c>
      <c r="I4" t="s">
        <v>10</v>
      </c>
      <c r="J4" t="s">
        <v>11</v>
      </c>
      <c r="S4" t="s">
        <v>12</v>
      </c>
    </row>
    <row r="5" spans="1:51" x14ac:dyDescent="0.25">
      <c r="A5" s="2"/>
      <c r="B5" s="2"/>
      <c r="C5" s="2"/>
      <c r="D5" s="2" t="s">
        <v>13</v>
      </c>
      <c r="E5" s="2"/>
      <c r="F5" s="2"/>
      <c r="G5" s="2"/>
      <c r="L5" t="s">
        <v>14</v>
      </c>
      <c r="M5" t="s">
        <v>15</v>
      </c>
      <c r="N5" t="s">
        <v>16</v>
      </c>
      <c r="P5" t="s">
        <v>17</v>
      </c>
      <c r="Q5" t="s">
        <v>17</v>
      </c>
      <c r="S5" t="s">
        <v>17</v>
      </c>
    </row>
    <row r="6" spans="1:51" x14ac:dyDescent="0.25">
      <c r="A6" s="2"/>
      <c r="B6" s="2"/>
      <c r="C6" s="2"/>
      <c r="D6" s="2"/>
      <c r="E6" s="2" t="s">
        <v>18</v>
      </c>
      <c r="F6" s="2"/>
      <c r="G6" s="2"/>
      <c r="H6" t="s">
        <v>19</v>
      </c>
      <c r="I6" t="s">
        <v>19</v>
      </c>
      <c r="J6" t="s">
        <v>1</v>
      </c>
      <c r="L6" t="s">
        <v>19</v>
      </c>
      <c r="M6" t="s">
        <v>19</v>
      </c>
      <c r="N6" t="s">
        <v>1</v>
      </c>
      <c r="S6" t="s">
        <v>19</v>
      </c>
    </row>
    <row r="7" spans="1:51" x14ac:dyDescent="0.25">
      <c r="A7" s="2"/>
      <c r="B7" s="2"/>
      <c r="C7" s="2"/>
      <c r="D7" s="2"/>
      <c r="E7" s="2"/>
      <c r="F7" s="2" t="s">
        <v>20</v>
      </c>
      <c r="G7" s="2"/>
      <c r="H7" t="s">
        <v>21</v>
      </c>
      <c r="I7" t="s">
        <v>22</v>
      </c>
      <c r="J7" t="s">
        <v>23</v>
      </c>
      <c r="P7" t="s">
        <v>24</v>
      </c>
    </row>
    <row r="8" spans="1:51" x14ac:dyDescent="0.25">
      <c r="A8" s="2"/>
      <c r="B8" s="2"/>
      <c r="C8" s="2"/>
      <c r="D8" s="2"/>
      <c r="E8" s="2"/>
      <c r="F8" s="2"/>
      <c r="G8" s="2"/>
    </row>
    <row r="9" spans="1:51" x14ac:dyDescent="0.25">
      <c r="A9" s="2"/>
      <c r="B9" s="2"/>
      <c r="C9" s="2"/>
      <c r="D9" s="2"/>
      <c r="E9" s="2"/>
      <c r="F9" s="2"/>
      <c r="G9" s="2"/>
      <c r="H9" s="3" t="s">
        <v>25</v>
      </c>
      <c r="L9" s="3" t="s">
        <v>26</v>
      </c>
      <c r="P9" s="3" t="s">
        <v>27</v>
      </c>
      <c r="T9" s="3" t="s">
        <v>28</v>
      </c>
      <c r="AB9" s="3" t="s">
        <v>29</v>
      </c>
      <c r="AE9" s="3" t="s">
        <v>30</v>
      </c>
      <c r="AM9" s="3" t="s">
        <v>31</v>
      </c>
      <c r="AP9" s="3" t="s">
        <v>32</v>
      </c>
      <c r="AX9" s="3" t="s">
        <v>33</v>
      </c>
    </row>
    <row r="10" spans="1:51" x14ac:dyDescent="0.25">
      <c r="C10" t="s">
        <v>12</v>
      </c>
      <c r="E10" t="s">
        <v>19</v>
      </c>
      <c r="F10" t="s">
        <v>34</v>
      </c>
      <c r="H10" s="4">
        <v>1</v>
      </c>
      <c r="I10" s="4">
        <v>1</v>
      </c>
      <c r="J10" s="4">
        <v>0</v>
      </c>
      <c r="L10" s="5">
        <v>0</v>
      </c>
      <c r="M10" s="5">
        <v>0</v>
      </c>
      <c r="N10" s="5">
        <v>1</v>
      </c>
      <c r="P10" s="5">
        <v>1000</v>
      </c>
      <c r="Q10" s="5">
        <v>1500</v>
      </c>
      <c r="T10" s="6" cm="1">
        <f t="array" ref="T10:V10">P10/Q14*TRANSPOSE(S33:S35)</f>
        <v>0.54794520547945202</v>
      </c>
      <c r="U10" s="6">
        <v>1.3698630136986301</v>
      </c>
      <c r="V10" s="6">
        <v>0.82191780821917804</v>
      </c>
      <c r="X10" s="6" cm="1">
        <f t="array" ref="X10:Z10">Q10*TRANSPOSE(S33:S35)/Q14</f>
        <v>0.82191780821917804</v>
      </c>
      <c r="Y10" s="6">
        <v>2.0547945205479454</v>
      </c>
      <c r="Z10" s="6">
        <v>1.2328767123287672</v>
      </c>
      <c r="AB10" s="6" cm="1">
        <f t="array" ref="AB10:AC11">MMULT(H10:J11,TRANSPOSE(H48:J49))</f>
        <v>1230.7692299999999</v>
      </c>
      <c r="AC10" s="6">
        <v>1846.15389</v>
      </c>
      <c r="AD10" s="3"/>
      <c r="AE10" s="6" cm="1">
        <f t="array" ref="AE10:AG10">MMULT(H10:I10,TRANSPOSE(H39:I41))</f>
        <v>0.75869336000000032</v>
      </c>
      <c r="AF10" s="6">
        <v>1.5806111899999999</v>
      </c>
      <c r="AG10" s="6">
        <v>1.03266597</v>
      </c>
      <c r="AI10" s="6" cm="1">
        <f t="array" ref="AI10:AK10">MMULT(H10:I10,TRANSPOSE(H43:I45))</f>
        <v>1.1380399999999999</v>
      </c>
      <c r="AJ10" s="6">
        <v>2.3709167799999999</v>
      </c>
      <c r="AK10" s="6">
        <v>1.5489989800000001</v>
      </c>
      <c r="AM10" s="7" cm="1">
        <f t="array" ref="AM10:AN11">_xlfn.ANCHORARRAY(AB10)-P10:Q11-MMULT(L10:N11,TRANSPOSE(L48:N49))</f>
        <v>0</v>
      </c>
      <c r="AN10" s="8">
        <v>4.0000000069539965E-5</v>
      </c>
      <c r="AP10" s="11" cm="1">
        <f t="array" ref="AP10:AR10">AE10:AG10-_xlfn.ANCHORARRAY(T10)-MMULT(L10:M10,TRANSPOSE(L39:M41))-MMULT(N10,MMULT(TRANSPOSE(N48),TRANSPOSE(N33:N35)))/Q14</f>
        <v>-7.3059325256252805E-10</v>
      </c>
      <c r="AQ10" s="12">
        <v>2.1050228338204136E-8</v>
      </c>
      <c r="AR10" s="13">
        <v>6.5296804629966232E-9</v>
      </c>
      <c r="AT10" s="11" cm="1">
        <f t="array" ref="AT10:AV10">_xlfn.ANCHORARRAY(AI10)-_xlfn.ANCHORARRAY(X10)-MMULT(L10:M10,TRANSPOSE(L43:M45))-MMULT(N10,MMULT(TRANSPOSE(N49),TRANSPOSE(N33:N35)))/Q14</f>
        <v>-4.5662100434107344E-8</v>
      </c>
      <c r="AU10" s="12">
        <v>2.2009132183420377E-8</v>
      </c>
      <c r="AV10" s="13">
        <v>3.0228310632374189E-8</v>
      </c>
      <c r="AX10" s="14">
        <f>AB10-SUM(_xlfn.ANCHORARRAY(AE10))*Q14</f>
        <v>-9.8000002708431566E-6</v>
      </c>
      <c r="AY10" s="14">
        <f>AC10-SUM(_xlfn.ANCHORARRAY(AI10))*Q14</f>
        <v>3.7599999814119656E-5</v>
      </c>
    </row>
    <row r="11" spans="1:51" x14ac:dyDescent="0.25">
      <c r="C11" t="s">
        <v>35</v>
      </c>
      <c r="E11" t="s">
        <v>1</v>
      </c>
      <c r="F11" t="s">
        <v>23</v>
      </c>
      <c r="H11" s="4">
        <v>0</v>
      </c>
      <c r="I11" s="4">
        <v>0</v>
      </c>
      <c r="J11" s="4">
        <v>1</v>
      </c>
      <c r="L11" s="5">
        <v>0</v>
      </c>
      <c r="M11" s="5">
        <v>0.5</v>
      </c>
      <c r="N11" s="5">
        <v>0</v>
      </c>
      <c r="P11" s="5">
        <v>0</v>
      </c>
      <c r="Q11" s="5">
        <v>0</v>
      </c>
      <c r="AB11" s="6">
        <v>230.76922999999999</v>
      </c>
      <c r="AC11" s="6">
        <v>346.15384999999998</v>
      </c>
      <c r="AD11" s="3"/>
      <c r="AM11" s="9">
        <v>0</v>
      </c>
      <c r="AN11" s="10">
        <v>4.9999999873762135E-6</v>
      </c>
    </row>
    <row r="13" spans="1:51" x14ac:dyDescent="0.25">
      <c r="H13" s="3" t="s">
        <v>36</v>
      </c>
      <c r="Q13" s="3" t="s">
        <v>37</v>
      </c>
      <c r="S13" s="3" t="s">
        <v>38</v>
      </c>
    </row>
    <row r="14" spans="1:51" x14ac:dyDescent="0.25">
      <c r="D14" t="s">
        <v>14</v>
      </c>
      <c r="E14" t="s">
        <v>19</v>
      </c>
      <c r="F14" t="s">
        <v>39</v>
      </c>
      <c r="H14" s="5">
        <v>1</v>
      </c>
      <c r="I14" s="5">
        <v>0</v>
      </c>
      <c r="J14" s="5">
        <v>0</v>
      </c>
      <c r="Q14" s="5">
        <v>365</v>
      </c>
      <c r="S14" s="15">
        <v>3</v>
      </c>
      <c r="AM14" s="3" t="s">
        <v>40</v>
      </c>
      <c r="AP14" s="3" t="s">
        <v>41</v>
      </c>
      <c r="AX14" s="3" t="s">
        <v>42</v>
      </c>
    </row>
    <row r="15" spans="1:51" x14ac:dyDescent="0.25">
      <c r="D15" t="s">
        <v>15</v>
      </c>
      <c r="E15" t="s">
        <v>19</v>
      </c>
      <c r="F15" t="s">
        <v>43</v>
      </c>
      <c r="H15" s="5">
        <v>0</v>
      </c>
      <c r="I15" s="5">
        <v>1</v>
      </c>
      <c r="J15" s="5">
        <v>0</v>
      </c>
      <c r="AM15" s="7" cm="1">
        <f t="array" ref="AM15:AN17">TRANSPOSE(L48:N49)-MMULT(H14:J16,TRANSPOSE(H48:J49))</f>
        <v>0</v>
      </c>
      <c r="AN15" s="8">
        <v>0</v>
      </c>
      <c r="AP15" s="7" cm="1">
        <f t="array" ref="AP15:AR16">TRANSPOSE(L39:M41)-MMULT(H14:I15,TRANSPOSE(H39:I41))</f>
        <v>-3.1147079000000002E-16</v>
      </c>
      <c r="AQ15" s="18">
        <v>0</v>
      </c>
      <c r="AR15" s="8">
        <v>0</v>
      </c>
      <c r="AT15" s="7" cm="1">
        <f t="array" ref="AT15:AV16">TRANSPOSE(L43:M45)-MMULT(H14:I15,TRANSPOSE(H43:I45))</f>
        <v>0</v>
      </c>
      <c r="AU15" s="18">
        <v>0</v>
      </c>
      <c r="AV15" s="8">
        <v>0</v>
      </c>
      <c r="AX15" s="14">
        <f>L48-SUM(L39:L41)*Q14</f>
        <v>-6.6999999717154424E-6</v>
      </c>
      <c r="AY15" s="14">
        <f>L49-SUM(L43:L45)*Q14</f>
        <v>2.3999999939405825E-5</v>
      </c>
    </row>
    <row r="16" spans="1:51" x14ac:dyDescent="0.25">
      <c r="D16" t="s">
        <v>16</v>
      </c>
      <c r="E16" t="s">
        <v>1</v>
      </c>
      <c r="F16" t="s">
        <v>44</v>
      </c>
      <c r="H16" s="5">
        <v>0</v>
      </c>
      <c r="I16" s="5">
        <v>0</v>
      </c>
      <c r="J16" s="5">
        <v>1</v>
      </c>
      <c r="AM16" s="16">
        <v>0</v>
      </c>
      <c r="AN16" s="17">
        <v>0</v>
      </c>
      <c r="AP16" s="9">
        <v>0</v>
      </c>
      <c r="AQ16" s="19">
        <v>0</v>
      </c>
      <c r="AR16" s="10">
        <v>0</v>
      </c>
      <c r="AT16" s="9">
        <v>0</v>
      </c>
      <c r="AU16" s="19">
        <v>0</v>
      </c>
      <c r="AV16" s="10">
        <v>0</v>
      </c>
      <c r="AX16" s="14">
        <f>M48-SUM(M39:M41)*Q14</f>
        <v>-3.1000000717540388E-6</v>
      </c>
      <c r="AY16" s="14">
        <f>M49-SUM(M43:M45)*Q14</f>
        <v>1.3599999988400668E-5</v>
      </c>
    </row>
    <row r="17" spans="1:40" x14ac:dyDescent="0.25">
      <c r="Q17" s="3" t="s">
        <v>45</v>
      </c>
      <c r="U17" s="3"/>
      <c r="V17" s="3"/>
      <c r="W17" s="3"/>
      <c r="X17" s="3"/>
      <c r="Y17" s="3"/>
      <c r="Z17" s="3"/>
      <c r="AA17" s="3"/>
      <c r="AM17" s="9">
        <v>0</v>
      </c>
      <c r="AN17" s="10">
        <v>0</v>
      </c>
    </row>
    <row r="18" spans="1:40" x14ac:dyDescent="0.25">
      <c r="F18" t="s">
        <v>46</v>
      </c>
      <c r="K18" s="20" t="s">
        <v>47</v>
      </c>
      <c r="L18" s="5">
        <v>2</v>
      </c>
      <c r="M18" s="15">
        <v>1</v>
      </c>
      <c r="N18" s="15">
        <v>1</v>
      </c>
      <c r="Q18" s="21">
        <f>SUM(_xlfn.ANCHORARRAY(L82),_xlfn.ANCHORARRAY(L86))</f>
        <v>880.24235995999993</v>
      </c>
      <c r="U18" s="3"/>
      <c r="V18" s="3"/>
      <c r="W18" s="3"/>
      <c r="X18" s="3"/>
      <c r="Y18" s="3"/>
      <c r="Z18" s="3"/>
      <c r="AA18" s="3"/>
    </row>
    <row r="19" spans="1:40" x14ac:dyDescent="0.25">
      <c r="F19" t="s">
        <v>48</v>
      </c>
      <c r="K19" s="20" t="s">
        <v>49</v>
      </c>
      <c r="L19" s="5">
        <v>0</v>
      </c>
      <c r="M19" s="5">
        <v>0.5</v>
      </c>
      <c r="N19" s="5">
        <v>0.5</v>
      </c>
      <c r="U19" s="3"/>
      <c r="V19" s="3"/>
      <c r="W19" s="3"/>
      <c r="X19" s="3"/>
      <c r="Y19" s="3"/>
      <c r="Z19" s="3"/>
      <c r="AA19" s="3"/>
    </row>
    <row r="21" spans="1:40" x14ac:dyDescent="0.25">
      <c r="B21" t="s">
        <v>5</v>
      </c>
      <c r="F21" t="s">
        <v>50</v>
      </c>
      <c r="K21" s="20" t="s">
        <v>51</v>
      </c>
      <c r="L21" s="5">
        <v>0</v>
      </c>
      <c r="M21" s="5">
        <v>0.9</v>
      </c>
    </row>
    <row r="22" spans="1:40" x14ac:dyDescent="0.25">
      <c r="B22" t="s">
        <v>6</v>
      </c>
      <c r="L22" s="5">
        <v>0.3</v>
      </c>
      <c r="M22" s="5">
        <v>0.9</v>
      </c>
    </row>
    <row r="23" spans="1:40" x14ac:dyDescent="0.25">
      <c r="B23" t="s">
        <v>7</v>
      </c>
      <c r="L23" s="5">
        <v>0.2</v>
      </c>
      <c r="M23" s="5">
        <v>0.9</v>
      </c>
      <c r="N23" s="20" t="s">
        <v>52</v>
      </c>
    </row>
    <row r="24" spans="1:40" x14ac:dyDescent="0.25">
      <c r="A24" t="s">
        <v>2</v>
      </c>
      <c r="N24" s="5">
        <v>1</v>
      </c>
    </row>
    <row r="25" spans="1:40" x14ac:dyDescent="0.25">
      <c r="A25" t="s">
        <v>3</v>
      </c>
      <c r="N25" s="5">
        <v>1</v>
      </c>
    </row>
    <row r="26" spans="1:40" ht="5.25" customHeight="1" x14ac:dyDescent="0.25"/>
    <row r="27" spans="1:40" x14ac:dyDescent="0.25">
      <c r="B27" t="s">
        <v>5</v>
      </c>
      <c r="F27" t="s">
        <v>53</v>
      </c>
      <c r="K27" s="20" t="s">
        <v>54</v>
      </c>
      <c r="L27" s="5">
        <v>0</v>
      </c>
      <c r="M27" s="5">
        <v>0.3</v>
      </c>
    </row>
    <row r="28" spans="1:40" x14ac:dyDescent="0.25">
      <c r="B28" t="s">
        <v>6</v>
      </c>
      <c r="L28" s="5">
        <v>0.2</v>
      </c>
      <c r="M28" s="5">
        <v>0.3</v>
      </c>
    </row>
    <row r="29" spans="1:40" x14ac:dyDescent="0.25">
      <c r="B29" t="s">
        <v>7</v>
      </c>
      <c r="L29" s="5">
        <v>0.1</v>
      </c>
      <c r="M29" s="5">
        <v>0.3</v>
      </c>
      <c r="N29" s="20" t="s">
        <v>55</v>
      </c>
    </row>
    <row r="30" spans="1:40" x14ac:dyDescent="0.25">
      <c r="A30" t="s">
        <v>2</v>
      </c>
      <c r="N30" s="5">
        <v>0.7</v>
      </c>
    </row>
    <row r="31" spans="1:40" x14ac:dyDescent="0.25">
      <c r="A31" t="s">
        <v>3</v>
      </c>
      <c r="N31" s="5">
        <v>0.7</v>
      </c>
    </row>
    <row r="32" spans="1:40" x14ac:dyDescent="0.25">
      <c r="N32" s="3" t="s">
        <v>56</v>
      </c>
      <c r="S32" s="3" t="s">
        <v>57</v>
      </c>
    </row>
    <row r="33" spans="1:52" x14ac:dyDescent="0.25">
      <c r="B33" t="s">
        <v>5</v>
      </c>
      <c r="F33" t="s">
        <v>58</v>
      </c>
      <c r="N33" s="22">
        <f>1/3</f>
        <v>0.33333333333333331</v>
      </c>
      <c r="S33" s="5">
        <v>0.2</v>
      </c>
    </row>
    <row r="34" spans="1:52" x14ac:dyDescent="0.25">
      <c r="B34" t="s">
        <v>6</v>
      </c>
      <c r="N34" s="22">
        <f>1/3</f>
        <v>0.33333333333333331</v>
      </c>
      <c r="S34" s="5">
        <v>0.5</v>
      </c>
    </row>
    <row r="35" spans="1:52" x14ac:dyDescent="0.25">
      <c r="B35" t="s">
        <v>7</v>
      </c>
      <c r="N35" s="22">
        <f>1/3</f>
        <v>0.33333333333333331</v>
      </c>
      <c r="S35" s="5">
        <v>0.3</v>
      </c>
    </row>
    <row r="38" spans="1:52" x14ac:dyDescent="0.25">
      <c r="H38" s="3" t="s">
        <v>59</v>
      </c>
      <c r="L38" s="3" t="s">
        <v>60</v>
      </c>
    </row>
    <row r="39" spans="1:52" x14ac:dyDescent="0.25">
      <c r="A39" t="s">
        <v>2</v>
      </c>
      <c r="B39" t="s">
        <v>5</v>
      </c>
      <c r="H39" s="23">
        <v>3.1147079000000002E-16</v>
      </c>
      <c r="I39" s="23">
        <v>0.75869335999999998</v>
      </c>
      <c r="L39" s="23">
        <v>0</v>
      </c>
      <c r="M39" s="23">
        <v>0.75869335999999998</v>
      </c>
      <c r="N39" s="24"/>
    </row>
    <row r="40" spans="1:52" x14ac:dyDescent="0.25">
      <c r="B40" t="s">
        <v>6</v>
      </c>
      <c r="H40" s="23">
        <v>1.3277133999999999</v>
      </c>
      <c r="I40" s="23">
        <v>0.25289779000000001</v>
      </c>
      <c r="L40" s="23">
        <v>1.3277133999999999</v>
      </c>
      <c r="M40" s="23">
        <v>0.25289779000000001</v>
      </c>
    </row>
    <row r="41" spans="1:52" x14ac:dyDescent="0.25">
      <c r="B41" t="s">
        <v>7</v>
      </c>
      <c r="H41" s="23">
        <v>0.77976818000000003</v>
      </c>
      <c r="I41" s="23">
        <v>0.25289779000000001</v>
      </c>
      <c r="L41" s="23">
        <v>0.77976818000000003</v>
      </c>
      <c r="M41" s="23">
        <v>0.25289779000000001</v>
      </c>
      <c r="AW41" s="25"/>
      <c r="AX41" s="25"/>
      <c r="AY41" s="25"/>
      <c r="AZ41" s="25"/>
    </row>
    <row r="42" spans="1:52" s="25" customFormat="1" ht="3.75" customHeight="1" x14ac:dyDescent="0.25">
      <c r="J42"/>
      <c r="N42"/>
      <c r="AW42"/>
      <c r="AX42"/>
      <c r="AY42"/>
      <c r="AZ42"/>
    </row>
    <row r="43" spans="1:52" x14ac:dyDescent="0.25">
      <c r="A43" t="s">
        <v>3</v>
      </c>
      <c r="B43" t="s">
        <v>5</v>
      </c>
      <c r="H43" s="23">
        <v>0</v>
      </c>
      <c r="I43" s="23">
        <v>1.1380399999999999</v>
      </c>
      <c r="L43" s="23">
        <v>0</v>
      </c>
      <c r="M43" s="23">
        <v>1.1380399999999999</v>
      </c>
      <c r="N43" s="24"/>
    </row>
    <row r="44" spans="1:52" x14ac:dyDescent="0.25">
      <c r="B44" t="s">
        <v>6</v>
      </c>
      <c r="H44" s="23">
        <v>1.9915700999999999</v>
      </c>
      <c r="I44" s="23">
        <v>0.37934667999999999</v>
      </c>
      <c r="L44" s="23">
        <v>1.9915700999999999</v>
      </c>
      <c r="M44" s="23">
        <v>0.37934667999999999</v>
      </c>
    </row>
    <row r="45" spans="1:52" x14ac:dyDescent="0.25">
      <c r="B45" t="s">
        <v>7</v>
      </c>
      <c r="H45" s="23">
        <v>1.1696523000000001</v>
      </c>
      <c r="I45" s="23">
        <v>0.37934667999999999</v>
      </c>
      <c r="L45" s="23">
        <v>1.1696523000000001</v>
      </c>
      <c r="M45" s="23">
        <v>0.37934667999999999</v>
      </c>
    </row>
    <row r="47" spans="1:52" x14ac:dyDescent="0.25">
      <c r="H47" s="3" t="s">
        <v>61</v>
      </c>
      <c r="L47" s="3" t="s">
        <v>62</v>
      </c>
    </row>
    <row r="48" spans="1:52" x14ac:dyDescent="0.25">
      <c r="A48" t="s">
        <v>2</v>
      </c>
      <c r="H48" s="26">
        <v>769.23077000000001</v>
      </c>
      <c r="I48" s="26">
        <v>461.53845999999999</v>
      </c>
      <c r="J48" s="26">
        <v>230.76922999999999</v>
      </c>
      <c r="L48" s="26">
        <v>769.23077000000001</v>
      </c>
      <c r="M48" s="26">
        <v>461.53845999999999</v>
      </c>
      <c r="N48" s="26">
        <v>230.76922999999999</v>
      </c>
    </row>
    <row r="49" spans="1:14" x14ac:dyDescent="0.25">
      <c r="A49" t="s">
        <v>3</v>
      </c>
      <c r="H49" s="26">
        <v>1153.8462</v>
      </c>
      <c r="I49" s="26">
        <v>692.30768999999998</v>
      </c>
      <c r="J49" s="26">
        <v>346.15384999999998</v>
      </c>
      <c r="L49" s="26">
        <v>1153.8462</v>
      </c>
      <c r="M49" s="26">
        <v>692.30768999999998</v>
      </c>
      <c r="N49" s="26">
        <v>346.15384999999998</v>
      </c>
    </row>
    <row r="51" spans="1:14" x14ac:dyDescent="0.25">
      <c r="L51" s="3" t="s">
        <v>63</v>
      </c>
    </row>
    <row r="52" spans="1:14" x14ac:dyDescent="0.25">
      <c r="A52" t="s">
        <v>2</v>
      </c>
      <c r="B52" t="s">
        <v>5</v>
      </c>
      <c r="L52" s="5">
        <f t="array" ref="L52:M54">MMULT(L21:M23,L78:M78*_xlfn.MUNIT(2))</f>
        <v>0</v>
      </c>
      <c r="M52" s="5">
        <v>0.75869335800000004</v>
      </c>
    </row>
    <row r="53" spans="1:14" x14ac:dyDescent="0.25">
      <c r="B53" t="s">
        <v>6</v>
      </c>
      <c r="L53" s="5">
        <v>1.9915700699999999</v>
      </c>
      <c r="M53" s="5">
        <v>0.75869335800000004</v>
      </c>
    </row>
    <row r="54" spans="1:14" x14ac:dyDescent="0.25">
      <c r="B54" t="s">
        <v>7</v>
      </c>
      <c r="L54" s="5">
        <v>1.3277133800000001</v>
      </c>
      <c r="M54" s="5">
        <v>0.75869335800000004</v>
      </c>
    </row>
    <row r="55" spans="1:14" ht="3.75" customHeight="1" x14ac:dyDescent="0.25"/>
    <row r="56" spans="1:14" x14ac:dyDescent="0.25">
      <c r="A56" t="s">
        <v>3</v>
      </c>
      <c r="B56" t="s">
        <v>5</v>
      </c>
      <c r="L56" s="5">
        <f t="array" ref="L56:M58">MMULT(L21:M23,L79:M79*_xlfn.MUNIT(2))</f>
        <v>0</v>
      </c>
      <c r="M56" s="5">
        <v>1.1380400369999999</v>
      </c>
      <c r="N56" s="27"/>
    </row>
    <row r="57" spans="1:14" x14ac:dyDescent="0.25">
      <c r="B57" t="s">
        <v>6</v>
      </c>
      <c r="L57" s="5">
        <v>1.9915700699999999</v>
      </c>
      <c r="M57" s="5">
        <v>1.1380400369999999</v>
      </c>
    </row>
    <row r="58" spans="1:14" x14ac:dyDescent="0.25">
      <c r="B58" t="s">
        <v>7</v>
      </c>
      <c r="L58" s="5">
        <v>1.3277133800000001</v>
      </c>
      <c r="M58" s="5">
        <v>1.1380400369999999</v>
      </c>
      <c r="N58" s="3" t="s">
        <v>64</v>
      </c>
    </row>
    <row r="59" spans="1:14" x14ac:dyDescent="0.25">
      <c r="A59" t="s">
        <v>2</v>
      </c>
      <c r="N59" s="28" cm="1">
        <f t="array" ref="N59:N60">N24:N25*N78:N79*Q14*S14</f>
        <v>329.67032504999997</v>
      </c>
    </row>
    <row r="60" spans="1:14" x14ac:dyDescent="0.25">
      <c r="A60" t="s">
        <v>3</v>
      </c>
      <c r="N60" s="28">
        <v>346.15384184999994</v>
      </c>
    </row>
    <row r="62" spans="1:14" x14ac:dyDescent="0.25">
      <c r="L62" s="3" t="s">
        <v>65</v>
      </c>
    </row>
    <row r="63" spans="1:14" x14ac:dyDescent="0.25">
      <c r="A63" t="s">
        <v>2</v>
      </c>
      <c r="B63" t="s">
        <v>5</v>
      </c>
      <c r="L63" s="5">
        <f t="array" ref="L63:M65">MMULT(L27:M29,L78:M78*_xlfn.MUNIT(2))</f>
        <v>0</v>
      </c>
      <c r="M63" s="5">
        <v>0.25289778599999996</v>
      </c>
    </row>
    <row r="64" spans="1:14" x14ac:dyDescent="0.25">
      <c r="B64" t="s">
        <v>6</v>
      </c>
      <c r="L64" s="5">
        <v>1.3277133800000001</v>
      </c>
      <c r="M64" s="5">
        <v>0.25289778599999996</v>
      </c>
    </row>
    <row r="65" spans="1:17" x14ac:dyDescent="0.25">
      <c r="B65" t="s">
        <v>7</v>
      </c>
      <c r="L65" s="5">
        <v>0.66385669000000003</v>
      </c>
      <c r="M65" s="5">
        <v>0.25289778599999996</v>
      </c>
    </row>
    <row r="66" spans="1:17" ht="3.75" customHeight="1" x14ac:dyDescent="0.25"/>
    <row r="67" spans="1:17" x14ac:dyDescent="0.25">
      <c r="A67" t="s">
        <v>3</v>
      </c>
      <c r="B67" t="s">
        <v>5</v>
      </c>
      <c r="L67" s="5">
        <f t="array" ref="L67:M69">MMULT(L27:M29,L79:M79*_xlfn.MUNIT(2))</f>
        <v>0</v>
      </c>
      <c r="M67" s="5">
        <v>0.37934667899999996</v>
      </c>
    </row>
    <row r="68" spans="1:17" x14ac:dyDescent="0.25">
      <c r="B68" t="s">
        <v>6</v>
      </c>
      <c r="L68" s="5">
        <v>1.3277133800000001</v>
      </c>
      <c r="M68" s="5">
        <v>0.37934667899999996</v>
      </c>
    </row>
    <row r="69" spans="1:17" x14ac:dyDescent="0.25">
      <c r="B69" t="s">
        <v>7</v>
      </c>
      <c r="L69" s="5">
        <v>0.66385669000000003</v>
      </c>
      <c r="M69" s="5">
        <v>0.37934667899999996</v>
      </c>
      <c r="N69" s="3" t="s">
        <v>66</v>
      </c>
    </row>
    <row r="70" spans="1:17" x14ac:dyDescent="0.25">
      <c r="N70" s="28" cm="1">
        <f t="array" ref="N70:N71">N30:N31*N78:N79*Q14*S14</f>
        <v>230.76922753499997</v>
      </c>
    </row>
    <row r="71" spans="1:17" x14ac:dyDescent="0.25">
      <c r="N71" s="28">
        <v>242.30768929499993</v>
      </c>
    </row>
    <row r="73" spans="1:17" x14ac:dyDescent="0.25">
      <c r="L73" s="3" t="s">
        <v>67</v>
      </c>
      <c r="P73" s="3" t="s">
        <v>68</v>
      </c>
    </row>
    <row r="74" spans="1:17" x14ac:dyDescent="0.25">
      <c r="A74" t="s">
        <v>2</v>
      </c>
      <c r="L74" s="29">
        <v>6.6385668999999998</v>
      </c>
      <c r="M74" s="29">
        <v>0.84299261999999997</v>
      </c>
      <c r="N74" s="29">
        <v>0.30106878999999998</v>
      </c>
      <c r="P74" s="4">
        <v>1</v>
      </c>
      <c r="Q74" s="4">
        <v>0</v>
      </c>
    </row>
    <row r="75" spans="1:17" x14ac:dyDescent="0.25">
      <c r="A75" t="s">
        <v>3</v>
      </c>
      <c r="L75" s="29">
        <v>0</v>
      </c>
      <c r="M75" s="29">
        <v>0.42149630999999999</v>
      </c>
      <c r="N75" s="29">
        <v>1.505344E-2</v>
      </c>
      <c r="P75" s="4">
        <v>1</v>
      </c>
      <c r="Q75" s="4">
        <v>1</v>
      </c>
    </row>
    <row r="77" spans="1:17" x14ac:dyDescent="0.25">
      <c r="L77" s="3" t="s">
        <v>69</v>
      </c>
    </row>
    <row r="78" spans="1:17" x14ac:dyDescent="0.25">
      <c r="A78" t="s">
        <v>2</v>
      </c>
      <c r="L78" s="30" cm="1">
        <f t="array" ref="L78:N79">MMULT(P74:Q75,L74:N75)</f>
        <v>6.6385668999999998</v>
      </c>
      <c r="M78" s="30">
        <v>0.84299261999999997</v>
      </c>
      <c r="N78" s="30">
        <v>0.30106878999999998</v>
      </c>
    </row>
    <row r="79" spans="1:17" x14ac:dyDescent="0.25">
      <c r="A79" t="s">
        <v>3</v>
      </c>
      <c r="L79" s="30">
        <v>6.6385668999999998</v>
      </c>
      <c r="M79" s="30">
        <v>1.26448893</v>
      </c>
      <c r="N79" s="30">
        <v>0.31612222999999995</v>
      </c>
    </row>
    <row r="81" spans="1:14" x14ac:dyDescent="0.25">
      <c r="L81" s="3" t="s">
        <v>70</v>
      </c>
    </row>
    <row r="82" spans="1:14" x14ac:dyDescent="0.25">
      <c r="A82" t="s">
        <v>2</v>
      </c>
      <c r="L82" s="6" cm="1">
        <f t="array" ref="L82:N83">MMULT(L74:N75,L18:N18*_xlfn.MUNIT(3))</f>
        <v>13.2771338</v>
      </c>
      <c r="M82" s="6">
        <v>0.84299261999999997</v>
      </c>
      <c r="N82" s="6">
        <v>0.30106878999999998</v>
      </c>
    </row>
    <row r="83" spans="1:14" x14ac:dyDescent="0.25">
      <c r="A83" t="s">
        <v>3</v>
      </c>
      <c r="L83" s="6">
        <v>0</v>
      </c>
      <c r="M83" s="6">
        <v>0.42149630999999999</v>
      </c>
      <c r="N83" s="6">
        <v>1.505344E-2</v>
      </c>
    </row>
    <row r="85" spans="1:14" x14ac:dyDescent="0.25">
      <c r="L85" s="3" t="s">
        <v>71</v>
      </c>
    </row>
    <row r="86" spans="1:14" x14ac:dyDescent="0.25">
      <c r="A86" t="s">
        <v>2</v>
      </c>
      <c r="L86" s="6" cm="1">
        <f t="array" ref="L86:N87">MMULT(L48:N49,L19:N19*_xlfn.MUNIT(3))</f>
        <v>0</v>
      </c>
      <c r="M86" s="6">
        <v>230.76922999999999</v>
      </c>
      <c r="N86" s="6">
        <v>115.384615</v>
      </c>
    </row>
    <row r="87" spans="1:14" x14ac:dyDescent="0.25">
      <c r="A87" t="s">
        <v>3</v>
      </c>
      <c r="L87" s="6">
        <v>0</v>
      </c>
      <c r="M87" s="6">
        <v>346.15384499999999</v>
      </c>
      <c r="N87" s="6">
        <v>173.07692499999999</v>
      </c>
    </row>
    <row r="89" spans="1:14" x14ac:dyDescent="0.25">
      <c r="L89" s="3" t="s">
        <v>72</v>
      </c>
    </row>
    <row r="90" spans="1:14" x14ac:dyDescent="0.25">
      <c r="A90" t="s">
        <v>2</v>
      </c>
      <c r="C90" t="s">
        <v>12</v>
      </c>
      <c r="L90" s="6" cm="1">
        <f t="array" ref="L90:N91">MMULT(L10:N11,_xlfn.MUNIT(3)*L48:N48)</f>
        <v>0</v>
      </c>
      <c r="M90" s="6">
        <v>0</v>
      </c>
      <c r="N90" s="6">
        <v>230.76922999999999</v>
      </c>
    </row>
    <row r="91" spans="1:14" x14ac:dyDescent="0.25">
      <c r="C91" t="s">
        <v>35</v>
      </c>
      <c r="L91" s="6">
        <v>0</v>
      </c>
      <c r="M91" s="6">
        <v>230.76922999999999</v>
      </c>
      <c r="N91" s="6">
        <v>0</v>
      </c>
    </row>
    <row r="92" spans="1:14" x14ac:dyDescent="0.25">
      <c r="A92" t="s">
        <v>3</v>
      </c>
      <c r="C92" t="s">
        <v>12</v>
      </c>
      <c r="L92" s="6" cm="1">
        <f t="array" ref="L92:N93">MMULT(L10:N11,_xlfn.MUNIT(3)*L49:N49)</f>
        <v>0</v>
      </c>
      <c r="M92" s="6">
        <v>0</v>
      </c>
      <c r="N92" s="6">
        <v>346.15384999999998</v>
      </c>
    </row>
    <row r="93" spans="1:14" x14ac:dyDescent="0.25">
      <c r="C93" t="s">
        <v>35</v>
      </c>
      <c r="L93" s="6">
        <v>0</v>
      </c>
      <c r="M93" s="6">
        <v>346.15384499999999</v>
      </c>
      <c r="N93" s="6">
        <v>0</v>
      </c>
    </row>
  </sheetData>
  <hyperlinks>
    <hyperlink ref="A1" location="Contents!A1" display="Back to contents" xr:uid="{32528CED-9D25-4E3B-A5BA-2D4E13C99E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70AE8-2FB0-433C-AC1F-334547666420}">
  <sheetPr>
    <tabColor theme="8" tint="0.59999389629810485"/>
  </sheetPr>
  <dimension ref="A1:AV71"/>
  <sheetViews>
    <sheetView showGridLines="0" tabSelected="1" zoomScale="85" zoomScaleNormal="85" workbookViewId="0">
      <pane xSplit="5" ySplit="6" topLeftCell="F7" activePane="bottomRight" state="frozen"/>
      <selection pane="topRight"/>
      <selection pane="bottomLeft"/>
      <selection pane="bottomRight" activeCell="S12" sqref="S12:U13"/>
    </sheetView>
  </sheetViews>
  <sheetFormatPr defaultRowHeight="15" x14ac:dyDescent="0.25"/>
  <cols>
    <col min="1" max="1" width="4.85546875" bestFit="1" customWidth="1"/>
    <col min="2" max="2" width="6" bestFit="1" customWidth="1"/>
    <col min="3" max="3" width="4.7109375" customWidth="1"/>
    <col min="4" max="4" width="5.7109375" bestFit="1" customWidth="1"/>
    <col min="5" max="5" width="15.85546875" bestFit="1" customWidth="1"/>
    <col min="6" max="6" width="1.5703125" customWidth="1"/>
    <col min="7" max="7" width="9.7109375" bestFit="1" customWidth="1"/>
    <col min="8" max="8" width="10.140625" bestFit="1" customWidth="1"/>
    <col min="9" max="9" width="13.5703125" bestFit="1" customWidth="1"/>
    <col min="10" max="10" width="8.85546875" bestFit="1" customWidth="1"/>
    <col min="11" max="11" width="13" customWidth="1"/>
    <col min="12" max="12" width="10.140625" bestFit="1" customWidth="1"/>
    <col min="13" max="13" width="10.140625" customWidth="1"/>
    <col min="14" max="14" width="3.28515625" customWidth="1"/>
    <col min="15" max="15" width="13" bestFit="1" customWidth="1"/>
    <col min="17" max="17" width="3.28515625" customWidth="1"/>
    <col min="22" max="22" width="1.7109375" customWidth="1"/>
    <col min="28" max="28" width="11.140625" customWidth="1"/>
    <col min="29" max="29" width="1.7109375" customWidth="1"/>
    <col min="33" max="33" width="1.28515625" customWidth="1"/>
    <col min="37" max="37" width="10.28515625" customWidth="1"/>
    <col min="41" max="41" width="1.42578125" customWidth="1"/>
  </cols>
  <sheetData>
    <row r="1" spans="1:47" x14ac:dyDescent="0.25">
      <c r="A1" s="1"/>
    </row>
    <row r="2" spans="1:47" x14ac:dyDescent="0.25">
      <c r="A2" s="2" t="s">
        <v>1</v>
      </c>
      <c r="B2" s="2"/>
      <c r="C2" s="2"/>
      <c r="D2" s="2"/>
      <c r="E2" s="2"/>
      <c r="F2" s="2"/>
      <c r="O2" t="s">
        <v>2</v>
      </c>
      <c r="P2" t="s">
        <v>3</v>
      </c>
      <c r="S2" t="s">
        <v>2</v>
      </c>
      <c r="W2" t="s">
        <v>3</v>
      </c>
      <c r="AA2" t="s">
        <v>2</v>
      </c>
      <c r="AB2" t="s">
        <v>3</v>
      </c>
      <c r="AD2" t="s">
        <v>2</v>
      </c>
      <c r="AH2" t="s">
        <v>3</v>
      </c>
      <c r="AL2" t="s">
        <v>2</v>
      </c>
      <c r="AP2" t="s">
        <v>3</v>
      </c>
      <c r="AT2" t="s">
        <v>2</v>
      </c>
      <c r="AU2" t="s">
        <v>3</v>
      </c>
    </row>
    <row r="3" spans="1:47" x14ac:dyDescent="0.25">
      <c r="A3" s="2"/>
      <c r="B3" s="2" t="s">
        <v>4</v>
      </c>
      <c r="C3" s="2"/>
      <c r="D3" s="2"/>
      <c r="E3" s="2"/>
      <c r="F3" s="2"/>
      <c r="S3" t="s">
        <v>5</v>
      </c>
      <c r="T3" t="s">
        <v>6</v>
      </c>
      <c r="U3" t="s">
        <v>7</v>
      </c>
      <c r="W3" t="s">
        <v>5</v>
      </c>
      <c r="X3" t="s">
        <v>6</v>
      </c>
      <c r="Y3" t="s">
        <v>7</v>
      </c>
      <c r="AD3" t="s">
        <v>5</v>
      </c>
      <c r="AE3" t="s">
        <v>6</v>
      </c>
      <c r="AF3" t="s">
        <v>7</v>
      </c>
      <c r="AH3" t="s">
        <v>5</v>
      </c>
      <c r="AI3" t="s">
        <v>6</v>
      </c>
      <c r="AJ3" t="s">
        <v>7</v>
      </c>
      <c r="AL3" t="s">
        <v>5</v>
      </c>
      <c r="AM3" t="s">
        <v>6</v>
      </c>
      <c r="AN3" t="s">
        <v>7</v>
      </c>
      <c r="AP3" t="s">
        <v>5</v>
      </c>
      <c r="AQ3" t="s">
        <v>6</v>
      </c>
      <c r="AR3" t="s">
        <v>7</v>
      </c>
    </row>
    <row r="4" spans="1:47" x14ac:dyDescent="0.25">
      <c r="A4" s="2"/>
      <c r="B4" s="2"/>
      <c r="C4" s="2" t="s">
        <v>8</v>
      </c>
      <c r="D4" s="2"/>
      <c r="E4" s="2"/>
      <c r="F4" s="2"/>
      <c r="G4" t="s">
        <v>9</v>
      </c>
      <c r="H4" t="s">
        <v>10</v>
      </c>
      <c r="I4" t="s">
        <v>11</v>
      </c>
      <c r="R4" t="s">
        <v>12</v>
      </c>
    </row>
    <row r="5" spans="1:47" x14ac:dyDescent="0.25">
      <c r="A5" s="2"/>
      <c r="B5" s="2"/>
      <c r="C5" s="2"/>
      <c r="D5" s="2" t="s">
        <v>13</v>
      </c>
      <c r="E5" s="2"/>
      <c r="F5" s="2"/>
      <c r="K5" t="s">
        <v>14</v>
      </c>
      <c r="L5" t="s">
        <v>15</v>
      </c>
      <c r="M5" t="s">
        <v>16</v>
      </c>
      <c r="O5" t="s">
        <v>17</v>
      </c>
      <c r="P5" t="s">
        <v>17</v>
      </c>
      <c r="R5" t="s">
        <v>17</v>
      </c>
    </row>
    <row r="6" spans="1:47" x14ac:dyDescent="0.25">
      <c r="A6" s="2"/>
      <c r="B6" s="2"/>
      <c r="C6" s="2"/>
      <c r="D6" s="2"/>
      <c r="E6" s="2" t="s">
        <v>20</v>
      </c>
      <c r="F6" s="2"/>
      <c r="G6" t="s">
        <v>21</v>
      </c>
      <c r="H6" t="s">
        <v>22</v>
      </c>
      <c r="I6" t="s">
        <v>23</v>
      </c>
      <c r="O6" t="s">
        <v>24</v>
      </c>
    </row>
    <row r="7" spans="1:47" x14ac:dyDescent="0.25">
      <c r="A7" s="2"/>
      <c r="B7" s="2"/>
      <c r="C7" s="2"/>
      <c r="D7" s="2"/>
      <c r="E7" s="2"/>
      <c r="F7" s="2"/>
    </row>
    <row r="8" spans="1:47" ht="15.75" thickBot="1" x14ac:dyDescent="0.3">
      <c r="A8" s="2"/>
      <c r="B8" s="2"/>
      <c r="C8" s="2"/>
      <c r="D8" s="2"/>
      <c r="E8" s="2"/>
      <c r="F8" s="2"/>
      <c r="G8" s="3" t="s">
        <v>25</v>
      </c>
      <c r="K8" s="3" t="s">
        <v>26</v>
      </c>
      <c r="O8" s="3" t="s">
        <v>27</v>
      </c>
      <c r="S8" s="3" t="s">
        <v>28</v>
      </c>
      <c r="AA8" s="3" t="s">
        <v>78</v>
      </c>
      <c r="AD8" s="3" t="s">
        <v>30</v>
      </c>
      <c r="AL8" s="3" t="s">
        <v>83</v>
      </c>
      <c r="AT8" s="3" t="s">
        <v>33</v>
      </c>
    </row>
    <row r="9" spans="1:47" x14ac:dyDescent="0.25">
      <c r="C9" t="s">
        <v>12</v>
      </c>
      <c r="E9" t="s">
        <v>34</v>
      </c>
      <c r="G9" s="4">
        <v>1</v>
      </c>
      <c r="H9" s="4">
        <v>1</v>
      </c>
      <c r="I9" s="4">
        <v>0</v>
      </c>
      <c r="K9" s="5">
        <v>0</v>
      </c>
      <c r="L9" s="5">
        <v>0</v>
      </c>
      <c r="M9" s="5">
        <v>1</v>
      </c>
      <c r="O9" s="5">
        <v>1000</v>
      </c>
      <c r="P9" s="5">
        <v>1500</v>
      </c>
      <c r="S9" s="45" cm="1">
        <f t="array" ref="S9:U10">O9:O10/O13*S12:U13</f>
        <v>0.54794520547945202</v>
      </c>
      <c r="T9" s="46">
        <v>1.3698630136986301</v>
      </c>
      <c r="U9" s="46">
        <v>0.82191780821917804</v>
      </c>
      <c r="V9" s="18"/>
      <c r="W9" s="46" cm="1">
        <f t="array" ref="W9:Y10">P9:P10/O13*S12:U13</f>
        <v>0.82191780821917826</v>
      </c>
      <c r="X9" s="46">
        <v>2.0547945205479454</v>
      </c>
      <c r="Y9" s="47">
        <v>1.2328767123287672</v>
      </c>
      <c r="AA9" s="34" cm="1">
        <f t="array" ref="AA9:AB10">MMULT(G9:I10,TRANSPOSE(G44:I45))</f>
        <v>1283.333324515</v>
      </c>
      <c r="AB9" s="34">
        <v>1866.6666479999999</v>
      </c>
      <c r="AC9" s="3"/>
      <c r="AD9" s="45" cm="1">
        <f t="array" ref="AD9:AF10">MMULT(G9:I10,TRANSPOSE(G35:I37))</f>
        <v>1.1872145999999999</v>
      </c>
      <c r="AE9" s="46">
        <v>1.461187201</v>
      </c>
      <c r="AF9" s="46">
        <v>0.86757991000000001</v>
      </c>
      <c r="AG9" s="18"/>
      <c r="AH9" s="46" cm="1">
        <f t="array" ref="AH9:AJ10">MMULT(G9:I10,TRANSPOSE(G39:I41))</f>
        <v>1.7351597999999999</v>
      </c>
      <c r="AI9" s="46">
        <v>2.1004565999999998</v>
      </c>
      <c r="AJ9" s="47">
        <v>1.2785388</v>
      </c>
      <c r="AL9" s="39" cm="1">
        <f t="array" ref="AL9:AN10">AD9:AF10-MMULT(K9:M10,TRANSPOSE(K35:M37))-S9:U10</f>
        <v>-1.5479452164512963E-8</v>
      </c>
      <c r="AM9" s="40">
        <v>-1.3698630008107671E-8</v>
      </c>
      <c r="AN9" s="41">
        <v>1.7808219343606879E-9</v>
      </c>
      <c r="AP9" s="39" cm="1">
        <f t="array" ref="AP9:AR10">AH9:AJ10-MMULT(K9:M10,TRANSPOSE(K39:M41))-W9:Y10</f>
        <v>-1.8219178388179103E-8</v>
      </c>
      <c r="AQ9" s="40">
        <v>-2.0547945567273018E-8</v>
      </c>
      <c r="AR9" s="41">
        <v>-1.2328767118319206E-8</v>
      </c>
      <c r="AT9" s="34">
        <f>AA9-SUM(AD9:AF9)*O13</f>
        <v>0</v>
      </c>
      <c r="AU9" s="34">
        <f>AB9-SUM(AH9:AJ9)*O13</f>
        <v>0</v>
      </c>
    </row>
    <row r="10" spans="1:47" ht="15.75" thickBot="1" x14ac:dyDescent="0.3">
      <c r="C10" t="s">
        <v>35</v>
      </c>
      <c r="E10" t="s">
        <v>23</v>
      </c>
      <c r="G10" s="4">
        <v>0</v>
      </c>
      <c r="H10" s="4">
        <v>0</v>
      </c>
      <c r="I10" s="4">
        <v>1</v>
      </c>
      <c r="K10" s="5">
        <v>0</v>
      </c>
      <c r="L10" s="5">
        <v>0.5</v>
      </c>
      <c r="M10" s="5">
        <v>0</v>
      </c>
      <c r="O10" s="5">
        <v>50</v>
      </c>
      <c r="P10" s="5">
        <v>50</v>
      </c>
      <c r="S10" s="48">
        <v>4.5662100456621002E-2</v>
      </c>
      <c r="T10" s="49">
        <v>4.5662100456621002E-2</v>
      </c>
      <c r="U10" s="49">
        <v>4.5662100456621002E-2</v>
      </c>
      <c r="V10" s="19"/>
      <c r="W10" s="49">
        <v>4.5662100456621002E-2</v>
      </c>
      <c r="X10" s="49">
        <v>4.5662100456621002E-2</v>
      </c>
      <c r="Y10" s="50">
        <v>4.5662100456621002E-2</v>
      </c>
      <c r="AA10" s="34">
        <v>283.33333451499999</v>
      </c>
      <c r="AB10" s="34">
        <v>366.66666665000002</v>
      </c>
      <c r="AC10" s="3"/>
      <c r="AD10" s="48">
        <v>0.63926941000000004</v>
      </c>
      <c r="AE10" s="49">
        <v>9.1324200999999994E-2</v>
      </c>
      <c r="AF10" s="49">
        <v>4.5662099999999997E-2</v>
      </c>
      <c r="AG10" s="19"/>
      <c r="AH10" s="49">
        <v>0.91324201000000005</v>
      </c>
      <c r="AI10" s="49">
        <v>4.5662099999999997E-2</v>
      </c>
      <c r="AJ10" s="50">
        <v>4.5662099999999997E-2</v>
      </c>
      <c r="AL10" s="64">
        <v>9.5433790869847712E-9</v>
      </c>
      <c r="AM10" s="31">
        <v>4.337899484063712E-11</v>
      </c>
      <c r="AN10" s="65">
        <v>-4.5662100489618496E-10</v>
      </c>
      <c r="AP10" s="64">
        <v>9.5433790869847712E-9</v>
      </c>
      <c r="AQ10" s="31">
        <v>-4.5662100489618496E-10</v>
      </c>
      <c r="AR10" s="65">
        <v>-4.5662100489618496E-10</v>
      </c>
      <c r="AT10" s="34">
        <f>AA10-SUM(AD10:AF10)*O13</f>
        <v>0</v>
      </c>
      <c r="AU10" s="34">
        <f>AB10-SUM(AH10:AJ10)*O13</f>
        <v>0</v>
      </c>
    </row>
    <row r="11" spans="1:47" ht="15.75" thickBot="1" x14ac:dyDescent="0.3">
      <c r="S11" s="3" t="s">
        <v>76</v>
      </c>
    </row>
    <row r="12" spans="1:47" x14ac:dyDescent="0.25">
      <c r="G12" s="3" t="s">
        <v>36</v>
      </c>
      <c r="O12" s="35" t="s">
        <v>37</v>
      </c>
      <c r="P12" s="36" t="s">
        <v>38</v>
      </c>
      <c r="R12" t="s">
        <v>34</v>
      </c>
      <c r="S12" s="7">
        <v>0.2</v>
      </c>
      <c r="T12" s="18">
        <v>0.5</v>
      </c>
      <c r="U12" s="8">
        <v>0.3</v>
      </c>
    </row>
    <row r="13" spans="1:47" ht="15.75" thickBot="1" x14ac:dyDescent="0.3">
      <c r="D13" t="s">
        <v>14</v>
      </c>
      <c r="E13" t="s">
        <v>39</v>
      </c>
      <c r="G13" s="5">
        <v>1</v>
      </c>
      <c r="H13" s="5">
        <v>0</v>
      </c>
      <c r="I13" s="5">
        <v>0</v>
      </c>
      <c r="O13" s="37">
        <v>365</v>
      </c>
      <c r="P13" s="38">
        <v>3</v>
      </c>
      <c r="R13" t="s">
        <v>23</v>
      </c>
      <c r="S13" s="42">
        <f>1/3</f>
        <v>0.33333333333333331</v>
      </c>
      <c r="T13" s="43">
        <f t="shared" ref="T13:U13" si="0">1/3</f>
        <v>0.33333333333333331</v>
      </c>
      <c r="U13" s="44">
        <f t="shared" si="0"/>
        <v>0.33333333333333331</v>
      </c>
      <c r="AL13" s="3" t="s">
        <v>41</v>
      </c>
      <c r="AT13" s="3" t="s">
        <v>42</v>
      </c>
    </row>
    <row r="14" spans="1:47" x14ac:dyDescent="0.25">
      <c r="D14" t="s">
        <v>15</v>
      </c>
      <c r="E14" t="s">
        <v>43</v>
      </c>
      <c r="G14" s="5">
        <v>0</v>
      </c>
      <c r="H14" s="5">
        <v>1</v>
      </c>
      <c r="I14" s="5">
        <v>0</v>
      </c>
      <c r="AL14" s="66" cm="1">
        <f t="array" ref="AL14:AN16">TRANSPOSE(K35:M37)-MMULT(G13:I15,TRANSPOSE(G35:I37))</f>
        <v>0</v>
      </c>
      <c r="AM14" s="40">
        <v>0</v>
      </c>
      <c r="AN14" s="41">
        <v>0</v>
      </c>
      <c r="AP14" s="66" cm="1">
        <f t="array" ref="AP14:AR16">TRANSPOSE(K39:M41)-MMULT(G13:I15,TRANSPOSE(G39:I41))</f>
        <v>0</v>
      </c>
      <c r="AQ14" s="40">
        <v>0</v>
      </c>
      <c r="AR14" s="41">
        <v>0</v>
      </c>
      <c r="AT14" s="34">
        <f>K44-SUM(K35:K37)*O13</f>
        <v>0</v>
      </c>
      <c r="AU14" s="34">
        <f>K45-SUM(K39:K41)*O13</f>
        <v>0</v>
      </c>
    </row>
    <row r="15" spans="1:47" x14ac:dyDescent="0.25">
      <c r="D15" t="s">
        <v>16</v>
      </c>
      <c r="E15" t="s">
        <v>44</v>
      </c>
      <c r="G15" s="5">
        <v>0</v>
      </c>
      <c r="H15" s="5">
        <v>0</v>
      </c>
      <c r="I15" s="5">
        <v>1</v>
      </c>
      <c r="AL15" s="67">
        <v>0</v>
      </c>
      <c r="AM15">
        <v>0</v>
      </c>
      <c r="AN15" s="68">
        <v>0</v>
      </c>
      <c r="AP15" s="67">
        <v>0</v>
      </c>
      <c r="AQ15">
        <v>0</v>
      </c>
      <c r="AR15" s="68">
        <v>0</v>
      </c>
      <c r="AT15" s="34">
        <f>L44-SUM(L35:L37)*O13</f>
        <v>0</v>
      </c>
      <c r="AU15" s="34">
        <f>L45-SUM(L39:L41)*O13</f>
        <v>0</v>
      </c>
    </row>
    <row r="16" spans="1:47" ht="15.75" thickBot="1" x14ac:dyDescent="0.3">
      <c r="P16" s="3" t="s">
        <v>45</v>
      </c>
      <c r="T16" s="3"/>
      <c r="U16" s="3"/>
      <c r="V16" s="3"/>
      <c r="W16" s="3"/>
      <c r="X16" s="3"/>
      <c r="Y16" s="3"/>
      <c r="Z16" s="3"/>
      <c r="AL16" s="64">
        <v>0</v>
      </c>
      <c r="AM16" s="31">
        <v>0</v>
      </c>
      <c r="AN16" s="65">
        <v>0</v>
      </c>
      <c r="AP16" s="64">
        <v>0</v>
      </c>
      <c r="AQ16" s="31">
        <v>0</v>
      </c>
      <c r="AR16" s="65">
        <v>0</v>
      </c>
      <c r="AT16" s="69">
        <f>M44-SUM(M35:M37)*O13</f>
        <v>0</v>
      </c>
      <c r="AU16" s="69">
        <f>M45-SUM(M39:M41)*O13</f>
        <v>0</v>
      </c>
    </row>
    <row r="17" spans="1:26" x14ac:dyDescent="0.25">
      <c r="P17" s="21">
        <f>SUM(_xlfn.ANCHORARRAY(K48))</f>
        <v>2131.4999809516498</v>
      </c>
      <c r="T17" s="3"/>
      <c r="U17" s="3"/>
      <c r="V17" s="3"/>
      <c r="W17" s="3"/>
      <c r="X17" s="3"/>
      <c r="Y17" s="3"/>
      <c r="Z17" s="3"/>
    </row>
    <row r="18" spans="1:26" x14ac:dyDescent="0.25">
      <c r="E18" t="s">
        <v>48</v>
      </c>
      <c r="J18" s="20" t="s">
        <v>49</v>
      </c>
      <c r="K18" s="5">
        <v>0.5</v>
      </c>
      <c r="L18" s="5">
        <v>1</v>
      </c>
      <c r="M18" s="5">
        <v>0.01</v>
      </c>
      <c r="T18" s="3"/>
      <c r="U18" s="3"/>
      <c r="V18" s="3"/>
      <c r="W18" s="3"/>
      <c r="X18" s="3"/>
      <c r="Y18" s="3"/>
      <c r="Z18" s="3"/>
    </row>
    <row r="20" spans="1:26" x14ac:dyDescent="0.25">
      <c r="A20" t="s">
        <v>2</v>
      </c>
      <c r="E20" t="s">
        <v>73</v>
      </c>
      <c r="J20" s="32" t="s">
        <v>74</v>
      </c>
      <c r="K20" s="5">
        <v>5000</v>
      </c>
      <c r="L20" s="5">
        <v>2500</v>
      </c>
      <c r="M20" s="5">
        <v>2500</v>
      </c>
    </row>
    <row r="21" spans="1:26" ht="3" customHeight="1" x14ac:dyDescent="0.25">
      <c r="J21" s="32"/>
      <c r="K21" s="33"/>
      <c r="L21" s="33"/>
      <c r="M21" s="33"/>
      <c r="N21" s="33"/>
    </row>
    <row r="22" spans="1:26" x14ac:dyDescent="0.25">
      <c r="A22" t="s">
        <v>3</v>
      </c>
      <c r="J22" s="32" t="s">
        <v>75</v>
      </c>
      <c r="K22" s="5">
        <v>8000</v>
      </c>
      <c r="L22" s="5">
        <v>5000</v>
      </c>
      <c r="M22" s="5">
        <v>5000</v>
      </c>
    </row>
    <row r="24" spans="1:26" x14ac:dyDescent="0.25">
      <c r="B24" t="s">
        <v>5</v>
      </c>
      <c r="E24" t="s">
        <v>50</v>
      </c>
      <c r="J24" s="20" t="s">
        <v>51</v>
      </c>
      <c r="K24" s="5">
        <v>0</v>
      </c>
      <c r="L24" s="5">
        <v>0.9</v>
      </c>
      <c r="M24" s="5">
        <v>1</v>
      </c>
    </row>
    <row r="25" spans="1:26" x14ac:dyDescent="0.25">
      <c r="B25" t="s">
        <v>6</v>
      </c>
      <c r="K25" s="5">
        <v>0.3</v>
      </c>
      <c r="L25" s="5">
        <v>0.9</v>
      </c>
      <c r="M25" s="5">
        <v>1</v>
      </c>
    </row>
    <row r="26" spans="1:26" x14ac:dyDescent="0.25">
      <c r="B26" t="s">
        <v>7</v>
      </c>
      <c r="K26" s="5">
        <v>0.2</v>
      </c>
      <c r="L26" s="5">
        <v>0.9</v>
      </c>
      <c r="M26" s="5">
        <v>1</v>
      </c>
    </row>
    <row r="27" spans="1:26" x14ac:dyDescent="0.25">
      <c r="A27" t="s">
        <v>2</v>
      </c>
    </row>
    <row r="28" spans="1:26" x14ac:dyDescent="0.25">
      <c r="A28" t="s">
        <v>3</v>
      </c>
      <c r="M28" s="20"/>
    </row>
    <row r="29" spans="1:26" ht="5.25" customHeight="1" x14ac:dyDescent="0.25"/>
    <row r="30" spans="1:26" x14ac:dyDescent="0.25">
      <c r="B30" t="s">
        <v>5</v>
      </c>
      <c r="E30" t="s">
        <v>53</v>
      </c>
      <c r="J30" s="20" t="s">
        <v>54</v>
      </c>
      <c r="K30" s="5">
        <v>0</v>
      </c>
      <c r="L30" s="5">
        <v>0</v>
      </c>
      <c r="M30" s="5">
        <v>0</v>
      </c>
    </row>
    <row r="31" spans="1:26" x14ac:dyDescent="0.25">
      <c r="B31" t="s">
        <v>6</v>
      </c>
      <c r="K31" s="5">
        <v>0</v>
      </c>
      <c r="L31" s="5">
        <v>0</v>
      </c>
      <c r="M31" s="5">
        <v>0</v>
      </c>
    </row>
    <row r="32" spans="1:26" x14ac:dyDescent="0.25">
      <c r="B32" t="s">
        <v>7</v>
      </c>
      <c r="K32" s="5">
        <v>0</v>
      </c>
      <c r="L32" s="5">
        <v>0</v>
      </c>
      <c r="M32" s="5">
        <v>0</v>
      </c>
    </row>
    <row r="34" spans="1:48" x14ac:dyDescent="0.25">
      <c r="G34" s="3" t="s">
        <v>59</v>
      </c>
      <c r="K34" s="3" t="s">
        <v>60</v>
      </c>
    </row>
    <row r="35" spans="1:48" x14ac:dyDescent="0.25">
      <c r="A35" t="s">
        <v>2</v>
      </c>
      <c r="B35" t="s">
        <v>5</v>
      </c>
      <c r="G35" s="51">
        <v>0</v>
      </c>
      <c r="H35" s="52">
        <v>1.1872145999999999</v>
      </c>
      <c r="I35" s="53">
        <v>0.63926941000000004</v>
      </c>
      <c r="K35" s="51">
        <v>0</v>
      </c>
      <c r="L35" s="52">
        <v>1.1872145999999999</v>
      </c>
      <c r="M35" s="61">
        <v>0.63926941000000004</v>
      </c>
    </row>
    <row r="36" spans="1:48" x14ac:dyDescent="0.25">
      <c r="B36" t="s">
        <v>6</v>
      </c>
      <c r="G36" s="54">
        <v>1.3698630000000001</v>
      </c>
      <c r="H36" s="55">
        <v>9.1324200999999994E-2</v>
      </c>
      <c r="I36" s="56">
        <v>9.1324200999999994E-2</v>
      </c>
      <c r="K36" s="54">
        <v>1.3698630000000001</v>
      </c>
      <c r="L36" s="55">
        <v>9.1324200999999994E-2</v>
      </c>
      <c r="M36" s="62">
        <v>9.1324200999999994E-2</v>
      </c>
    </row>
    <row r="37" spans="1:48" x14ac:dyDescent="0.25">
      <c r="B37" t="s">
        <v>7</v>
      </c>
      <c r="G37" s="54">
        <v>0.86757991000000001</v>
      </c>
      <c r="H37" s="55">
        <v>0</v>
      </c>
      <c r="I37" s="56">
        <v>4.5662099999999997E-2</v>
      </c>
      <c r="K37" s="54">
        <v>0.86757991000000001</v>
      </c>
      <c r="L37" s="55">
        <v>0</v>
      </c>
      <c r="M37" s="62">
        <v>4.5662099999999997E-2</v>
      </c>
      <c r="AS37" s="25"/>
      <c r="AT37" s="25"/>
      <c r="AU37" s="25"/>
      <c r="AV37" s="25"/>
    </row>
    <row r="38" spans="1:48" s="25" customFormat="1" ht="3.75" customHeight="1" x14ac:dyDescent="0.25">
      <c r="G38" s="57"/>
      <c r="I38" s="17"/>
      <c r="K38" s="57">
        <v>0</v>
      </c>
      <c r="L38" s="25">
        <v>0</v>
      </c>
      <c r="M38" s="17">
        <v>0</v>
      </c>
      <c r="AS38"/>
      <c r="AT38"/>
      <c r="AU38"/>
      <c r="AV38"/>
    </row>
    <row r="39" spans="1:48" x14ac:dyDescent="0.25">
      <c r="A39" t="s">
        <v>3</v>
      </c>
      <c r="B39" t="s">
        <v>5</v>
      </c>
      <c r="G39" s="54">
        <v>0</v>
      </c>
      <c r="H39" s="55">
        <v>1.7351597999999999</v>
      </c>
      <c r="I39" s="56">
        <v>0.91324201000000005</v>
      </c>
      <c r="K39" s="54">
        <v>0</v>
      </c>
      <c r="L39" s="55">
        <v>1.7351597999999999</v>
      </c>
      <c r="M39" s="62">
        <v>0.91324201000000005</v>
      </c>
    </row>
    <row r="40" spans="1:48" x14ac:dyDescent="0.25">
      <c r="B40" t="s">
        <v>6</v>
      </c>
      <c r="G40" s="54">
        <v>2.1004565999999998</v>
      </c>
      <c r="H40" s="55">
        <v>0</v>
      </c>
      <c r="I40" s="56">
        <v>4.5662099999999997E-2</v>
      </c>
      <c r="K40" s="54">
        <v>2.1004565999999998</v>
      </c>
      <c r="L40" s="55">
        <v>0</v>
      </c>
      <c r="M40" s="62">
        <v>4.5662099999999997E-2</v>
      </c>
    </row>
    <row r="41" spans="1:48" x14ac:dyDescent="0.25">
      <c r="B41" t="s">
        <v>7</v>
      </c>
      <c r="G41" s="58">
        <v>1.2785388</v>
      </c>
      <c r="H41" s="59">
        <v>0</v>
      </c>
      <c r="I41" s="60">
        <v>4.5662099999999997E-2</v>
      </c>
      <c r="K41" s="58">
        <v>1.2785388</v>
      </c>
      <c r="L41" s="59">
        <v>0</v>
      </c>
      <c r="M41" s="63">
        <v>4.5662099999999997E-2</v>
      </c>
    </row>
    <row r="43" spans="1:48" x14ac:dyDescent="0.25">
      <c r="G43" s="3" t="s">
        <v>79</v>
      </c>
      <c r="K43" s="3" t="s">
        <v>80</v>
      </c>
    </row>
    <row r="44" spans="1:48" x14ac:dyDescent="0.25">
      <c r="A44" t="s">
        <v>2</v>
      </c>
      <c r="G44" s="23">
        <f>SUM(G35:G37)*$O$13</f>
        <v>816.66666214999998</v>
      </c>
      <c r="H44" s="23">
        <f t="shared" ref="H44:I44" si="1">SUM(H35:H37)*$O$13</f>
        <v>466.66666236499992</v>
      </c>
      <c r="I44" s="23">
        <f t="shared" si="1"/>
        <v>283.33333451499999</v>
      </c>
      <c r="K44" s="23">
        <f>SUM(K35:K37)*$O$13</f>
        <v>816.66666214999998</v>
      </c>
      <c r="L44" s="23">
        <f t="shared" ref="L44" si="2">SUM(L35:L37)*$O$13</f>
        <v>466.66666236499992</v>
      </c>
      <c r="M44" s="23">
        <f>SUM(M35:M37)*$O$13</f>
        <v>283.33333451499999</v>
      </c>
    </row>
    <row r="45" spans="1:48" x14ac:dyDescent="0.25">
      <c r="A45" t="s">
        <v>3</v>
      </c>
      <c r="G45" s="23">
        <f>SUM(G39:G41)*$O$13</f>
        <v>1233.3333210000001</v>
      </c>
      <c r="H45" s="23">
        <f t="shared" ref="H45:I45" si="3">SUM(H39:H41)*$O$13</f>
        <v>633.33332699999994</v>
      </c>
      <c r="I45" s="23">
        <f t="shared" si="3"/>
        <v>366.66666665000002</v>
      </c>
      <c r="K45" s="23">
        <f>SUM(K39:K41)*$O$13</f>
        <v>1233.3333210000001</v>
      </c>
      <c r="L45" s="23">
        <f t="shared" ref="L45:M45" si="4">SUM(L39:L41)*$O$13</f>
        <v>633.33332699999994</v>
      </c>
      <c r="M45" s="23">
        <f t="shared" si="4"/>
        <v>366.66666665000002</v>
      </c>
    </row>
    <row r="47" spans="1:48" x14ac:dyDescent="0.25">
      <c r="K47" s="3" t="s">
        <v>77</v>
      </c>
    </row>
    <row r="48" spans="1:48" x14ac:dyDescent="0.25">
      <c r="K48" s="26" cm="1">
        <f t="array" ref="K48:M49">K18:M18*K44:M45</f>
        <v>408.33333107499999</v>
      </c>
      <c r="L48" s="26">
        <v>466.66666236499992</v>
      </c>
      <c r="M48" s="26">
        <v>2.8333333451499998</v>
      </c>
    </row>
    <row r="49" spans="1:13" x14ac:dyDescent="0.25">
      <c r="K49" s="26">
        <v>616.66666050000003</v>
      </c>
      <c r="L49" s="26">
        <v>633.33332699999994</v>
      </c>
      <c r="M49" s="26">
        <v>3.6666666665000003</v>
      </c>
    </row>
    <row r="52" spans="1:13" x14ac:dyDescent="0.25">
      <c r="K52" s="3" t="s">
        <v>81</v>
      </c>
    </row>
    <row r="53" spans="1:13" x14ac:dyDescent="0.25">
      <c r="A53" t="s">
        <v>2</v>
      </c>
      <c r="B53" t="s">
        <v>5</v>
      </c>
      <c r="K53" s="5" cm="1">
        <f t="array" ref="K53:M55">K20:M20*K24:M26/(O13*P13)</f>
        <v>0</v>
      </c>
      <c r="L53" s="5">
        <v>2.0547945205479454</v>
      </c>
      <c r="M53" s="5">
        <v>2.2831050228310503</v>
      </c>
    </row>
    <row r="54" spans="1:13" x14ac:dyDescent="0.25">
      <c r="B54" t="s">
        <v>6</v>
      </c>
      <c r="K54" s="5">
        <v>1.3698630136986301</v>
      </c>
      <c r="L54" s="5">
        <v>2.0547945205479454</v>
      </c>
      <c r="M54" s="5">
        <v>2.2831050228310503</v>
      </c>
    </row>
    <row r="55" spans="1:13" x14ac:dyDescent="0.25">
      <c r="B55" t="s">
        <v>7</v>
      </c>
      <c r="K55" s="5">
        <v>0.91324200913242004</v>
      </c>
      <c r="L55" s="5">
        <v>2.0547945205479454</v>
      </c>
      <c r="M55" s="5">
        <v>2.2831050228310503</v>
      </c>
    </row>
    <row r="56" spans="1:13" ht="3.75" customHeight="1" x14ac:dyDescent="0.25">
      <c r="K56">
        <v>0</v>
      </c>
      <c r="L56">
        <v>0</v>
      </c>
      <c r="M56">
        <v>0</v>
      </c>
    </row>
    <row r="57" spans="1:13" x14ac:dyDescent="0.25">
      <c r="A57" t="s">
        <v>3</v>
      </c>
      <c r="B57" t="s">
        <v>5</v>
      </c>
      <c r="I57" s="3"/>
      <c r="K57" s="5" cm="1">
        <f t="array" ref="K57:M59">K22:M22*K24:M26/(O13*P13)</f>
        <v>0</v>
      </c>
      <c r="L57" s="5">
        <v>4.1095890410958908</v>
      </c>
      <c r="M57" s="5">
        <v>4.5662100456621006</v>
      </c>
    </row>
    <row r="58" spans="1:13" x14ac:dyDescent="0.25">
      <c r="B58" t="s">
        <v>6</v>
      </c>
      <c r="K58" s="5">
        <v>2.1917808219178081</v>
      </c>
      <c r="L58" s="5">
        <v>4.1095890410958908</v>
      </c>
      <c r="M58" s="5">
        <v>4.5662100456621006</v>
      </c>
    </row>
    <row r="59" spans="1:13" x14ac:dyDescent="0.25">
      <c r="B59" t="s">
        <v>7</v>
      </c>
      <c r="K59" s="5">
        <v>1.4611872146118721</v>
      </c>
      <c r="L59" s="5">
        <v>4.1095890410958908</v>
      </c>
      <c r="M59" s="5">
        <v>4.5662100456621006</v>
      </c>
    </row>
    <row r="61" spans="1:13" x14ac:dyDescent="0.25">
      <c r="K61" s="3" t="s">
        <v>82</v>
      </c>
    </row>
    <row r="62" spans="1:13" x14ac:dyDescent="0.25">
      <c r="A62" t="s">
        <v>2</v>
      </c>
      <c r="B62" t="s">
        <v>5</v>
      </c>
      <c r="K62" s="5" cm="1">
        <f t="array" ref="K62:M64">K20:M20*K30:M32/(O13*P13)</f>
        <v>0</v>
      </c>
      <c r="L62" s="5">
        <v>0</v>
      </c>
      <c r="M62" s="5">
        <v>0</v>
      </c>
    </row>
    <row r="63" spans="1:13" x14ac:dyDescent="0.25">
      <c r="B63" t="s">
        <v>6</v>
      </c>
      <c r="K63" s="5">
        <v>0</v>
      </c>
      <c r="L63" s="5">
        <v>0</v>
      </c>
      <c r="M63" s="5">
        <v>0</v>
      </c>
    </row>
    <row r="64" spans="1:13" x14ac:dyDescent="0.25">
      <c r="B64" t="s">
        <v>7</v>
      </c>
      <c r="K64" s="5">
        <v>0</v>
      </c>
      <c r="L64" s="5">
        <v>0</v>
      </c>
      <c r="M64" s="5">
        <v>0</v>
      </c>
    </row>
    <row r="65" spans="1:13" ht="3.75" customHeight="1" x14ac:dyDescent="0.25">
      <c r="K65">
        <v>0</v>
      </c>
      <c r="L65">
        <v>0</v>
      </c>
      <c r="M65">
        <v>0</v>
      </c>
    </row>
    <row r="66" spans="1:13" x14ac:dyDescent="0.25">
      <c r="A66" t="s">
        <v>3</v>
      </c>
      <c r="B66" t="s">
        <v>5</v>
      </c>
      <c r="K66" s="5" cm="1">
        <f t="array" ref="K66:M68">K22:M22*K30:M32/(O13*P13)</f>
        <v>0</v>
      </c>
      <c r="L66" s="5">
        <v>0</v>
      </c>
      <c r="M66" s="5">
        <v>0</v>
      </c>
    </row>
    <row r="67" spans="1:13" x14ac:dyDescent="0.25">
      <c r="B67" t="s">
        <v>6</v>
      </c>
      <c r="K67" s="5">
        <v>0</v>
      </c>
      <c r="L67" s="5">
        <v>0</v>
      </c>
      <c r="M67" s="5">
        <v>0</v>
      </c>
    </row>
    <row r="68" spans="1:13" x14ac:dyDescent="0.25">
      <c r="B68" t="s">
        <v>7</v>
      </c>
      <c r="K68" s="5">
        <v>0</v>
      </c>
      <c r="L68" s="5">
        <v>0</v>
      </c>
      <c r="M68" s="5">
        <v>0</v>
      </c>
    </row>
    <row r="71" spans="1:13" s="31" customFormat="1" ht="15.75" thickBo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4. Infra-year timeslices</vt:lpstr>
      <vt:lpstr>4. Infra-year timeslices_vale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Baiocco</dc:creator>
  <cp:lastModifiedBy>Valeria Baiocco</cp:lastModifiedBy>
  <dcterms:created xsi:type="dcterms:W3CDTF">2024-05-07T12:13:23Z</dcterms:created>
  <dcterms:modified xsi:type="dcterms:W3CDTF">2024-05-08T07:48:04Z</dcterms:modified>
</cp:coreProperties>
</file>