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pyesm\default\4_sut_multi_year_hourly\"/>
    </mc:Choice>
  </mc:AlternateContent>
  <xr:revisionPtr revIDLastSave="0" documentId="13_ncr:1_{FE1F5BC8-B78A-46A4-8434-D52059DBC2CE}" xr6:coauthVersionLast="47" xr6:coauthVersionMax="47" xr10:uidLastSave="{00000000-0000-0000-0000-000000000000}"/>
  <bookViews>
    <workbookView xWindow="28680" yWindow="-120" windowWidth="29040" windowHeight="15720" activeTab="3" xr2:uid="{B26EA869-E077-404B-8821-28AAA0DECE59}"/>
  </bookViews>
  <sheets>
    <sheet name="hours" sheetId="6" r:id="rId1"/>
    <sheet name="storage" sheetId="11" r:id="rId2"/>
    <sheet name="storage_bev" sheetId="13" r:id="rId3"/>
    <sheet name="storage_bev_v2g" sheetId="12" r:id="rId4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OpenSolver_UpdateSensitivity" localSheetId="3" hidden="1">1</definedName>
    <definedName name="solver_adj" localSheetId="0" hidden="1">hours!$H$38:$I$40,hours!$H$42:$I$44,hours!$L$38:$M$40,hours!$L$42:$M$44,hours!$L$47:$N$48,hours!$H$47:$J$48,hours!$L$73:$N$74</definedName>
    <definedName name="solver_adj" localSheetId="1" hidden="1">storage!$H$35:$I$39,storage!$K$35:$M$39</definedName>
    <definedName name="solver_adj" localSheetId="2" hidden="1">storage_bev!$H$40:$K$44,storage_bev!$M$40:$Q$44</definedName>
    <definedName name="solver_adj" localSheetId="3" hidden="1">storage_bev_v2g!$H$40:$K$44,storage_bev_v2g!$M$40:$Q$44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hours!$AM$9:$AN$10</definedName>
    <definedName name="solver_lhs1" localSheetId="1" hidden="1">storage!$Z$8:$AD$8</definedName>
    <definedName name="solver_lhs1" localSheetId="2" hidden="1">storage_bev!$AG$9:$AK$11</definedName>
    <definedName name="solver_lhs1" localSheetId="3" hidden="1">storage_bev_v2g!$AG$9:$AK$11</definedName>
    <definedName name="solver_lhs10" localSheetId="0" hidden="1">hours!$L$42:$M$44</definedName>
    <definedName name="solver_lhs10" localSheetId="1" hidden="1">storage!$M$35:$M$39</definedName>
    <definedName name="solver_lhs10" localSheetId="2" hidden="1">storage_bev!$Q$40:$Q$44</definedName>
    <definedName name="solver_lhs10" localSheetId="3" hidden="1">storage_bev_v2g!$Q$40:$Q$44</definedName>
    <definedName name="solver_lhs11" localSheetId="0" hidden="1">hours!$N$47:$N$48</definedName>
    <definedName name="solver_lhs11" localSheetId="1" hidden="1">storage!$M$35:$M$39</definedName>
    <definedName name="solver_lhs12" localSheetId="0" hidden="1">hours!$L$38:$M$40</definedName>
    <definedName name="solver_lhs13" localSheetId="0" hidden="1">hours!$L$42:$M$44</definedName>
    <definedName name="solver_lhs14" localSheetId="0" hidden="1">hours!$N$47:$N$48</definedName>
    <definedName name="solver_lhs15" localSheetId="0" hidden="1">hours!$L$38:$M$40</definedName>
    <definedName name="solver_lhs16" localSheetId="0" hidden="1">hours!$L$42:$M$44</definedName>
    <definedName name="solver_lhs17" localSheetId="0" hidden="1">hours!$L$38:$M$40</definedName>
    <definedName name="solver_lhs18" localSheetId="0" hidden="1">hours!$L$42:$M$44</definedName>
    <definedName name="solver_lhs2" localSheetId="0" hidden="1">hours!$AM$14:$AN$16</definedName>
    <definedName name="solver_lhs2" localSheetId="1" hidden="1">storage!$Z$10:$AD$11</definedName>
    <definedName name="solver_lhs2" localSheetId="2" hidden="1">storage_bev!$AG$13:$AK$16</definedName>
    <definedName name="solver_lhs2" localSheetId="3" hidden="1">storage_bev_v2g!$AG$13:$AK$16</definedName>
    <definedName name="solver_lhs3" localSheetId="0" hidden="1">hours!$AP$9:$AR$9</definedName>
    <definedName name="solver_lhs3" localSheetId="1" hidden="1">storage!$K$35:$L$39</definedName>
    <definedName name="solver_lhs3" localSheetId="2" hidden="1">storage_bev!$M$40:$O$44</definedName>
    <definedName name="solver_lhs3" localSheetId="3" hidden="1">storage_bev_v2g!$M$40:$O$44</definedName>
    <definedName name="solver_lhs4" localSheetId="0" hidden="1">hours!$AT$9:$AV$9</definedName>
    <definedName name="solver_lhs4" localSheetId="1" hidden="1">storage!$K$35:$L$39</definedName>
    <definedName name="solver_lhs4" localSheetId="2" hidden="1">storage_bev!$M$40:$O$44</definedName>
    <definedName name="solver_lhs4" localSheetId="3" hidden="1">storage_bev_v2g!$M$40:$O$44</definedName>
    <definedName name="solver_lhs5" localSheetId="0" hidden="1">hours!$AP$14:$AR$15</definedName>
    <definedName name="solver_lhs5" localSheetId="1" hidden="1">storage!$M$42:$M$46</definedName>
    <definedName name="solver_lhs5" localSheetId="2" hidden="1">storage_bev!$Q$47:$Q$51</definedName>
    <definedName name="solver_lhs5" localSheetId="3" hidden="1">storage_bev_v2g!$Q$47:$Q$51</definedName>
    <definedName name="solver_lhs6" localSheetId="0" hidden="1">hours!$AT$14:$AV$15</definedName>
    <definedName name="solver_lhs6" localSheetId="1" hidden="1">storage!$H$35:$I$39</definedName>
    <definedName name="solver_lhs6" localSheetId="2" hidden="1">storage_bev!$Q$40:$Q$44</definedName>
    <definedName name="solver_lhs6" localSheetId="3" hidden="1">storage_bev_v2g!$Q$40:$Q$44</definedName>
    <definedName name="solver_lhs7" localSheetId="0" hidden="1">hours!$AX$9:$AY$9</definedName>
    <definedName name="solver_lhs7" localSheetId="1" hidden="1">storage!$O$29</definedName>
    <definedName name="solver_lhs7" localSheetId="2" hidden="1">storage_bev!$Q$40:$Q$44</definedName>
    <definedName name="solver_lhs7" localSheetId="3" hidden="1">storage_bev_v2g!$Q$40:$Q$44</definedName>
    <definedName name="solver_lhs8" localSheetId="0" hidden="1">hours!$AX$14:$AY$15</definedName>
    <definedName name="solver_lhs8" localSheetId="1" hidden="1">storage!$M$42:$M$46</definedName>
    <definedName name="solver_lhs8" localSheetId="2" hidden="1">storage_bev!$H$40:$K$44</definedName>
    <definedName name="solver_lhs8" localSheetId="3" hidden="1">storage_bev_v2g!$H$40:$K$44</definedName>
    <definedName name="solver_lhs9" localSheetId="0" hidden="1">hours!$L$38:$M$40</definedName>
    <definedName name="solver_lhs9" localSheetId="1" hidden="1">storage!$M$42:$M$46</definedName>
    <definedName name="solver_lhs9" localSheetId="2" hidden="1">storage_bev!$Q$47:$Q$51</definedName>
    <definedName name="solver_lhs9" localSheetId="3" hidden="1">storage_bev_v2g!$Q$47:$Q$51</definedName>
    <definedName name="solver_neg" localSheetId="0" hidden="1">1</definedName>
    <definedName name="solver_neg" localSheetId="1" hidden="1">0</definedName>
    <definedName name="solver_neg" localSheetId="2" hidden="1">0</definedName>
    <definedName name="solver_neg" localSheetId="3" hidden="1">0</definedName>
    <definedName name="solver_num" localSheetId="0" hidden="1">14</definedName>
    <definedName name="solver_num" localSheetId="1" hidden="1">11</definedName>
    <definedName name="solver_num" localSheetId="2" hidden="1">10</definedName>
    <definedName name="solver_num" localSheetId="3" hidden="1">9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0" hidden="1">hours!$Q$17</definedName>
    <definedName name="solver_opt" localSheetId="1" hidden="1">storage!$O$12</definedName>
    <definedName name="solver_opt" localSheetId="2" hidden="1">storage_bev!$S$13</definedName>
    <definedName name="solver_opt" localSheetId="3" hidden="1">storage_bev_v2g!$S$13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0" localSheetId="0" hidden="1">1</definedName>
    <definedName name="solver_rel10" localSheetId="1" hidden="1">3</definedName>
    <definedName name="solver_rel10" localSheetId="2" hidden="1">1</definedName>
    <definedName name="solver_rel10" localSheetId="3" hidden="1">1</definedName>
    <definedName name="solver_rel11" localSheetId="0" hidden="1">1</definedName>
    <definedName name="solver_rel11" localSheetId="1" hidden="1">1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1</definedName>
    <definedName name="solver_rel16" localSheetId="0" hidden="1">1</definedName>
    <definedName name="solver_rel17" localSheetId="0" hidden="1">3</definedName>
    <definedName name="solver_rel18" localSheetId="0" hidden="1">3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3" localSheetId="0" hidden="1">2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0" hidden="1">2</definedName>
    <definedName name="solver_rel4" localSheetId="1" hidden="1">1</definedName>
    <definedName name="solver_rel4" localSheetId="2" hidden="1">1</definedName>
    <definedName name="solver_rel4" localSheetId="3" hidden="1">1</definedName>
    <definedName name="solver_rel5" localSheetId="0" hidden="1">2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0" hidden="1">2</definedName>
    <definedName name="solver_rel6" localSheetId="1" hidden="1">3</definedName>
    <definedName name="solver_rel6" localSheetId="2" hidden="1">3</definedName>
    <definedName name="solver_rel6" localSheetId="3" hidden="1">3</definedName>
    <definedName name="solver_rel7" localSheetId="0" hidden="1">2</definedName>
    <definedName name="solver_rel7" localSheetId="1" hidden="1">2</definedName>
    <definedName name="solver_rel7" localSheetId="2" hidden="1">1</definedName>
    <definedName name="solver_rel7" localSheetId="3" hidden="1">1</definedName>
    <definedName name="solver_rel8" localSheetId="0" hidden="1">2</definedName>
    <definedName name="solver_rel8" localSheetId="1" hidden="1">3</definedName>
    <definedName name="solver_rel8" localSheetId="2" hidden="1">3</definedName>
    <definedName name="solver_rel8" localSheetId="3" hidden="1">3</definedName>
    <definedName name="solver_rel9" localSheetId="0" hidden="1">1</definedName>
    <definedName name="solver_rel9" localSheetId="1" hidden="1">1</definedName>
    <definedName name="solver_rel9" localSheetId="2" hidden="1">3</definedName>
    <definedName name="solver_rel9" localSheetId="3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1" localSheetId="3" hidden="1">0</definedName>
    <definedName name="solver_rhs10" localSheetId="0" hidden="1">hours!$L$55:$M$57</definedName>
    <definedName name="solver_rhs10" localSheetId="1" hidden="1">storage!$M$31</definedName>
    <definedName name="solver_rhs10" localSheetId="2" hidden="1">0</definedName>
    <definedName name="solver_rhs10" localSheetId="3" hidden="1">0</definedName>
    <definedName name="solver_rhs11" localSheetId="0" hidden="1">hours!$N$58:$N$59</definedName>
    <definedName name="solver_rhs11" localSheetId="1" hidden="1">storage!$M$32</definedName>
    <definedName name="solver_rhs12" localSheetId="0" hidden="1">hours!$L$62:$M$64</definedName>
    <definedName name="solver_rhs13" localSheetId="0" hidden="1">hours!$L$66:$M$68</definedName>
    <definedName name="solver_rhs14" localSheetId="0" hidden="1">hours!$N$69:$N$70</definedName>
    <definedName name="solver_rhs15" localSheetId="0" hidden="1">hours!$L$51:$M$53</definedName>
    <definedName name="solver_rhs16" localSheetId="0" hidden="1">hours!$L$55:$M$57</definedName>
    <definedName name="solver_rhs17" localSheetId="0" hidden="1">hours!$L$62:$M$64</definedName>
    <definedName name="solver_rhs18" localSheetId="0" hidden="1">hours!$L$66:$M$68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2" localSheetId="3" hidden="1">0</definedName>
    <definedName name="solver_rhs3" localSheetId="0" hidden="1">0</definedName>
    <definedName name="solver_rhs3" localSheetId="1" hidden="1">storage!$K$49:$L$53</definedName>
    <definedName name="solver_rhs3" localSheetId="2" hidden="1">storage_bev!$M$54:$O$58</definedName>
    <definedName name="solver_rhs3" localSheetId="3" hidden="1">storage_bev_v2g!$M$54:$O$58</definedName>
    <definedName name="solver_rhs4" localSheetId="0" hidden="1">0</definedName>
    <definedName name="solver_rhs4" localSheetId="1" hidden="1">storage!$K$42:$L$46</definedName>
    <definedName name="solver_rhs4" localSheetId="2" hidden="1">storage_bev!$M$47:$O$51</definedName>
    <definedName name="solver_rhs4" localSheetId="3" hidden="1">storage_bev_v2g!$M$47:$O$51</definedName>
    <definedName name="solver_rhs5" localSheetId="0" hidden="1">0</definedName>
    <definedName name="solver_rhs5" localSheetId="1" hidden="1">storage!$M$30</definedName>
    <definedName name="solver_rhs5" localSheetId="2" hidden="1">storage_bev!$S$32</definedName>
    <definedName name="solver_rhs5" localSheetId="3" hidden="1">storage_bev_v2g!$S$32</definedName>
    <definedName name="solver_rhs6" localSheetId="0" hidden="1">0</definedName>
    <definedName name="solver_rhs6" localSheetId="1" hidden="1">0</definedName>
    <definedName name="solver_rhs6" localSheetId="2" hidden="1">storage_bev!$Q$36</definedName>
    <definedName name="solver_rhs6" localSheetId="3" hidden="1">storage_bev_v2g!$Q$36</definedName>
    <definedName name="solver_rhs7" localSheetId="0" hidden="1">0</definedName>
    <definedName name="solver_rhs7" localSheetId="1" hidden="1">storage!$M$46</definedName>
    <definedName name="solver_rhs7" localSheetId="2" hidden="1">storage_bev!$Q$37</definedName>
    <definedName name="solver_rhs7" localSheetId="3" hidden="1">storage_bev_v2g!$Q$37</definedName>
    <definedName name="solver_rhs8" localSheetId="0" hidden="1">0</definedName>
    <definedName name="solver_rhs8" localSheetId="1" hidden="1">storage!$O$26</definedName>
    <definedName name="solver_rhs8" localSheetId="2" hidden="1">0</definedName>
    <definedName name="solver_rhs8" localSheetId="3" hidden="1">0</definedName>
    <definedName name="solver_rhs9" localSheetId="0" hidden="1">hours!$L$51:$M$53</definedName>
    <definedName name="solver_rhs9" localSheetId="1" hidden="1">storage!$O$27</definedName>
    <definedName name="solver_rhs9" localSheetId="2" hidden="1">storage_bev!$S$31</definedName>
    <definedName name="solver_rhs9" localSheetId="3" hidden="1">storage_bev_v2g!$S$31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ol" localSheetId="3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13" l="1" a="1"/>
  <c r="M54" i="13" s="1"/>
  <c r="Q47" i="13" a="1"/>
  <c r="Q47" i="13" s="1"/>
  <c r="M47" i="13" a="1"/>
  <c r="M47" i="13" s="1"/>
  <c r="S33" i="13"/>
  <c r="S32" i="13"/>
  <c r="S31" i="13"/>
  <c r="AA17" i="13" a="1"/>
  <c r="AA17" i="13" s="1"/>
  <c r="AG13" i="13" a="1"/>
  <c r="AG13" i="13" s="1"/>
  <c r="AA13" i="13" a="1"/>
  <c r="AA13" i="13" s="1"/>
  <c r="S13" i="13" a="1"/>
  <c r="S13" i="13" s="1"/>
  <c r="AA9" i="13" a="1"/>
  <c r="AA9" i="13" s="1"/>
  <c r="AA17" i="12" a="1"/>
  <c r="AA17" i="12" s="1"/>
  <c r="AG13" i="12" a="1"/>
  <c r="AG13" i="12" s="1"/>
  <c r="S13" i="12" a="1"/>
  <c r="S13" i="12" s="1"/>
  <c r="M47" i="12" a="1"/>
  <c r="M47" i="12" s="1"/>
  <c r="Z10" i="11" a="1"/>
  <c r="Z10" i="11" s="1"/>
  <c r="AA13" i="12" a="1"/>
  <c r="AA13" i="12" s="1"/>
  <c r="Q10" i="11" a="1"/>
  <c r="Q10" i="11" s="1"/>
  <c r="AA9" i="12" a="1"/>
  <c r="AA9" i="12" s="1"/>
  <c r="M54" i="12" a="1"/>
  <c r="M54" i="12" s="1"/>
  <c r="S33" i="12"/>
  <c r="Q47" i="12" s="1" a="1"/>
  <c r="Q47" i="12" s="1"/>
  <c r="S32" i="12"/>
  <c r="S31" i="12"/>
  <c r="AG9" i="13" l="1" a="1"/>
  <c r="AG9" i="13" s="1"/>
  <c r="AG9" i="12" a="1"/>
  <c r="AG9" i="12" s="1"/>
  <c r="O27" i="11" l="1"/>
  <c r="O26" i="11"/>
  <c r="O28" i="11"/>
  <c r="M42" i="11" s="1" a="1"/>
  <c r="M42" i="11" s="1"/>
  <c r="O29" i="11"/>
  <c r="O12" i="11" a="1"/>
  <c r="O12" i="11" s="1"/>
  <c r="Q12" i="11" a="1"/>
  <c r="Q12" i="11" s="1"/>
  <c r="Q8" i="11" a="1"/>
  <c r="Q8" i="11" s="1"/>
  <c r="K49" i="11" a="1"/>
  <c r="K49" i="11" s="1"/>
  <c r="K42" i="11" a="1"/>
  <c r="K42" i="11" s="1"/>
  <c r="Z8" i="11" l="1" a="1"/>
  <c r="Z8" i="11" s="1"/>
  <c r="L91" i="6" l="1" a="1"/>
  <c r="L91" i="6" s="1"/>
  <c r="L89" i="6" a="1"/>
  <c r="L89" i="6" s="1"/>
  <c r="N34" i="6" l="1"/>
  <c r="N33" i="6"/>
  <c r="N32" i="6"/>
  <c r="X9" i="6" a="1"/>
  <c r="X9" i="6" s="1"/>
  <c r="T9" i="6" a="1"/>
  <c r="T9" i="6" s="1"/>
  <c r="AM14" i="6" a="1"/>
  <c r="AM14" i="6" s="1"/>
  <c r="L85" i="6" a="1"/>
  <c r="L85" i="6" s="1"/>
  <c r="L81" i="6" a="1"/>
  <c r="L81" i="6" s="1"/>
  <c r="Q17" i="6" l="1"/>
  <c r="L77" i="6" l="1" a="1"/>
  <c r="N69" i="6" s="1" a="1"/>
  <c r="N69" i="6" s="1"/>
  <c r="AY14" i="6"/>
  <c r="AY15" i="6"/>
  <c r="AX15" i="6"/>
  <c r="AX14" i="6"/>
  <c r="AB9" i="6" a="1"/>
  <c r="AB9" i="6" s="1"/>
  <c r="AM9" i="6" s="1" a="1"/>
  <c r="AM9" i="6" s="1"/>
  <c r="AE9" i="6" a="1"/>
  <c r="AE9" i="6" s="1"/>
  <c r="AP9" i="6" s="1" a="1"/>
  <c r="AP9" i="6" s="1"/>
  <c r="AT14" i="6" a="1"/>
  <c r="AT14" i="6" s="1"/>
  <c r="AP14" i="6" a="1"/>
  <c r="AP14" i="6" s="1"/>
  <c r="AI9" i="6" a="1"/>
  <c r="AI9" i="6" s="1"/>
  <c r="AT9" i="6" s="1" a="1"/>
  <c r="AT9" i="6" s="1"/>
  <c r="AX9" i="6" l="1"/>
  <c r="L77" i="6"/>
  <c r="N58" i="6" a="1"/>
  <c r="N58" i="6" s="1"/>
  <c r="AY9" i="6"/>
  <c r="L62" i="6" l="1" a="1"/>
  <c r="L64" i="6" s="1"/>
  <c r="L55" i="6" a="1"/>
  <c r="L55" i="6" s="1"/>
  <c r="L66" i="6" a="1"/>
  <c r="L51" i="6" a="1"/>
  <c r="L51" i="6" s="1"/>
  <c r="L63" i="6" l="1"/>
  <c r="M62" i="6"/>
  <c r="L62" i="6"/>
  <c r="M63" i="6"/>
  <c r="M64" i="6"/>
  <c r="M57" i="6"/>
  <c r="M56" i="6"/>
  <c r="M55" i="6"/>
  <c r="L56" i="6"/>
  <c r="L57" i="6"/>
  <c r="M67" i="6"/>
  <c r="L66" i="6"/>
  <c r="M66" i="6"/>
  <c r="L67" i="6"/>
  <c r="M68" i="6"/>
  <c r="L68" i="6"/>
  <c r="M53" i="6"/>
  <c r="L53" i="6"/>
  <c r="M51" i="6"/>
  <c r="M52" i="6"/>
  <c r="L5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<sst xmlns="http://schemas.openxmlformats.org/spreadsheetml/2006/main" count="513" uniqueCount="113">
  <si>
    <t>flows</t>
  </si>
  <si>
    <t>techs</t>
  </si>
  <si>
    <t>name</t>
  </si>
  <si>
    <t>f.1</t>
  </si>
  <si>
    <t>f.2</t>
  </si>
  <si>
    <t>u</t>
  </si>
  <si>
    <t>d</t>
  </si>
  <si>
    <t>t.1</t>
  </si>
  <si>
    <t>Final demand</t>
  </si>
  <si>
    <t>t.2</t>
  </si>
  <si>
    <t>y.1</t>
  </si>
  <si>
    <t>y.2</t>
  </si>
  <si>
    <t>t.3</t>
  </si>
  <si>
    <t>Cap_new</t>
  </si>
  <si>
    <t>f.1a</t>
  </si>
  <si>
    <t>f.1b</t>
  </si>
  <si>
    <t>f2</t>
  </si>
  <si>
    <t>Obj</t>
  </si>
  <si>
    <t>Y</t>
  </si>
  <si>
    <t>Tyy</t>
  </si>
  <si>
    <t>C_inv = Cap_new * diag(c_inv)</t>
  </si>
  <si>
    <t>c_inv</t>
  </si>
  <si>
    <t>c_om</t>
  </si>
  <si>
    <t>year</t>
  </si>
  <si>
    <t>PV</t>
  </si>
  <si>
    <t>Coal</t>
  </si>
  <si>
    <t>EE</t>
  </si>
  <si>
    <t>EE PV</t>
  </si>
  <si>
    <t>EE Coal</t>
  </si>
  <si>
    <t>d.1</t>
  </si>
  <si>
    <t>h.1</t>
  </si>
  <si>
    <t>h.2</t>
  </si>
  <si>
    <t>h.3</t>
  </si>
  <si>
    <t>Demand profiles</t>
  </si>
  <si>
    <t>Q_h</t>
  </si>
  <si>
    <t>X_h</t>
  </si>
  <si>
    <t>Coal pp</t>
  </si>
  <si>
    <t>dispatch</t>
  </si>
  <si>
    <t>hour</t>
  </si>
  <si>
    <t>I_ff</t>
  </si>
  <si>
    <t>X_h'-d_h*Q_h' = 0</t>
  </si>
  <si>
    <t>Q_y</t>
  </si>
  <si>
    <t>X_y</t>
  </si>
  <si>
    <t>Q_agg_y=I_ff*Q_y'</t>
  </si>
  <si>
    <t>Q_agg_h=I_ff_h*Q_h'</t>
  </si>
  <si>
    <t>Q_agg_y - Y - u*X_y' = 0</t>
  </si>
  <si>
    <t>X_y' -d*Q_y' = 0</t>
  </si>
  <si>
    <t>Cost inv</t>
  </si>
  <si>
    <t>Cost o&amp;m</t>
  </si>
  <si>
    <t>n_periods</t>
  </si>
  <si>
    <t>X_y - sum(X_h)*n_periods = 0</t>
  </si>
  <si>
    <t>Q_agg_y - sum(Q_agg_h)*n_periods = 0</t>
  </si>
  <si>
    <t>Load factors max</t>
  </si>
  <si>
    <t>Load factors min</t>
  </si>
  <si>
    <t>Cap_op = Tyy * Cap_new</t>
  </si>
  <si>
    <t>C_om = X_y * diag(c_om)</t>
  </si>
  <si>
    <t>Mining</t>
  </si>
  <si>
    <t>lf_max_h</t>
  </si>
  <si>
    <t>lf_min_h</t>
  </si>
  <si>
    <t>lf_max_y</t>
  </si>
  <si>
    <t>lf_min_y</t>
  </si>
  <si>
    <t>X_max_h = lf_max_h * diag(Cap_op_h)</t>
  </si>
  <si>
    <t>n_slices</t>
  </si>
  <si>
    <t>X_max_y = lf_max_y * diag(Cap_op_y) * n_periods * n_slices</t>
  </si>
  <si>
    <t>X_min_y = lf_min_y * diag(Cap_op_y) * n_periods * n_slices</t>
  </si>
  <si>
    <t>X_min_h = lf_min_h * diag(Cap_op_h)</t>
  </si>
  <si>
    <t>dp.t</t>
  </si>
  <si>
    <t>dp.d</t>
  </si>
  <si>
    <t>U = u * X_y</t>
  </si>
  <si>
    <t>Y_h = Y * dp.d' /n_periods</t>
  </si>
  <si>
    <t>slices</t>
  </si>
  <si>
    <t>Q_agg_h - Y_h'-u_h*X_h' - u_y*X_y'*dp.t_y'/n_periods = 0</t>
  </si>
  <si>
    <t>State of charge</t>
  </si>
  <si>
    <t>Costs</t>
  </si>
  <si>
    <t>SOC</t>
  </si>
  <si>
    <t>Thh</t>
  </si>
  <si>
    <t>EE by Coal</t>
  </si>
  <si>
    <t>EE by PV</t>
  </si>
  <si>
    <t>h.4</t>
  </si>
  <si>
    <t>h.5</t>
  </si>
  <si>
    <t>LF max</t>
  </si>
  <si>
    <t>LF min</t>
  </si>
  <si>
    <t>soc min</t>
  </si>
  <si>
    <t>soc max</t>
  </si>
  <si>
    <t>soc start</t>
  </si>
  <si>
    <t>dp</t>
  </si>
  <si>
    <t>X max</t>
  </si>
  <si>
    <t>C_start</t>
  </si>
  <si>
    <t>X min</t>
  </si>
  <si>
    <t>Q_agg</t>
  </si>
  <si>
    <t>U=u*X_h'</t>
  </si>
  <si>
    <t>Y_h</t>
  </si>
  <si>
    <t>Qagg-U-Y_h==0</t>
  </si>
  <si>
    <t>soc end</t>
  </si>
  <si>
    <t>SOC start</t>
  </si>
  <si>
    <t>SOC end</t>
  </si>
  <si>
    <t>SOC max</t>
  </si>
  <si>
    <t>SOC min</t>
  </si>
  <si>
    <t>Storage</t>
  </si>
  <si>
    <t>X_h'-d*Q_h' == 0</t>
  </si>
  <si>
    <t>Transport</t>
  </si>
  <si>
    <t>BEV</t>
  </si>
  <si>
    <t>EE coal</t>
  </si>
  <si>
    <t>t.3 s</t>
  </si>
  <si>
    <t>BEV battery</t>
  </si>
  <si>
    <t>f.1s</t>
  </si>
  <si>
    <t>EE BEV</t>
  </si>
  <si>
    <t>max charge rate</t>
  </si>
  <si>
    <t>max discharge rate</t>
  </si>
  <si>
    <t>X_max</t>
  </si>
  <si>
    <t>X_min</t>
  </si>
  <si>
    <t>t.3 eng</t>
  </si>
  <si>
    <t>BEV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</si>
</sst>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2" borderId="0" xfId="0" applyNumberFormat="1" applyFill="1"/>
    <xf numFmtId="3" fontId="0" fillId="0" borderId="0" xfId="0" applyNumberFormat="1"/>
    <xf numFmtId="166" fontId="1" fillId="5" borderId="0" xfId="0" applyNumberFormat="1" applyFont="1" applyFill="1"/>
    <xf numFmtId="166" fontId="0" fillId="5" borderId="0" xfId="0" applyNumberFormat="1" applyFill="1"/>
    <xf numFmtId="164" fontId="1" fillId="5" borderId="0" xfId="0" applyNumberFormat="1" applyFont="1" applyFill="1"/>
    <xf numFmtId="1" fontId="0" fillId="2" borderId="0" xfId="0" applyNumberFormat="1" applyFill="1"/>
    <xf numFmtId="165" fontId="0" fillId="0" borderId="0" xfId="0" applyNumberFormat="1"/>
    <xf numFmtId="2" fontId="0" fillId="2" borderId="0" xfId="0" applyNumberFormat="1" applyFill="1"/>
    <xf numFmtId="164" fontId="4" fillId="5" borderId="0" xfId="0" applyNumberFormat="1" applyFont="1" applyFill="1"/>
    <xf numFmtId="167" fontId="0" fillId="0" borderId="2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7" xfId="0" applyNumberFormat="1" applyBorder="1"/>
    <xf numFmtId="167" fontId="1" fillId="5" borderId="0" xfId="0" applyNumberFormat="1" applyFont="1" applyFill="1"/>
    <xf numFmtId="0" fontId="2" fillId="0" borderId="0" xfId="0" applyFont="1" applyAlignment="1">
      <alignment horizontal="left"/>
    </xf>
    <xf numFmtId="167" fontId="4" fillId="5" borderId="0" xfId="0" applyNumberFormat="1" applyFont="1" applyFill="1"/>
    <xf numFmtId="167" fontId="4" fillId="5" borderId="8" xfId="0" applyNumberFormat="1" applyFont="1" applyFill="1" applyBorder="1"/>
    <xf numFmtId="0" fontId="0" fillId="0" borderId="0" xfId="0" applyAlignment="1">
      <alignment horizontal="right"/>
    </xf>
    <xf numFmtId="167" fontId="0" fillId="5" borderId="0" xfId="0" applyNumberFormat="1" applyFill="1"/>
    <xf numFmtId="0" fontId="0" fillId="4" borderId="0" xfId="0" applyFill="1" applyAlignment="1">
      <alignment horizontal="right"/>
    </xf>
    <xf numFmtId="0" fontId="0" fillId="0" borderId="0" xfId="0" applyBorder="1"/>
    <xf numFmtId="0" fontId="0" fillId="5" borderId="0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D6BB-FBFC-41C7-8351-5C5E95720645}">
  <dimension ref="A1:AZ92"/>
  <sheetViews>
    <sheetView zoomScaleNormal="100" workbookViewId="0">
      <pane xSplit="6" ySplit="6" topLeftCell="I7" activePane="bottomRight" state="frozen"/>
      <selection pane="topRight" activeCell="G1" sqref="G1"/>
      <selection pane="bottomLeft" activeCell="A7" sqref="A7"/>
      <selection pane="bottomRight" activeCell="A23" sqref="A23:A24"/>
    </sheetView>
  </sheetViews>
  <sheetFormatPr defaultRowHeight="15" x14ac:dyDescent="0.25"/>
  <cols>
    <col min="1" max="1" width="4.85546875" bestFit="1" customWidth="1"/>
    <col min="2" max="2" width="6" bestFit="1" customWidth="1"/>
    <col min="3" max="3" width="4.7109375" customWidth="1"/>
    <col min="4" max="4" width="5.7109375" bestFit="1" customWidth="1"/>
    <col min="5" max="5" width="9" bestFit="1" customWidth="1"/>
    <col min="6" max="6" width="15.85546875" bestFit="1" customWidth="1"/>
    <col min="7" max="7" width="1.5703125" customWidth="1"/>
    <col min="11" max="11" width="3.28515625" customWidth="1"/>
    <col min="13" max="13" width="10.140625" bestFit="1" customWidth="1"/>
    <col min="14" max="14" width="10.140625" customWidth="1"/>
    <col min="15" max="15" width="3.28515625" customWidth="1"/>
    <col min="18" max="18" width="3.28515625" customWidth="1"/>
    <col min="23" max="23" width="1.7109375" customWidth="1"/>
    <col min="30" max="30" width="1.7109375" customWidth="1"/>
    <col min="34" max="34" width="1.28515625" customWidth="1"/>
    <col min="41" max="41" width="10.28515625" customWidth="1"/>
    <col min="45" max="45" width="1.42578125" customWidth="1"/>
  </cols>
  <sheetData>
    <row r="1" spans="1:51" x14ac:dyDescent="0.25">
      <c r="A1" s="15" t="s">
        <v>23</v>
      </c>
      <c r="B1" s="15"/>
      <c r="C1" s="15"/>
      <c r="D1" s="15"/>
      <c r="E1" s="15"/>
      <c r="F1" s="15"/>
      <c r="G1" s="15"/>
      <c r="P1" t="s">
        <v>10</v>
      </c>
      <c r="Q1" t="s">
        <v>11</v>
      </c>
      <c r="T1" t="s">
        <v>10</v>
      </c>
      <c r="X1" t="s">
        <v>11</v>
      </c>
      <c r="AB1" t="s">
        <v>10</v>
      </c>
      <c r="AC1" t="s">
        <v>11</v>
      </c>
      <c r="AE1" t="s">
        <v>10</v>
      </c>
      <c r="AI1" t="s">
        <v>11</v>
      </c>
      <c r="AM1" t="s">
        <v>10</v>
      </c>
      <c r="AN1" t="s">
        <v>11</v>
      </c>
      <c r="AP1" t="s">
        <v>10</v>
      </c>
      <c r="AT1" t="s">
        <v>11</v>
      </c>
      <c r="AX1" t="s">
        <v>10</v>
      </c>
      <c r="AY1" t="s">
        <v>11</v>
      </c>
    </row>
    <row r="2" spans="1:51" x14ac:dyDescent="0.25">
      <c r="A2" s="15"/>
      <c r="B2" s="15" t="s">
        <v>70</v>
      </c>
      <c r="C2" s="15"/>
      <c r="D2" s="15"/>
      <c r="E2" s="15"/>
      <c r="F2" s="15"/>
      <c r="G2" s="15"/>
      <c r="T2" t="s">
        <v>30</v>
      </c>
      <c r="U2" t="s">
        <v>31</v>
      </c>
      <c r="V2" t="s">
        <v>32</v>
      </c>
      <c r="X2" t="s">
        <v>30</v>
      </c>
      <c r="Y2" t="s">
        <v>31</v>
      </c>
      <c r="Z2" t="s">
        <v>32</v>
      </c>
      <c r="AE2" t="s">
        <v>30</v>
      </c>
      <c r="AF2" t="s">
        <v>31</v>
      </c>
      <c r="AG2" t="s">
        <v>32</v>
      </c>
      <c r="AI2" t="s">
        <v>30</v>
      </c>
      <c r="AJ2" t="s">
        <v>31</v>
      </c>
      <c r="AK2" t="s">
        <v>32</v>
      </c>
      <c r="AP2" t="s">
        <v>30</v>
      </c>
      <c r="AQ2" t="s">
        <v>31</v>
      </c>
      <c r="AR2" t="s">
        <v>32</v>
      </c>
      <c r="AT2" t="s">
        <v>30</v>
      </c>
      <c r="AU2" t="s">
        <v>31</v>
      </c>
      <c r="AV2" t="s">
        <v>32</v>
      </c>
    </row>
    <row r="3" spans="1:51" x14ac:dyDescent="0.25">
      <c r="A3" s="15"/>
      <c r="B3" s="15"/>
      <c r="C3" s="15" t="s">
        <v>0</v>
      </c>
      <c r="D3" s="15"/>
      <c r="E3" s="15"/>
      <c r="F3" s="15"/>
      <c r="G3" s="15"/>
      <c r="H3" t="s">
        <v>14</v>
      </c>
      <c r="I3" t="s">
        <v>15</v>
      </c>
      <c r="J3" t="s">
        <v>16</v>
      </c>
      <c r="S3" t="s">
        <v>3</v>
      </c>
    </row>
    <row r="4" spans="1:51" x14ac:dyDescent="0.25">
      <c r="A4" s="15"/>
      <c r="B4" s="15"/>
      <c r="C4" s="15"/>
      <c r="D4" s="15" t="s">
        <v>1</v>
      </c>
      <c r="E4" s="15"/>
      <c r="F4" s="15"/>
      <c r="G4" s="15"/>
      <c r="L4" t="s">
        <v>7</v>
      </c>
      <c r="M4" t="s">
        <v>9</v>
      </c>
      <c r="N4" t="s">
        <v>12</v>
      </c>
      <c r="P4" t="s">
        <v>29</v>
      </c>
      <c r="Q4" t="s">
        <v>29</v>
      </c>
      <c r="S4" t="s">
        <v>29</v>
      </c>
    </row>
    <row r="5" spans="1:51" x14ac:dyDescent="0.25">
      <c r="A5" s="15"/>
      <c r="B5" s="15"/>
      <c r="C5" s="15"/>
      <c r="D5" s="15"/>
      <c r="E5" s="15" t="s">
        <v>37</v>
      </c>
      <c r="F5" s="15"/>
      <c r="G5" s="15"/>
      <c r="H5" t="s">
        <v>38</v>
      </c>
      <c r="I5" t="s">
        <v>38</v>
      </c>
      <c r="J5" t="s">
        <v>23</v>
      </c>
      <c r="L5" t="s">
        <v>38</v>
      </c>
      <c r="M5" t="s">
        <v>38</v>
      </c>
      <c r="N5" t="s">
        <v>23</v>
      </c>
      <c r="S5" t="s">
        <v>38</v>
      </c>
    </row>
    <row r="6" spans="1:51" x14ac:dyDescent="0.25">
      <c r="A6" s="15"/>
      <c r="B6" s="15"/>
      <c r="C6" s="15"/>
      <c r="D6" s="15"/>
      <c r="E6" s="15"/>
      <c r="F6" s="15" t="s">
        <v>2</v>
      </c>
      <c r="G6" s="15"/>
      <c r="H6" t="s">
        <v>27</v>
      </c>
      <c r="I6" t="s">
        <v>28</v>
      </c>
      <c r="J6" t="s">
        <v>25</v>
      </c>
      <c r="P6" t="s">
        <v>8</v>
      </c>
      <c r="Q6" t="s">
        <v>8</v>
      </c>
    </row>
    <row r="7" spans="1:51" x14ac:dyDescent="0.25">
      <c r="A7" s="15"/>
      <c r="B7" s="15"/>
      <c r="C7" s="15"/>
      <c r="D7" s="15"/>
      <c r="E7" s="15"/>
      <c r="F7" s="15"/>
      <c r="G7" s="15"/>
    </row>
    <row r="8" spans="1:51" x14ac:dyDescent="0.25">
      <c r="A8" s="15"/>
      <c r="B8" s="15"/>
      <c r="C8" s="15"/>
      <c r="D8" s="15"/>
      <c r="E8" s="15"/>
      <c r="F8" s="15"/>
      <c r="G8" s="15"/>
      <c r="H8" s="11" t="s">
        <v>39</v>
      </c>
      <c r="L8" s="11" t="s">
        <v>5</v>
      </c>
      <c r="P8" s="11" t="s">
        <v>18</v>
      </c>
      <c r="T8" s="11" t="s">
        <v>69</v>
      </c>
      <c r="AB8" s="11" t="s">
        <v>43</v>
      </c>
      <c r="AE8" s="11" t="s">
        <v>44</v>
      </c>
      <c r="AM8" s="11" t="s">
        <v>45</v>
      </c>
      <c r="AP8" s="11" t="s">
        <v>71</v>
      </c>
      <c r="AX8" s="11" t="s">
        <v>51</v>
      </c>
    </row>
    <row r="9" spans="1:51" x14ac:dyDescent="0.25">
      <c r="C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L9" s="1">
        <v>0</v>
      </c>
      <c r="M9" s="1">
        <v>0</v>
      </c>
      <c r="N9" s="1">
        <v>1</v>
      </c>
      <c r="P9" s="1">
        <v>1000</v>
      </c>
      <c r="Q9" s="1">
        <v>1500</v>
      </c>
      <c r="T9" s="16" cm="1">
        <f t="array" ref="T9:V9">P9/Q13*TRANSPOSE(S32:S34)</f>
        <v>0.54794520547945202</v>
      </c>
      <c r="U9" s="16">
        <v>1.3698630136986301</v>
      </c>
      <c r="V9" s="16">
        <v>0.82191780821917804</v>
      </c>
      <c r="X9" s="16" cm="1">
        <f t="array" ref="X9:Z9">Q9*TRANSPOSE(S32:S34)/Q13</f>
        <v>0.82191780821917804</v>
      </c>
      <c r="Y9" s="16">
        <v>2.0547945205479454</v>
      </c>
      <c r="Z9" s="16">
        <v>1.2328767123287672</v>
      </c>
      <c r="AB9" s="17" cm="1">
        <f t="array" ref="AB9:AC10">MMULT(H9:J10,TRANSPOSE(H47:J48))</f>
        <v>1230.7692299999999</v>
      </c>
      <c r="AC9" s="17">
        <v>1846.15389</v>
      </c>
      <c r="AD9" s="11"/>
      <c r="AE9" s="17" cm="1">
        <f t="array" ref="AE9:AG9">MMULT(H9:I9,TRANSPOSE(H38:I40))</f>
        <v>0.75869336000000032</v>
      </c>
      <c r="AF9" s="17">
        <v>1.5806111899999999</v>
      </c>
      <c r="AG9" s="17">
        <v>1.03266597</v>
      </c>
      <c r="AI9" s="17" cm="1">
        <f t="array" ref="AI9:AK9">MMULT(H9:I9,TRANSPOSE(H42:I44))</f>
        <v>1.1380399999999999</v>
      </c>
      <c r="AJ9" s="17">
        <v>2.3709167799999999</v>
      </c>
      <c r="AK9" s="17">
        <v>1.5489989800000001</v>
      </c>
      <c r="AM9" s="3" cm="1">
        <f t="array" ref="AM9:AN10">_xlfn.ANCHORARRAY(AB9)-P9:Q10-MMULT(L9:N10,TRANSPOSE(L47:N48))</f>
        <v>0</v>
      </c>
      <c r="AN9" s="5">
        <v>4.0000000069539965E-5</v>
      </c>
      <c r="AP9" s="19" cm="1">
        <f t="array" ref="AP9:AR9">AE9:AG9-_xlfn.ANCHORARRAY(T9)-MMULT(L9:M9,TRANSPOSE(L38:M40))-MMULT(N9,MMULT(TRANSPOSE(N47),TRANSPOSE(N32:N34)))/Q13</f>
        <v>-7.3059325256252805E-10</v>
      </c>
      <c r="AQ9" s="20">
        <v>2.1050228338204136E-8</v>
      </c>
      <c r="AR9" s="21">
        <v>6.5296804629966232E-9</v>
      </c>
      <c r="AT9" s="19" cm="1">
        <f t="array" ref="AT9:AV9">_xlfn.ANCHORARRAY(AI9)-_xlfn.ANCHORARRAY(X9)-MMULT(L9:M9,TRANSPOSE(L42:M44))-MMULT(N9,MMULT(TRANSPOSE(N48),TRANSPOSE(N32:N34)))/Q13</f>
        <v>-4.5662100434107344E-8</v>
      </c>
      <c r="AU9" s="20">
        <v>2.2009132183420377E-8</v>
      </c>
      <c r="AV9" s="21">
        <v>3.0228310632374189E-8</v>
      </c>
      <c r="AX9" s="22">
        <f>AB9-SUM(_xlfn.ANCHORARRAY(AE9))*Q13</f>
        <v>-9.8000002708431566E-6</v>
      </c>
      <c r="AY9" s="22">
        <f>AC9-SUM(_xlfn.ANCHORARRAY(AI9))*Q13</f>
        <v>3.7599999814119656E-5</v>
      </c>
    </row>
    <row r="10" spans="1:51" x14ac:dyDescent="0.25">
      <c r="C10" t="s">
        <v>4</v>
      </c>
      <c r="E10" t="s">
        <v>23</v>
      </c>
      <c r="F10" t="s">
        <v>25</v>
      </c>
      <c r="H10" s="16">
        <v>0</v>
      </c>
      <c r="I10" s="16">
        <v>0</v>
      </c>
      <c r="J10" s="16">
        <v>1</v>
      </c>
      <c r="L10" s="1">
        <v>0</v>
      </c>
      <c r="M10" s="1">
        <v>0.5</v>
      </c>
      <c r="N10" s="1">
        <v>0</v>
      </c>
      <c r="P10" s="1">
        <v>0</v>
      </c>
      <c r="Q10" s="1">
        <v>0</v>
      </c>
      <c r="AB10" s="17">
        <v>230.76922999999999</v>
      </c>
      <c r="AC10" s="17">
        <v>346.15384999999998</v>
      </c>
      <c r="AD10" s="11"/>
      <c r="AM10" s="6">
        <v>0</v>
      </c>
      <c r="AN10" s="8">
        <v>4.9999999873762135E-6</v>
      </c>
    </row>
    <row r="12" spans="1:51" x14ac:dyDescent="0.25">
      <c r="H12" s="11" t="s">
        <v>6</v>
      </c>
      <c r="Q12" s="11" t="s">
        <v>49</v>
      </c>
      <c r="S12" s="11" t="s">
        <v>62</v>
      </c>
    </row>
    <row r="13" spans="1:51" x14ac:dyDescent="0.25">
      <c r="D13" t="s">
        <v>7</v>
      </c>
      <c r="E13" t="s">
        <v>38</v>
      </c>
      <c r="F13" t="s">
        <v>24</v>
      </c>
      <c r="H13" s="1">
        <v>1</v>
      </c>
      <c r="I13" s="1">
        <v>0</v>
      </c>
      <c r="J13" s="1">
        <v>0</v>
      </c>
      <c r="Q13">
        <v>365</v>
      </c>
      <c r="S13" s="24">
        <v>3</v>
      </c>
      <c r="AM13" s="11" t="s">
        <v>46</v>
      </c>
      <c r="AP13" s="11" t="s">
        <v>40</v>
      </c>
      <c r="AX13" s="11" t="s">
        <v>50</v>
      </c>
    </row>
    <row r="14" spans="1:51" x14ac:dyDescent="0.25">
      <c r="D14" t="s">
        <v>9</v>
      </c>
      <c r="E14" t="s">
        <v>38</v>
      </c>
      <c r="F14" t="s">
        <v>36</v>
      </c>
      <c r="H14" s="1">
        <v>0</v>
      </c>
      <c r="I14" s="1">
        <v>1</v>
      </c>
      <c r="J14" s="1">
        <v>0</v>
      </c>
      <c r="AM14" s="3" cm="1">
        <f t="array" ref="AM14:AN16">TRANSPOSE(L47:N48)-MMULT(H13:J15,TRANSPOSE(H47:J48))</f>
        <v>0</v>
      </c>
      <c r="AN14" s="5">
        <v>0</v>
      </c>
      <c r="AP14" s="3" cm="1">
        <f t="array" ref="AP14:AR15">TRANSPOSE(L38:M40)-MMULT(H13:I14,TRANSPOSE(H38:I40))</f>
        <v>-3.1147079000000002E-16</v>
      </c>
      <c r="AQ14" s="4">
        <v>0</v>
      </c>
      <c r="AR14" s="5">
        <v>0</v>
      </c>
      <c r="AT14" s="3" cm="1">
        <f t="array" ref="AT14:AV15">TRANSPOSE(L42:M44)-MMULT(H13:I14,TRANSPOSE(H42:I44))</f>
        <v>0</v>
      </c>
      <c r="AU14" s="4">
        <v>0</v>
      </c>
      <c r="AV14" s="5">
        <v>0</v>
      </c>
      <c r="AX14" s="22">
        <f>L47-SUM(L38:L40)*Q13</f>
        <v>-6.6999999717154424E-6</v>
      </c>
      <c r="AY14" s="22">
        <f>L48-SUM(L42:L44)*Q13</f>
        <v>2.3999999939405825E-5</v>
      </c>
    </row>
    <row r="15" spans="1:51" x14ac:dyDescent="0.25">
      <c r="D15" t="s">
        <v>12</v>
      </c>
      <c r="E15" t="s">
        <v>23</v>
      </c>
      <c r="F15" t="s">
        <v>56</v>
      </c>
      <c r="H15" s="1">
        <v>0</v>
      </c>
      <c r="I15" s="1">
        <v>0</v>
      </c>
      <c r="J15" s="1">
        <v>1</v>
      </c>
      <c r="AM15" s="9">
        <v>0</v>
      </c>
      <c r="AN15" s="10">
        <v>0</v>
      </c>
      <c r="AP15" s="6">
        <v>0</v>
      </c>
      <c r="AQ15" s="7">
        <v>0</v>
      </c>
      <c r="AR15" s="8">
        <v>0</v>
      </c>
      <c r="AT15" s="6">
        <v>0</v>
      </c>
      <c r="AU15" s="7">
        <v>0</v>
      </c>
      <c r="AV15" s="8">
        <v>0</v>
      </c>
      <c r="AX15" s="22">
        <f>M47-SUM(M38:M40)*Q13</f>
        <v>-3.1000000717540388E-6</v>
      </c>
      <c r="AY15" s="22">
        <f>M48-SUM(M42:M44)*Q13</f>
        <v>1.3599999988400668E-5</v>
      </c>
    </row>
    <row r="16" spans="1:51" x14ac:dyDescent="0.25">
      <c r="Q16" s="11" t="s">
        <v>17</v>
      </c>
      <c r="U16" s="11"/>
      <c r="V16" s="11"/>
      <c r="W16" s="11"/>
      <c r="X16" s="11"/>
      <c r="Y16" s="11"/>
      <c r="Z16" s="11"/>
      <c r="AA16" s="11"/>
      <c r="AM16" s="6">
        <v>0</v>
      </c>
      <c r="AN16" s="8">
        <v>0</v>
      </c>
    </row>
    <row r="17" spans="1:27" x14ac:dyDescent="0.25">
      <c r="F17" t="s">
        <v>47</v>
      </c>
      <c r="K17" s="13" t="s">
        <v>21</v>
      </c>
      <c r="L17" s="1">
        <v>2</v>
      </c>
      <c r="M17" s="23">
        <v>1</v>
      </c>
      <c r="N17" s="23">
        <v>1</v>
      </c>
      <c r="Q17" s="12">
        <f>SUM(_xlfn.ANCHORARRAY(L81),_xlfn.ANCHORARRAY(L85))</f>
        <v>880.24235995999993</v>
      </c>
      <c r="U17" s="11"/>
      <c r="V17" s="11"/>
      <c r="W17" s="11"/>
      <c r="X17" s="11"/>
      <c r="Y17" s="11"/>
      <c r="Z17" s="11"/>
      <c r="AA17" s="11"/>
    </row>
    <row r="18" spans="1:27" x14ac:dyDescent="0.25">
      <c r="F18" t="s">
        <v>48</v>
      </c>
      <c r="K18" s="13" t="s">
        <v>22</v>
      </c>
      <c r="L18" s="1">
        <v>0</v>
      </c>
      <c r="M18" s="1">
        <v>0.5</v>
      </c>
      <c r="N18" s="1">
        <v>0.5</v>
      </c>
      <c r="U18" s="11"/>
      <c r="V18" s="11"/>
      <c r="W18" s="11"/>
      <c r="X18" s="11"/>
      <c r="Y18" s="11"/>
      <c r="Z18" s="11"/>
      <c r="AA18" s="11"/>
    </row>
    <row r="20" spans="1:27" x14ac:dyDescent="0.25">
      <c r="B20" t="s">
        <v>30</v>
      </c>
      <c r="F20" t="s">
        <v>52</v>
      </c>
      <c r="K20" s="13" t="s">
        <v>57</v>
      </c>
      <c r="L20" s="1">
        <v>0</v>
      </c>
      <c r="M20" s="1">
        <v>0.9</v>
      </c>
    </row>
    <row r="21" spans="1:27" x14ac:dyDescent="0.25">
      <c r="B21" t="s">
        <v>31</v>
      </c>
      <c r="L21" s="1">
        <v>0.3</v>
      </c>
      <c r="M21" s="1">
        <v>0.9</v>
      </c>
    </row>
    <row r="22" spans="1:27" x14ac:dyDescent="0.25">
      <c r="B22" t="s">
        <v>32</v>
      </c>
      <c r="L22" s="1">
        <v>0.2</v>
      </c>
      <c r="M22" s="1">
        <v>0.9</v>
      </c>
      <c r="N22" s="13" t="s">
        <v>59</v>
      </c>
    </row>
    <row r="23" spans="1:27" x14ac:dyDescent="0.25">
      <c r="A23" t="s">
        <v>10</v>
      </c>
      <c r="N23" s="1">
        <v>1</v>
      </c>
    </row>
    <row r="24" spans="1:27" x14ac:dyDescent="0.25">
      <c r="A24" t="s">
        <v>11</v>
      </c>
      <c r="N24" s="1">
        <v>1</v>
      </c>
    </row>
    <row r="25" spans="1:27" ht="5.25" customHeight="1" x14ac:dyDescent="0.25"/>
    <row r="26" spans="1:27" x14ac:dyDescent="0.25">
      <c r="B26" t="s">
        <v>30</v>
      </c>
      <c r="F26" t="s">
        <v>53</v>
      </c>
      <c r="K26" s="13" t="s">
        <v>58</v>
      </c>
      <c r="L26" s="1">
        <v>0</v>
      </c>
      <c r="M26" s="1">
        <v>0.3</v>
      </c>
    </row>
    <row r="27" spans="1:27" x14ac:dyDescent="0.25">
      <c r="B27" t="s">
        <v>31</v>
      </c>
      <c r="L27" s="1">
        <v>0.2</v>
      </c>
      <c r="M27" s="1">
        <v>0.3</v>
      </c>
    </row>
    <row r="28" spans="1:27" x14ac:dyDescent="0.25">
      <c r="B28" t="s">
        <v>32</v>
      </c>
      <c r="L28" s="1">
        <v>0.1</v>
      </c>
      <c r="M28" s="1">
        <v>0.3</v>
      </c>
      <c r="N28" s="13" t="s">
        <v>60</v>
      </c>
    </row>
    <row r="29" spans="1:27" x14ac:dyDescent="0.25">
      <c r="A29" t="s">
        <v>10</v>
      </c>
      <c r="N29" s="1">
        <v>0.7</v>
      </c>
    </row>
    <row r="30" spans="1:27" x14ac:dyDescent="0.25">
      <c r="A30" t="s">
        <v>11</v>
      </c>
      <c r="N30" s="1">
        <v>0.7</v>
      </c>
    </row>
    <row r="31" spans="1:27" x14ac:dyDescent="0.25">
      <c r="N31" s="11" t="s">
        <v>66</v>
      </c>
      <c r="S31" s="11" t="s">
        <v>67</v>
      </c>
    </row>
    <row r="32" spans="1:27" x14ac:dyDescent="0.25">
      <c r="B32" t="s">
        <v>30</v>
      </c>
      <c r="F32" t="s">
        <v>33</v>
      </c>
      <c r="N32" s="30">
        <f>1/3</f>
        <v>0.33333333333333331</v>
      </c>
      <c r="S32" s="1">
        <v>0.2</v>
      </c>
    </row>
    <row r="33" spans="1:52" x14ac:dyDescent="0.25">
      <c r="B33" t="s">
        <v>31</v>
      </c>
      <c r="N33" s="30">
        <f>1/3</f>
        <v>0.33333333333333331</v>
      </c>
      <c r="S33" s="1">
        <v>0.5</v>
      </c>
    </row>
    <row r="34" spans="1:52" x14ac:dyDescent="0.25">
      <c r="B34" t="s">
        <v>32</v>
      </c>
      <c r="N34" s="30">
        <f>1/3</f>
        <v>0.33333333333333331</v>
      </c>
      <c r="S34" s="1">
        <v>0.3</v>
      </c>
    </row>
    <row r="37" spans="1:52" x14ac:dyDescent="0.25">
      <c r="H37" s="11" t="s">
        <v>34</v>
      </c>
      <c r="L37" s="11" t="s">
        <v>35</v>
      </c>
    </row>
    <row r="38" spans="1:52" x14ac:dyDescent="0.25">
      <c r="A38" t="s">
        <v>10</v>
      </c>
      <c r="B38" t="s">
        <v>30</v>
      </c>
      <c r="H38" s="27">
        <v>3.1147079000000002E-16</v>
      </c>
      <c r="I38" s="27">
        <v>0.75869335999999998</v>
      </c>
      <c r="L38" s="27">
        <v>0</v>
      </c>
      <c r="M38" s="27">
        <v>0.75869335999999998</v>
      </c>
      <c r="N38" s="14"/>
    </row>
    <row r="39" spans="1:52" x14ac:dyDescent="0.25">
      <c r="B39" t="s">
        <v>31</v>
      </c>
      <c r="H39" s="27">
        <v>1.3277133999999999</v>
      </c>
      <c r="I39" s="27">
        <v>0.25289779000000001</v>
      </c>
      <c r="L39" s="27">
        <v>1.3277133999999999</v>
      </c>
      <c r="M39" s="27">
        <v>0.25289779000000001</v>
      </c>
    </row>
    <row r="40" spans="1:52" x14ac:dyDescent="0.25">
      <c r="B40" t="s">
        <v>32</v>
      </c>
      <c r="H40" s="27">
        <v>0.77976818000000003</v>
      </c>
      <c r="I40" s="27">
        <v>0.25289779000000001</v>
      </c>
      <c r="L40" s="27">
        <v>0.77976818000000003</v>
      </c>
      <c r="M40" s="27">
        <v>0.25289779000000001</v>
      </c>
      <c r="AW40" s="2"/>
      <c r="AX40" s="2"/>
      <c r="AY40" s="2"/>
      <c r="AZ40" s="2"/>
    </row>
    <row r="41" spans="1:52" s="2" customFormat="1" ht="3.75" customHeight="1" x14ac:dyDescent="0.25">
      <c r="J41"/>
      <c r="N41"/>
      <c r="AW41"/>
      <c r="AX41"/>
      <c r="AY41"/>
      <c r="AZ41"/>
    </row>
    <row r="42" spans="1:52" x14ac:dyDescent="0.25">
      <c r="A42" t="s">
        <v>11</v>
      </c>
      <c r="B42" t="s">
        <v>30</v>
      </c>
      <c r="H42" s="27">
        <v>0</v>
      </c>
      <c r="I42" s="27">
        <v>1.1380399999999999</v>
      </c>
      <c r="L42" s="27">
        <v>0</v>
      </c>
      <c r="M42" s="27">
        <v>1.1380399999999999</v>
      </c>
      <c r="N42" s="14"/>
    </row>
    <row r="43" spans="1:52" x14ac:dyDescent="0.25">
      <c r="B43" t="s">
        <v>31</v>
      </c>
      <c r="H43" s="27">
        <v>1.9915700999999999</v>
      </c>
      <c r="I43" s="27">
        <v>0.37934667999999999</v>
      </c>
      <c r="L43" s="27">
        <v>1.9915700999999999</v>
      </c>
      <c r="M43" s="27">
        <v>0.37934667999999999</v>
      </c>
    </row>
    <row r="44" spans="1:52" x14ac:dyDescent="0.25">
      <c r="B44" t="s">
        <v>32</v>
      </c>
      <c r="H44" s="27">
        <v>1.1696523000000001</v>
      </c>
      <c r="I44" s="27">
        <v>0.37934667999999999</v>
      </c>
      <c r="L44" s="27">
        <v>1.1696523000000001</v>
      </c>
      <c r="M44" s="27">
        <v>0.37934667999999999</v>
      </c>
    </row>
    <row r="46" spans="1:52" x14ac:dyDescent="0.25">
      <c r="H46" s="11" t="s">
        <v>41</v>
      </c>
      <c r="L46" s="11" t="s">
        <v>42</v>
      </c>
    </row>
    <row r="47" spans="1:52" x14ac:dyDescent="0.25">
      <c r="A47" t="s">
        <v>10</v>
      </c>
      <c r="H47" s="18">
        <v>769.23077000000001</v>
      </c>
      <c r="I47" s="18">
        <v>461.53845999999999</v>
      </c>
      <c r="J47" s="18">
        <v>230.76922999999999</v>
      </c>
      <c r="L47" s="18">
        <v>769.23077000000001</v>
      </c>
      <c r="M47" s="18">
        <v>461.53845999999999</v>
      </c>
      <c r="N47" s="18">
        <v>230.76922999999999</v>
      </c>
    </row>
    <row r="48" spans="1:52" x14ac:dyDescent="0.25">
      <c r="A48" t="s">
        <v>11</v>
      </c>
      <c r="H48" s="18">
        <v>1153.8462</v>
      </c>
      <c r="I48" s="18">
        <v>692.30768999999998</v>
      </c>
      <c r="J48" s="18">
        <v>346.15384999999998</v>
      </c>
      <c r="L48" s="18">
        <v>1153.8462</v>
      </c>
      <c r="M48" s="18">
        <v>692.30768999999998</v>
      </c>
      <c r="N48" s="18">
        <v>346.15384999999998</v>
      </c>
    </row>
    <row r="50" spans="1:14" x14ac:dyDescent="0.25">
      <c r="L50" s="11" t="s">
        <v>61</v>
      </c>
    </row>
    <row r="51" spans="1:14" x14ac:dyDescent="0.25">
      <c r="A51" t="s">
        <v>10</v>
      </c>
      <c r="B51" t="s">
        <v>30</v>
      </c>
      <c r="L51" s="1">
        <f t="array" ref="L51:M53">MMULT(L20:M22,L77:M77*_xlfn.MUNIT(2))</f>
        <v>0</v>
      </c>
      <c r="M51" s="1">
        <v>0.75869335800000004</v>
      </c>
    </row>
    <row r="52" spans="1:14" x14ac:dyDescent="0.25">
      <c r="B52" t="s">
        <v>31</v>
      </c>
      <c r="L52" s="1">
        <v>1.9915700699999999</v>
      </c>
      <c r="M52" s="1">
        <v>0.75869335800000004</v>
      </c>
    </row>
    <row r="53" spans="1:14" x14ac:dyDescent="0.25">
      <c r="B53" t="s">
        <v>32</v>
      </c>
      <c r="L53" s="1">
        <v>1.3277133800000001</v>
      </c>
      <c r="M53" s="1">
        <v>0.75869335800000004</v>
      </c>
    </row>
    <row r="54" spans="1:14" ht="3.75" customHeight="1" x14ac:dyDescent="0.25"/>
    <row r="55" spans="1:14" x14ac:dyDescent="0.25">
      <c r="A55" t="s">
        <v>11</v>
      </c>
      <c r="B55" t="s">
        <v>30</v>
      </c>
      <c r="L55" s="1">
        <f t="array" ref="L55:M57">MMULT(L20:M22,L78:M78*_xlfn.MUNIT(2))</f>
        <v>0</v>
      </c>
      <c r="M55" s="1">
        <v>1.1380400369999999</v>
      </c>
      <c r="N55" s="29"/>
    </row>
    <row r="56" spans="1:14" x14ac:dyDescent="0.25">
      <c r="B56" t="s">
        <v>31</v>
      </c>
      <c r="L56" s="1">
        <v>1.9915700699999999</v>
      </c>
      <c r="M56" s="1">
        <v>1.1380400369999999</v>
      </c>
    </row>
    <row r="57" spans="1:14" x14ac:dyDescent="0.25">
      <c r="B57" t="s">
        <v>32</v>
      </c>
      <c r="L57" s="1">
        <v>1.3277133800000001</v>
      </c>
      <c r="M57" s="1">
        <v>1.1380400369999999</v>
      </c>
      <c r="N57" s="11" t="s">
        <v>63</v>
      </c>
    </row>
    <row r="58" spans="1:14" x14ac:dyDescent="0.25">
      <c r="A58" t="s">
        <v>10</v>
      </c>
      <c r="N58" s="28" cm="1">
        <f t="array" ref="N58:N59">N23:N24*N77:N78*Q13*S13</f>
        <v>329.67032504999997</v>
      </c>
    </row>
    <row r="59" spans="1:14" x14ac:dyDescent="0.25">
      <c r="A59" t="s">
        <v>11</v>
      </c>
      <c r="N59" s="28">
        <v>346.15384184999994</v>
      </c>
    </row>
    <row r="61" spans="1:14" x14ac:dyDescent="0.25">
      <c r="L61" s="11" t="s">
        <v>65</v>
      </c>
    </row>
    <row r="62" spans="1:14" x14ac:dyDescent="0.25">
      <c r="A62" t="s">
        <v>10</v>
      </c>
      <c r="B62" t="s">
        <v>30</v>
      </c>
      <c r="L62" s="1">
        <f t="array" ref="L62:M64">MMULT(L26:M28,L77:M77*_xlfn.MUNIT(2))</f>
        <v>0</v>
      </c>
      <c r="M62" s="1">
        <v>0.25289778599999996</v>
      </c>
    </row>
    <row r="63" spans="1:14" x14ac:dyDescent="0.25">
      <c r="B63" t="s">
        <v>31</v>
      </c>
      <c r="L63" s="1">
        <v>1.3277133800000001</v>
      </c>
      <c r="M63" s="1">
        <v>0.25289778599999996</v>
      </c>
    </row>
    <row r="64" spans="1:14" x14ac:dyDescent="0.25">
      <c r="B64" t="s">
        <v>32</v>
      </c>
      <c r="L64" s="1">
        <v>0.66385669000000003</v>
      </c>
      <c r="M64" s="1">
        <v>0.25289778599999996</v>
      </c>
    </row>
    <row r="65" spans="1:17" ht="3.75" customHeight="1" x14ac:dyDescent="0.25"/>
    <row r="66" spans="1:17" x14ac:dyDescent="0.25">
      <c r="A66" t="s">
        <v>11</v>
      </c>
      <c r="B66" t="s">
        <v>30</v>
      </c>
      <c r="L66" s="1">
        <f t="array" ref="L66:M68">MMULT(L26:M28,L78:M78*_xlfn.MUNIT(2))</f>
        <v>0</v>
      </c>
      <c r="M66" s="1">
        <v>0.37934667899999996</v>
      </c>
    </row>
    <row r="67" spans="1:17" x14ac:dyDescent="0.25">
      <c r="B67" t="s">
        <v>31</v>
      </c>
      <c r="L67" s="1">
        <v>1.3277133800000001</v>
      </c>
      <c r="M67" s="1">
        <v>0.37934667899999996</v>
      </c>
    </row>
    <row r="68" spans="1:17" x14ac:dyDescent="0.25">
      <c r="B68" t="s">
        <v>32</v>
      </c>
      <c r="L68" s="1">
        <v>0.66385669000000003</v>
      </c>
      <c r="M68" s="1">
        <v>0.37934667899999996</v>
      </c>
      <c r="N68" s="11" t="s">
        <v>64</v>
      </c>
    </row>
    <row r="69" spans="1:17" x14ac:dyDescent="0.25">
      <c r="N69" s="28" cm="1">
        <f t="array" ref="N69:N70">N29:N30*N77:N78*Q13*S13</f>
        <v>230.76922753499997</v>
      </c>
    </row>
    <row r="70" spans="1:17" x14ac:dyDescent="0.25">
      <c r="N70" s="28">
        <v>242.30768929499993</v>
      </c>
    </row>
    <row r="72" spans="1:17" x14ac:dyDescent="0.25">
      <c r="L72" s="11" t="s">
        <v>13</v>
      </c>
      <c r="P72" s="11" t="s">
        <v>19</v>
      </c>
    </row>
    <row r="73" spans="1:17" x14ac:dyDescent="0.25">
      <c r="A73" t="s">
        <v>10</v>
      </c>
      <c r="L73" s="25">
        <v>6.6385668999999998</v>
      </c>
      <c r="M73" s="25">
        <v>0.84299261999999997</v>
      </c>
      <c r="N73" s="25">
        <v>0.30106878999999998</v>
      </c>
      <c r="P73" s="1">
        <v>1</v>
      </c>
      <c r="Q73" s="1">
        <v>0</v>
      </c>
    </row>
    <row r="74" spans="1:17" x14ac:dyDescent="0.25">
      <c r="A74" t="s">
        <v>11</v>
      </c>
      <c r="L74" s="25">
        <v>0</v>
      </c>
      <c r="M74" s="25">
        <v>0.42149630999999999</v>
      </c>
      <c r="N74" s="25">
        <v>1.505344E-2</v>
      </c>
      <c r="P74" s="1">
        <v>1</v>
      </c>
      <c r="Q74" s="1">
        <v>1</v>
      </c>
    </row>
    <row r="76" spans="1:17" x14ac:dyDescent="0.25">
      <c r="L76" s="11" t="s">
        <v>54</v>
      </c>
    </row>
    <row r="77" spans="1:17" x14ac:dyDescent="0.25">
      <c r="A77" t="s">
        <v>10</v>
      </c>
      <c r="L77" s="26" cm="1">
        <f t="array" ref="L77:N78">MMULT(P73:Q74,L73:N74)</f>
        <v>6.6385668999999998</v>
      </c>
      <c r="M77" s="26">
        <v>0.84299261999999997</v>
      </c>
      <c r="N77" s="26">
        <v>0.30106878999999998</v>
      </c>
    </row>
    <row r="78" spans="1:17" x14ac:dyDescent="0.25">
      <c r="A78" t="s">
        <v>11</v>
      </c>
      <c r="L78" s="26">
        <v>6.6385668999999998</v>
      </c>
      <c r="M78" s="26">
        <v>1.26448893</v>
      </c>
      <c r="N78" s="26">
        <v>0.31612222999999995</v>
      </c>
    </row>
    <row r="80" spans="1:17" x14ac:dyDescent="0.25">
      <c r="L80" s="11" t="s">
        <v>20</v>
      </c>
    </row>
    <row r="81" spans="1:14" x14ac:dyDescent="0.25">
      <c r="A81" t="s">
        <v>10</v>
      </c>
      <c r="L81" s="17" cm="1">
        <f t="array" ref="L81:N82">MMULT(L73:N74,L17:N17*_xlfn.MUNIT(3))</f>
        <v>13.2771338</v>
      </c>
      <c r="M81" s="17">
        <v>0.84299261999999997</v>
      </c>
      <c r="N81" s="17">
        <v>0.30106878999999998</v>
      </c>
    </row>
    <row r="82" spans="1:14" x14ac:dyDescent="0.25">
      <c r="A82" t="s">
        <v>11</v>
      </c>
      <c r="L82" s="17">
        <v>0</v>
      </c>
      <c r="M82" s="17">
        <v>0.42149630999999999</v>
      </c>
      <c r="N82" s="17">
        <v>1.505344E-2</v>
      </c>
    </row>
    <row r="84" spans="1:14" x14ac:dyDescent="0.25">
      <c r="L84" s="11" t="s">
        <v>55</v>
      </c>
    </row>
    <row r="85" spans="1:14" x14ac:dyDescent="0.25">
      <c r="A85" t="s">
        <v>10</v>
      </c>
      <c r="L85" s="17" cm="1">
        <f t="array" ref="L85:N86">MMULT(L47:N48,L18:N18*_xlfn.MUNIT(3))</f>
        <v>0</v>
      </c>
      <c r="M85" s="17">
        <v>230.76922999999999</v>
      </c>
      <c r="N85" s="17">
        <v>115.384615</v>
      </c>
    </row>
    <row r="86" spans="1:14" x14ac:dyDescent="0.25">
      <c r="A86" t="s">
        <v>11</v>
      </c>
      <c r="L86" s="17">
        <v>0</v>
      </c>
      <c r="M86" s="17">
        <v>346.15384499999999</v>
      </c>
      <c r="N86" s="17">
        <v>173.07692499999999</v>
      </c>
    </row>
    <row r="88" spans="1:14" x14ac:dyDescent="0.25">
      <c r="L88" s="11" t="s">
        <v>68</v>
      </c>
    </row>
    <row r="89" spans="1:14" x14ac:dyDescent="0.25">
      <c r="A89" t="s">
        <v>10</v>
      </c>
      <c r="C89" t="s">
        <v>3</v>
      </c>
      <c r="L89" s="17" cm="1">
        <f t="array" ref="L89:N90">MMULT(L9:N10,_xlfn.MUNIT(3)*L47:N47)</f>
        <v>0</v>
      </c>
      <c r="M89" s="17">
        <v>0</v>
      </c>
      <c r="N89" s="17">
        <v>230.76922999999999</v>
      </c>
    </row>
    <row r="90" spans="1:14" x14ac:dyDescent="0.25">
      <c r="C90" t="s">
        <v>4</v>
      </c>
      <c r="L90" s="17">
        <v>0</v>
      </c>
      <c r="M90" s="17">
        <v>230.76922999999999</v>
      </c>
      <c r="N90" s="17">
        <v>0</v>
      </c>
    </row>
    <row r="91" spans="1:14" x14ac:dyDescent="0.25">
      <c r="A91" t="s">
        <v>11</v>
      </c>
      <c r="C91" t="s">
        <v>3</v>
      </c>
      <c r="L91" s="17" cm="1">
        <f t="array" ref="L91:N92">MMULT(L9:N10,_xlfn.MUNIT(3)*L48:N48)</f>
        <v>0</v>
      </c>
      <c r="M91" s="17">
        <v>0</v>
      </c>
      <c r="N91" s="17">
        <v>346.15384999999998</v>
      </c>
    </row>
    <row r="92" spans="1:14" x14ac:dyDescent="0.25">
      <c r="C92" t="s">
        <v>4</v>
      </c>
      <c r="L92" s="17">
        <v>0</v>
      </c>
      <c r="M92" s="17">
        <v>346.15384499999999</v>
      </c>
      <c r="N92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5F7A-12EA-4F3D-841B-2D3ACD841AA6}">
  <dimension ref="A1:AD53"/>
  <sheetViews>
    <sheetView workbookViewId="0">
      <pane xSplit="7" ySplit="6" topLeftCell="H16" activePane="bottomRight" state="frozen"/>
      <selection pane="topRight" activeCell="H1" sqref="H1"/>
      <selection pane="bottomLeft" activeCell="A7" sqref="A7"/>
      <selection pane="bottomRight" activeCell="M42" sqref="M42"/>
    </sheetView>
  </sheetViews>
  <sheetFormatPr defaultRowHeight="15" x14ac:dyDescent="0.25"/>
  <cols>
    <col min="1" max="1" width="5.42578125" bestFit="1" customWidth="1"/>
    <col min="2" max="2" width="6" bestFit="1" customWidth="1"/>
    <col min="3" max="3" width="6.28515625" bestFit="1" customWidth="1"/>
    <col min="4" max="4" width="6.140625" bestFit="1" customWidth="1"/>
    <col min="5" max="5" width="9" bestFit="1" customWidth="1"/>
    <col min="6" max="6" width="7.7109375" bestFit="1" customWidth="1"/>
    <col min="7" max="7" width="3.42578125" customWidth="1"/>
    <col min="8" max="8" width="9.85546875" bestFit="1" customWidth="1"/>
    <col min="9" max="9" width="8.42578125" bestFit="1" customWidth="1"/>
    <col min="10" max="10" width="2.85546875" customWidth="1"/>
    <col min="14" max="14" width="9.140625" style="42"/>
    <col min="17" max="21" width="4.7109375" customWidth="1"/>
    <col min="22" max="22" width="3" customWidth="1"/>
    <col min="23" max="23" width="4.28515625" bestFit="1" customWidth="1"/>
    <col min="24" max="24" width="4.42578125" bestFit="1" customWidth="1"/>
    <col min="26" max="30" width="5.140625" customWidth="1"/>
  </cols>
  <sheetData>
    <row r="1" spans="1:30" x14ac:dyDescent="0.25">
      <c r="A1" s="15" t="s">
        <v>23</v>
      </c>
      <c r="B1" s="15"/>
      <c r="C1" s="15"/>
      <c r="D1" s="15"/>
      <c r="E1" s="15"/>
      <c r="F1" s="15"/>
    </row>
    <row r="2" spans="1:30" x14ac:dyDescent="0.25">
      <c r="A2" s="15"/>
      <c r="B2" s="15" t="s">
        <v>70</v>
      </c>
      <c r="C2" s="15"/>
      <c r="D2" s="15"/>
      <c r="E2" s="15"/>
      <c r="F2" s="15"/>
      <c r="Q2" t="s">
        <v>30</v>
      </c>
      <c r="R2" t="s">
        <v>31</v>
      </c>
      <c r="S2" t="s">
        <v>32</v>
      </c>
      <c r="T2" t="s">
        <v>78</v>
      </c>
      <c r="U2" t="s">
        <v>79</v>
      </c>
      <c r="Z2" t="s">
        <v>30</v>
      </c>
      <c r="AA2" t="s">
        <v>31</v>
      </c>
      <c r="AB2" t="s">
        <v>32</v>
      </c>
      <c r="AC2" t="s">
        <v>78</v>
      </c>
      <c r="AD2" t="s">
        <v>79</v>
      </c>
    </row>
    <row r="3" spans="1:30" x14ac:dyDescent="0.25">
      <c r="A3" s="15"/>
      <c r="B3" s="15"/>
      <c r="C3" s="15" t="s">
        <v>0</v>
      </c>
      <c r="D3" s="15"/>
      <c r="E3" s="15"/>
      <c r="F3" s="15"/>
      <c r="H3" t="s">
        <v>14</v>
      </c>
      <c r="I3" t="s">
        <v>15</v>
      </c>
      <c r="K3" t="s">
        <v>7</v>
      </c>
      <c r="L3" t="s">
        <v>9</v>
      </c>
      <c r="M3" t="s">
        <v>12</v>
      </c>
      <c r="W3" t="s">
        <v>14</v>
      </c>
      <c r="X3" t="s">
        <v>15</v>
      </c>
    </row>
    <row r="4" spans="1:30" x14ac:dyDescent="0.25">
      <c r="A4" s="15"/>
      <c r="B4" s="15"/>
      <c r="C4" s="15"/>
      <c r="D4" s="15" t="s">
        <v>1</v>
      </c>
      <c r="E4" s="15"/>
      <c r="F4" s="15"/>
      <c r="M4" t="s">
        <v>98</v>
      </c>
      <c r="O4" t="s">
        <v>29</v>
      </c>
    </row>
    <row r="5" spans="1:30" x14ac:dyDescent="0.25">
      <c r="A5" s="15"/>
      <c r="B5" s="15"/>
      <c r="C5" s="15"/>
      <c r="D5" s="15"/>
      <c r="E5" s="15" t="s">
        <v>37</v>
      </c>
      <c r="F5" s="15"/>
    </row>
    <row r="6" spans="1:30" x14ac:dyDescent="0.25">
      <c r="A6" s="15"/>
      <c r="B6" s="15"/>
      <c r="C6" s="15"/>
      <c r="D6" s="15"/>
      <c r="E6" s="15"/>
      <c r="F6" s="15" t="s">
        <v>2</v>
      </c>
      <c r="H6" t="s">
        <v>76</v>
      </c>
      <c r="I6" t="s">
        <v>77</v>
      </c>
      <c r="O6" t="s">
        <v>8</v>
      </c>
    </row>
    <row r="7" spans="1:30" x14ac:dyDescent="0.25">
      <c r="A7" s="15"/>
      <c r="B7" s="15"/>
      <c r="C7" s="15"/>
      <c r="D7" s="15"/>
      <c r="E7" s="15"/>
      <c r="F7" s="15"/>
      <c r="H7" s="11" t="s">
        <v>39</v>
      </c>
      <c r="K7" s="11" t="s">
        <v>5</v>
      </c>
      <c r="O7" s="11" t="s">
        <v>18</v>
      </c>
      <c r="Q7" s="11" t="s">
        <v>89</v>
      </c>
      <c r="Z7" s="11" t="s">
        <v>92</v>
      </c>
    </row>
    <row r="8" spans="1:30" x14ac:dyDescent="0.25">
      <c r="C8" t="s">
        <v>3</v>
      </c>
      <c r="E8" t="s">
        <v>38</v>
      </c>
      <c r="F8" t="s">
        <v>26</v>
      </c>
      <c r="H8" s="16">
        <v>1</v>
      </c>
      <c r="I8" s="16">
        <v>1</v>
      </c>
      <c r="K8" s="1">
        <v>0</v>
      </c>
      <c r="L8" s="1">
        <v>0</v>
      </c>
      <c r="M8" s="1">
        <v>-1</v>
      </c>
      <c r="O8" s="1">
        <v>10</v>
      </c>
      <c r="Q8" s="17" cm="1">
        <f t="array" ref="Q8:U8">MMULT(H8:I8,TRANSPOSE(H35:I39))</f>
        <v>3</v>
      </c>
      <c r="R8" s="17">
        <v>5</v>
      </c>
      <c r="S8" s="17">
        <v>3</v>
      </c>
      <c r="T8" s="17">
        <v>1</v>
      </c>
      <c r="U8" s="17">
        <v>0</v>
      </c>
      <c r="Z8" s="19" cm="1">
        <f t="array" ref="Z8:AD8">_xlfn.ANCHORARRAY(Q8)-_xlfn.ANCHORARRAY(Q10)-_xlfn.ANCHORARRAY(Q12)</f>
        <v>0</v>
      </c>
      <c r="AA8" s="20">
        <v>0</v>
      </c>
      <c r="AB8" s="20">
        <v>0</v>
      </c>
      <c r="AC8" s="20">
        <v>0</v>
      </c>
      <c r="AD8" s="21">
        <v>0</v>
      </c>
    </row>
    <row r="9" spans="1:30" x14ac:dyDescent="0.25">
      <c r="H9" s="11" t="s">
        <v>6</v>
      </c>
      <c r="Q9" s="11" t="s">
        <v>90</v>
      </c>
      <c r="Z9" s="11" t="s">
        <v>99</v>
      </c>
    </row>
    <row r="10" spans="1:30" x14ac:dyDescent="0.25">
      <c r="C10" t="s">
        <v>7</v>
      </c>
      <c r="E10" t="s">
        <v>38</v>
      </c>
      <c r="F10" t="s">
        <v>25</v>
      </c>
      <c r="H10" s="1">
        <v>1</v>
      </c>
      <c r="I10" s="1">
        <v>0</v>
      </c>
      <c r="Q10" s="17" cm="1">
        <f t="array" ref="Q10:U10">MMULT(K8:M8,TRANSPOSE(K35:M39))</f>
        <v>2</v>
      </c>
      <c r="R10" s="17">
        <v>3</v>
      </c>
      <c r="S10" s="17">
        <v>0</v>
      </c>
      <c r="T10" s="17">
        <v>-1</v>
      </c>
      <c r="U10" s="17">
        <v>-2</v>
      </c>
      <c r="Z10" s="32" cm="1">
        <f t="array" ref="Z10:AD11">TRANSPOSE(K35:L39)-MMULT(H10:I11,TRANSPOSE(H35:I39))</f>
        <v>0</v>
      </c>
      <c r="AA10" s="33">
        <v>0</v>
      </c>
      <c r="AB10" s="33">
        <v>0</v>
      </c>
      <c r="AC10" s="33">
        <v>0</v>
      </c>
      <c r="AD10" s="34">
        <v>0</v>
      </c>
    </row>
    <row r="11" spans="1:30" x14ac:dyDescent="0.25">
      <c r="C11" t="s">
        <v>9</v>
      </c>
      <c r="E11" t="s">
        <v>38</v>
      </c>
      <c r="F11" t="s">
        <v>24</v>
      </c>
      <c r="H11" s="1">
        <v>0</v>
      </c>
      <c r="I11" s="1">
        <v>1</v>
      </c>
      <c r="Z11" s="35">
        <v>0</v>
      </c>
      <c r="AA11" s="36">
        <v>0</v>
      </c>
      <c r="AB11" s="36">
        <v>0</v>
      </c>
      <c r="AC11" s="36">
        <v>0</v>
      </c>
      <c r="AD11" s="37">
        <v>0</v>
      </c>
    </row>
    <row r="12" spans="1:30" x14ac:dyDescent="0.25">
      <c r="N12" s="13" t="s">
        <v>17</v>
      </c>
      <c r="O12" s="12" cm="1">
        <f t="array" ref="O12">SUM(MMULT(K35:M39,K25:M25*_xlfn.MUNIT(3)))</f>
        <v>12</v>
      </c>
      <c r="Q12" s="16" cm="1">
        <f t="array" ref="Q12:U12">O8*TRANSPOSE(O19:O23)</f>
        <v>1</v>
      </c>
      <c r="R12" s="16">
        <v>2</v>
      </c>
      <c r="S12" s="16">
        <v>3</v>
      </c>
      <c r="T12" s="16">
        <v>2</v>
      </c>
      <c r="U12" s="16">
        <v>2</v>
      </c>
    </row>
    <row r="13" spans="1:30" x14ac:dyDescent="0.25">
      <c r="B13" t="s">
        <v>30</v>
      </c>
      <c r="F13" t="s">
        <v>80</v>
      </c>
      <c r="K13" s="1">
        <v>1</v>
      </c>
      <c r="L13" s="1">
        <v>1</v>
      </c>
    </row>
    <row r="14" spans="1:30" x14ac:dyDescent="0.25">
      <c r="B14" t="s">
        <v>31</v>
      </c>
      <c r="K14" s="1">
        <v>1</v>
      </c>
      <c r="L14" s="1">
        <v>1</v>
      </c>
    </row>
    <row r="15" spans="1:30" x14ac:dyDescent="0.25">
      <c r="B15" t="s">
        <v>32</v>
      </c>
      <c r="K15" s="1">
        <v>1</v>
      </c>
      <c r="L15" s="1">
        <v>1</v>
      </c>
    </row>
    <row r="16" spans="1:30" x14ac:dyDescent="0.25">
      <c r="B16" t="s">
        <v>78</v>
      </c>
      <c r="K16" s="1">
        <v>1</v>
      </c>
      <c r="L16" s="1">
        <v>1</v>
      </c>
    </row>
    <row r="17" spans="2:21" x14ac:dyDescent="0.25">
      <c r="B17" t="s">
        <v>79</v>
      </c>
      <c r="K17" s="1">
        <v>1</v>
      </c>
      <c r="L17" s="1">
        <v>1</v>
      </c>
    </row>
    <row r="18" spans="2:21" x14ac:dyDescent="0.25">
      <c r="O18" s="11" t="s">
        <v>85</v>
      </c>
      <c r="Q18" s="11" t="s">
        <v>75</v>
      </c>
    </row>
    <row r="19" spans="2:21" x14ac:dyDescent="0.25">
      <c r="B19" t="s">
        <v>30</v>
      </c>
      <c r="F19" t="s">
        <v>81</v>
      </c>
      <c r="K19" s="1">
        <v>0</v>
      </c>
      <c r="L19" s="1">
        <v>0</v>
      </c>
      <c r="O19" s="1">
        <v>0.1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2:21" x14ac:dyDescent="0.25">
      <c r="B20" t="s">
        <v>31</v>
      </c>
      <c r="K20" s="1">
        <v>0</v>
      </c>
      <c r="L20" s="1">
        <v>0</v>
      </c>
      <c r="O20" s="1">
        <v>0.2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</row>
    <row r="21" spans="2:21" x14ac:dyDescent="0.25">
      <c r="B21" t="s">
        <v>32</v>
      </c>
      <c r="K21" s="1">
        <v>0</v>
      </c>
      <c r="L21" s="1">
        <v>0</v>
      </c>
      <c r="O21" s="1">
        <v>0.3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</row>
    <row r="22" spans="2:21" x14ac:dyDescent="0.25">
      <c r="B22" t="s">
        <v>78</v>
      </c>
      <c r="K22" s="1">
        <v>0</v>
      </c>
      <c r="L22" s="1">
        <v>0</v>
      </c>
      <c r="O22" s="1">
        <v>0.2</v>
      </c>
      <c r="Q22" s="1">
        <v>1</v>
      </c>
      <c r="R22" s="1">
        <v>1</v>
      </c>
      <c r="S22" s="1">
        <v>1</v>
      </c>
      <c r="T22" s="1">
        <v>1</v>
      </c>
      <c r="U22" s="1">
        <v>0</v>
      </c>
    </row>
    <row r="23" spans="2:21" x14ac:dyDescent="0.25">
      <c r="B23" t="s">
        <v>79</v>
      </c>
      <c r="K23" s="1">
        <v>0</v>
      </c>
      <c r="L23" s="1">
        <v>0</v>
      </c>
      <c r="O23" s="1">
        <v>0.2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</row>
    <row r="25" spans="2:21" x14ac:dyDescent="0.25">
      <c r="F25" t="s">
        <v>73</v>
      </c>
      <c r="J25" s="13" t="s">
        <v>22</v>
      </c>
      <c r="K25" s="1">
        <v>3</v>
      </c>
      <c r="L25" s="1">
        <v>1</v>
      </c>
      <c r="M25" s="1">
        <v>0</v>
      </c>
    </row>
    <row r="26" spans="2:21" x14ac:dyDescent="0.25">
      <c r="F26" t="s">
        <v>72</v>
      </c>
      <c r="J26" s="13" t="s">
        <v>82</v>
      </c>
      <c r="M26" s="1">
        <v>0.1</v>
      </c>
      <c r="O26" s="40">
        <f>M26*M30</f>
        <v>1</v>
      </c>
      <c r="P26" s="39" t="s">
        <v>97</v>
      </c>
    </row>
    <row r="27" spans="2:21" x14ac:dyDescent="0.25">
      <c r="J27" s="13" t="s">
        <v>83</v>
      </c>
      <c r="M27" s="1">
        <v>0.9</v>
      </c>
      <c r="O27" s="40">
        <f>M27*M30</f>
        <v>9</v>
      </c>
      <c r="P27" s="39" t="s">
        <v>96</v>
      </c>
    </row>
    <row r="28" spans="2:21" x14ac:dyDescent="0.25">
      <c r="J28" s="13" t="s">
        <v>84</v>
      </c>
      <c r="M28" s="1">
        <v>0.4</v>
      </c>
      <c r="O28" s="40">
        <f>M30*M28</f>
        <v>4</v>
      </c>
      <c r="P28" s="39" t="s">
        <v>94</v>
      </c>
    </row>
    <row r="29" spans="2:21" x14ac:dyDescent="0.25">
      <c r="J29" s="13" t="s">
        <v>93</v>
      </c>
      <c r="M29" s="1">
        <v>0.6</v>
      </c>
      <c r="O29" s="40">
        <f>M30*M29</f>
        <v>6</v>
      </c>
      <c r="P29" s="39" t="s">
        <v>95</v>
      </c>
    </row>
    <row r="30" spans="2:21" x14ac:dyDescent="0.25">
      <c r="J30" s="13" t="s">
        <v>87</v>
      </c>
      <c r="K30" s="1">
        <v>10</v>
      </c>
      <c r="L30" s="1">
        <v>10</v>
      </c>
      <c r="M30" s="1">
        <v>10</v>
      </c>
    </row>
    <row r="31" spans="2:21" x14ac:dyDescent="0.25">
      <c r="J31" s="13" t="s">
        <v>107</v>
      </c>
      <c r="M31" s="1">
        <v>-3</v>
      </c>
    </row>
    <row r="32" spans="2:21" x14ac:dyDescent="0.25">
      <c r="J32" s="13" t="s">
        <v>108</v>
      </c>
      <c r="M32" s="1">
        <v>3</v>
      </c>
    </row>
    <row r="34" spans="2:13" x14ac:dyDescent="0.25">
      <c r="H34" s="11" t="s">
        <v>34</v>
      </c>
      <c r="K34" s="11" t="s">
        <v>35</v>
      </c>
    </row>
    <row r="35" spans="2:13" x14ac:dyDescent="0.25">
      <c r="B35" t="s">
        <v>30</v>
      </c>
      <c r="H35" s="38">
        <v>0</v>
      </c>
      <c r="I35" s="38">
        <v>3</v>
      </c>
      <c r="K35" s="38">
        <v>0</v>
      </c>
      <c r="L35" s="38">
        <v>3</v>
      </c>
      <c r="M35" s="38">
        <v>-2</v>
      </c>
    </row>
    <row r="36" spans="2:13" x14ac:dyDescent="0.25">
      <c r="B36" t="s">
        <v>31</v>
      </c>
      <c r="H36" s="38">
        <v>0</v>
      </c>
      <c r="I36" s="38">
        <v>5</v>
      </c>
      <c r="K36" s="38">
        <v>0</v>
      </c>
      <c r="L36" s="38">
        <v>5</v>
      </c>
      <c r="M36" s="38">
        <v>-3</v>
      </c>
    </row>
    <row r="37" spans="2:13" x14ac:dyDescent="0.25">
      <c r="B37" t="s">
        <v>32</v>
      </c>
      <c r="H37" s="38">
        <v>0</v>
      </c>
      <c r="I37" s="38">
        <v>3</v>
      </c>
      <c r="K37" s="38">
        <v>0</v>
      </c>
      <c r="L37" s="38">
        <v>3</v>
      </c>
      <c r="M37" s="38">
        <v>0</v>
      </c>
    </row>
    <row r="38" spans="2:13" x14ac:dyDescent="0.25">
      <c r="B38" t="s">
        <v>78</v>
      </c>
      <c r="H38" s="38">
        <v>0</v>
      </c>
      <c r="I38" s="38">
        <v>1</v>
      </c>
      <c r="K38" s="38">
        <v>0</v>
      </c>
      <c r="L38" s="38">
        <v>1</v>
      </c>
      <c r="M38" s="38">
        <v>1</v>
      </c>
    </row>
    <row r="39" spans="2:13" x14ac:dyDescent="0.25">
      <c r="B39" t="s">
        <v>79</v>
      </c>
      <c r="H39" s="38">
        <v>0</v>
      </c>
      <c r="I39" s="38">
        <v>0</v>
      </c>
      <c r="K39" s="38">
        <v>0</v>
      </c>
      <c r="L39" s="38">
        <v>0</v>
      </c>
      <c r="M39" s="38">
        <v>2</v>
      </c>
    </row>
    <row r="40" spans="2:13" x14ac:dyDescent="0.25">
      <c r="H40" s="11"/>
    </row>
    <row r="41" spans="2:13" x14ac:dyDescent="0.25">
      <c r="K41" s="11" t="s">
        <v>86</v>
      </c>
      <c r="L41" s="10"/>
      <c r="M41" s="11" t="s">
        <v>74</v>
      </c>
    </row>
    <row r="42" spans="2:13" x14ac:dyDescent="0.25">
      <c r="B42" t="s">
        <v>30</v>
      </c>
      <c r="K42" s="40" cm="1">
        <f t="array" ref="K42:L46">K30:L30*K13:L17</f>
        <v>10</v>
      </c>
      <c r="L42" s="41">
        <v>10</v>
      </c>
      <c r="M42" s="40" cm="1">
        <f t="array" ref="M42:M46">O28-MMULT(Q19:U23,M35:M39)</f>
        <v>6</v>
      </c>
    </row>
    <row r="43" spans="2:13" x14ac:dyDescent="0.25">
      <c r="B43" t="s">
        <v>31</v>
      </c>
      <c r="K43" s="40">
        <v>10</v>
      </c>
      <c r="L43" s="41">
        <v>10</v>
      </c>
      <c r="M43" s="40">
        <v>9</v>
      </c>
    </row>
    <row r="44" spans="2:13" x14ac:dyDescent="0.25">
      <c r="B44" t="s">
        <v>32</v>
      </c>
      <c r="K44" s="40">
        <v>10</v>
      </c>
      <c r="L44" s="41">
        <v>10</v>
      </c>
      <c r="M44" s="40">
        <v>9</v>
      </c>
    </row>
    <row r="45" spans="2:13" x14ac:dyDescent="0.25">
      <c r="B45" t="s">
        <v>78</v>
      </c>
      <c r="K45" s="40">
        <v>10</v>
      </c>
      <c r="L45" s="41">
        <v>10</v>
      </c>
      <c r="M45" s="40">
        <v>8</v>
      </c>
    </row>
    <row r="46" spans="2:13" x14ac:dyDescent="0.25">
      <c r="B46" t="s">
        <v>79</v>
      </c>
      <c r="K46" s="40">
        <v>10</v>
      </c>
      <c r="L46" s="41">
        <v>10</v>
      </c>
      <c r="M46" s="40">
        <v>6</v>
      </c>
    </row>
    <row r="47" spans="2:13" x14ac:dyDescent="0.25">
      <c r="L47" s="10"/>
    </row>
    <row r="48" spans="2:13" x14ac:dyDescent="0.25">
      <c r="K48" s="11" t="s">
        <v>88</v>
      </c>
    </row>
    <row r="49" spans="2:12" x14ac:dyDescent="0.25">
      <c r="B49" t="s">
        <v>30</v>
      </c>
      <c r="K49" s="31" cm="1">
        <f t="array" ref="K49:L53">K30:L30*K19:L23</f>
        <v>0</v>
      </c>
      <c r="L49" s="31">
        <v>0</v>
      </c>
    </row>
    <row r="50" spans="2:12" x14ac:dyDescent="0.25">
      <c r="B50" t="s">
        <v>31</v>
      </c>
      <c r="K50" s="31">
        <v>0</v>
      </c>
      <c r="L50" s="31">
        <v>0</v>
      </c>
    </row>
    <row r="51" spans="2:12" x14ac:dyDescent="0.25">
      <c r="B51" t="s">
        <v>32</v>
      </c>
      <c r="K51" s="31">
        <v>0</v>
      </c>
      <c r="L51" s="31">
        <v>0</v>
      </c>
    </row>
    <row r="52" spans="2:12" x14ac:dyDescent="0.25">
      <c r="B52" t="s">
        <v>78</v>
      </c>
      <c r="K52" s="31">
        <v>0</v>
      </c>
      <c r="L52" s="31">
        <v>0</v>
      </c>
    </row>
    <row r="53" spans="2:12" x14ac:dyDescent="0.25">
      <c r="B53" t="s">
        <v>79</v>
      </c>
      <c r="K53" s="31">
        <v>0</v>
      </c>
      <c r="L53" s="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ABF1-D5A8-4799-AA08-57874A1B0E10}">
  <dimension ref="A1:AK58"/>
  <sheetViews>
    <sheetView workbookViewId="0">
      <pane xSplit="7" ySplit="7" topLeftCell="H23" activePane="bottomRight" state="frozen"/>
      <selection pane="topRight" activeCell="H1" sqref="H1"/>
      <selection pane="bottomLeft" activeCell="A8" sqref="A8"/>
      <selection pane="bottomRight" activeCell="M44" sqref="M44"/>
    </sheetView>
  </sheetViews>
  <sheetFormatPr defaultRowHeight="15" x14ac:dyDescent="0.25"/>
  <cols>
    <col min="1" max="5" width="7.140625" customWidth="1"/>
    <col min="6" max="6" width="11.28515625" bestFit="1" customWidth="1"/>
    <col min="7" max="7" width="5.42578125" customWidth="1"/>
    <col min="8" max="17" width="6.5703125" customWidth="1"/>
    <col min="18" max="18" width="6.42578125" customWidth="1"/>
    <col min="19" max="19" width="7.5703125" customWidth="1"/>
    <col min="21" max="37" width="6" customWidth="1"/>
    <col min="38" max="39" width="7" customWidth="1"/>
  </cols>
  <sheetData>
    <row r="1" spans="1:37" x14ac:dyDescent="0.25">
      <c r="A1" s="15" t="s">
        <v>23</v>
      </c>
      <c r="B1" s="15"/>
      <c r="C1" s="15"/>
      <c r="D1" s="15"/>
      <c r="E1" s="15"/>
      <c r="F1" s="15"/>
    </row>
    <row r="2" spans="1:37" x14ac:dyDescent="0.25">
      <c r="A2" s="15"/>
      <c r="B2" s="15" t="s">
        <v>70</v>
      </c>
      <c r="C2" s="15"/>
      <c r="D2" s="15"/>
      <c r="E2" s="15"/>
      <c r="F2" s="15"/>
      <c r="U2" t="s">
        <v>30</v>
      </c>
      <c r="V2" t="s">
        <v>31</v>
      </c>
      <c r="W2" t="s">
        <v>32</v>
      </c>
      <c r="X2" t="s">
        <v>78</v>
      </c>
      <c r="Y2" t="s">
        <v>79</v>
      </c>
      <c r="AA2" t="s">
        <v>30</v>
      </c>
      <c r="AB2" t="s">
        <v>31</v>
      </c>
      <c r="AC2" t="s">
        <v>32</v>
      </c>
      <c r="AD2" t="s">
        <v>78</v>
      </c>
      <c r="AE2" t="s">
        <v>79</v>
      </c>
      <c r="AG2" t="s">
        <v>30</v>
      </c>
      <c r="AH2" t="s">
        <v>31</v>
      </c>
      <c r="AI2" t="s">
        <v>32</v>
      </c>
      <c r="AJ2" t="s">
        <v>78</v>
      </c>
      <c r="AK2" t="s">
        <v>79</v>
      </c>
    </row>
    <row r="3" spans="1:37" x14ac:dyDescent="0.25">
      <c r="A3" s="15"/>
      <c r="B3" s="15"/>
      <c r="C3" s="15" t="s">
        <v>0</v>
      </c>
      <c r="D3" s="15"/>
      <c r="E3" s="15"/>
      <c r="F3" s="15"/>
      <c r="H3" t="s">
        <v>14</v>
      </c>
      <c r="I3" t="s">
        <v>15</v>
      </c>
      <c r="J3" t="s">
        <v>105</v>
      </c>
      <c r="K3" t="s">
        <v>4</v>
      </c>
    </row>
    <row r="4" spans="1:37" x14ac:dyDescent="0.25">
      <c r="A4" s="15"/>
      <c r="B4" s="15"/>
      <c r="C4" s="15"/>
      <c r="D4" s="15" t="s">
        <v>1</v>
      </c>
      <c r="E4" s="15"/>
      <c r="F4" s="15"/>
      <c r="M4" t="s">
        <v>7</v>
      </c>
      <c r="N4" t="s">
        <v>9</v>
      </c>
      <c r="O4" t="s">
        <v>12</v>
      </c>
      <c r="P4" t="s">
        <v>111</v>
      </c>
      <c r="Q4" t="s">
        <v>103</v>
      </c>
      <c r="S4" t="s">
        <v>29</v>
      </c>
    </row>
    <row r="5" spans="1:37" x14ac:dyDescent="0.25">
      <c r="A5" s="15"/>
      <c r="B5" s="15"/>
      <c r="C5" s="15"/>
      <c r="D5" s="15"/>
      <c r="E5" s="15" t="s">
        <v>37</v>
      </c>
      <c r="F5" s="15"/>
      <c r="H5" t="s">
        <v>38</v>
      </c>
      <c r="I5" t="s">
        <v>38</v>
      </c>
      <c r="J5" t="s">
        <v>38</v>
      </c>
      <c r="K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37" x14ac:dyDescent="0.25">
      <c r="A6" s="15"/>
      <c r="B6" s="15"/>
      <c r="C6" s="15"/>
      <c r="D6" s="15"/>
      <c r="E6" s="15"/>
      <c r="F6" s="15" t="s">
        <v>2</v>
      </c>
      <c r="H6" t="s">
        <v>102</v>
      </c>
      <c r="I6" t="s">
        <v>27</v>
      </c>
      <c r="Q6" t="s">
        <v>104</v>
      </c>
      <c r="S6" t="s">
        <v>8</v>
      </c>
    </row>
    <row r="7" spans="1:37" x14ac:dyDescent="0.25">
      <c r="A7" s="15"/>
      <c r="B7" s="15"/>
      <c r="C7" s="15"/>
      <c r="D7" s="15"/>
      <c r="E7" s="15"/>
      <c r="F7" s="15"/>
    </row>
    <row r="8" spans="1:37" x14ac:dyDescent="0.25">
      <c r="H8" s="11" t="s">
        <v>39</v>
      </c>
      <c r="M8" s="11" t="s">
        <v>5</v>
      </c>
      <c r="S8" s="11" t="s">
        <v>18</v>
      </c>
      <c r="U8" s="11" t="s">
        <v>85</v>
      </c>
      <c r="AA8" s="11" t="s">
        <v>89</v>
      </c>
      <c r="AG8" s="11" t="s">
        <v>92</v>
      </c>
    </row>
    <row r="9" spans="1:37" x14ac:dyDescent="0.25">
      <c r="D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K9" s="16">
        <v>0</v>
      </c>
      <c r="M9" s="1">
        <v>0</v>
      </c>
      <c r="N9" s="1">
        <v>0</v>
      </c>
      <c r="O9" s="1">
        <v>0</v>
      </c>
      <c r="P9" s="1">
        <v>0</v>
      </c>
      <c r="Q9" s="16">
        <v>-1</v>
      </c>
      <c r="S9" s="1">
        <v>10</v>
      </c>
      <c r="U9" s="1">
        <v>0.1</v>
      </c>
      <c r="V9" s="1">
        <v>0.2</v>
      </c>
      <c r="W9" s="1">
        <v>0.3</v>
      </c>
      <c r="X9" s="1">
        <v>0.2</v>
      </c>
      <c r="Y9" s="1">
        <v>0.2</v>
      </c>
      <c r="AA9" s="17" cm="1">
        <f t="array" ref="AA9:AE11">MMULT(H9:K11,TRANSPOSE(H40:K44))</f>
        <v>1</v>
      </c>
      <c r="AB9" s="17">
        <v>4</v>
      </c>
      <c r="AC9" s="17">
        <v>6</v>
      </c>
      <c r="AD9" s="17">
        <v>2</v>
      </c>
      <c r="AE9" s="17">
        <v>2</v>
      </c>
      <c r="AG9" s="3" cm="1">
        <f t="array" ref="AG9:AK11">AA9:AE11-AA13:AE15-AA17:AE19</f>
        <v>0</v>
      </c>
      <c r="AH9" s="4">
        <v>0</v>
      </c>
      <c r="AI9" s="4">
        <v>0</v>
      </c>
      <c r="AJ9" s="4">
        <v>0</v>
      </c>
      <c r="AK9" s="5">
        <v>0</v>
      </c>
    </row>
    <row r="10" spans="1:37" x14ac:dyDescent="0.25">
      <c r="D10" t="s">
        <v>105</v>
      </c>
      <c r="E10" t="s">
        <v>38</v>
      </c>
      <c r="F10" t="s">
        <v>106</v>
      </c>
      <c r="H10" s="16">
        <v>0</v>
      </c>
      <c r="I10" s="16">
        <v>0</v>
      </c>
      <c r="J10" s="16">
        <v>1</v>
      </c>
      <c r="K10" s="16">
        <v>0</v>
      </c>
      <c r="M10" s="16">
        <v>0</v>
      </c>
      <c r="N10" s="16">
        <v>0</v>
      </c>
      <c r="O10" s="47">
        <v>1.2</v>
      </c>
      <c r="P10" s="16">
        <v>0</v>
      </c>
      <c r="Q10" s="16">
        <v>0</v>
      </c>
      <c r="S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AA10" s="17">
        <v>0</v>
      </c>
      <c r="AB10" s="17">
        <v>6</v>
      </c>
      <c r="AC10" s="17">
        <v>0</v>
      </c>
      <c r="AD10" s="17">
        <v>6</v>
      </c>
      <c r="AE10" s="17">
        <v>0</v>
      </c>
      <c r="AG10" s="9">
        <v>0</v>
      </c>
      <c r="AH10" s="45">
        <v>0</v>
      </c>
      <c r="AI10" s="45">
        <v>0</v>
      </c>
      <c r="AJ10" s="45">
        <v>0</v>
      </c>
      <c r="AK10" s="10">
        <v>0</v>
      </c>
    </row>
    <row r="11" spans="1:37" x14ac:dyDescent="0.25">
      <c r="D11" t="s">
        <v>4</v>
      </c>
      <c r="E11" t="s">
        <v>38</v>
      </c>
      <c r="F11" t="s">
        <v>100</v>
      </c>
      <c r="H11" s="16">
        <v>0</v>
      </c>
      <c r="I11" s="16">
        <v>0</v>
      </c>
      <c r="J11" s="16">
        <v>0</v>
      </c>
      <c r="K11" s="16">
        <v>1</v>
      </c>
      <c r="M11" s="1">
        <v>0</v>
      </c>
      <c r="N11" s="1">
        <v>0</v>
      </c>
      <c r="O11" s="1">
        <v>0</v>
      </c>
      <c r="P11" s="1">
        <v>0</v>
      </c>
      <c r="Q11" s="16">
        <v>0</v>
      </c>
      <c r="S11" s="1">
        <v>10</v>
      </c>
      <c r="U11" s="1">
        <v>0</v>
      </c>
      <c r="V11" s="1">
        <v>0.5</v>
      </c>
      <c r="W11" s="1">
        <v>0</v>
      </c>
      <c r="X11" s="1">
        <v>0.5</v>
      </c>
      <c r="Y11" s="1">
        <v>0</v>
      </c>
      <c r="AA11" s="17">
        <v>0</v>
      </c>
      <c r="AB11" s="17">
        <v>5</v>
      </c>
      <c r="AC11" s="17">
        <v>0</v>
      </c>
      <c r="AD11" s="17">
        <v>5</v>
      </c>
      <c r="AE11" s="17">
        <v>0</v>
      </c>
      <c r="AG11" s="6">
        <v>0</v>
      </c>
      <c r="AH11" s="7">
        <v>0</v>
      </c>
      <c r="AI11" s="7">
        <v>0</v>
      </c>
      <c r="AJ11" s="7">
        <v>0</v>
      </c>
      <c r="AK11" s="8">
        <v>0</v>
      </c>
    </row>
    <row r="12" spans="1:37" x14ac:dyDescent="0.25">
      <c r="H12" s="11" t="s">
        <v>6</v>
      </c>
      <c r="AA12" s="11" t="s">
        <v>90</v>
      </c>
      <c r="AG12" s="11" t="s">
        <v>99</v>
      </c>
    </row>
    <row r="13" spans="1:37" x14ac:dyDescent="0.25">
      <c r="D13" t="s">
        <v>7</v>
      </c>
      <c r="E13" t="s">
        <v>38</v>
      </c>
      <c r="F13" t="s">
        <v>25</v>
      </c>
      <c r="H13" s="1">
        <v>1</v>
      </c>
      <c r="I13" s="1">
        <v>0</v>
      </c>
      <c r="J13" s="1">
        <v>0</v>
      </c>
      <c r="K13" s="1">
        <v>0</v>
      </c>
      <c r="R13" s="11" t="s">
        <v>17</v>
      </c>
      <c r="S13" s="12" cm="1">
        <f t="array" ref="S13">SUM(MMULT(M40:O44,M30:O30*_xlfn.MUNIT(3)))</f>
        <v>31</v>
      </c>
      <c r="AA13" s="17" cm="1">
        <f t="array" ref="AA13:AE15">MMULT(M9:Q11,TRANSPOSE(M40:Q44))</f>
        <v>0</v>
      </c>
      <c r="AB13" s="17">
        <v>2</v>
      </c>
      <c r="AC13" s="17">
        <v>3</v>
      </c>
      <c r="AD13" s="17">
        <v>0</v>
      </c>
      <c r="AE13" s="17">
        <v>0</v>
      </c>
      <c r="AG13" s="3" cm="1">
        <f t="array" ref="AG13:AK16">TRANSPOSE(M40:P44)-MMULT(H13:K16,TRANSPOSE(H40:K44))</f>
        <v>0</v>
      </c>
      <c r="AH13" s="4">
        <v>0</v>
      </c>
      <c r="AI13" s="4">
        <v>0</v>
      </c>
      <c r="AJ13" s="4">
        <v>0</v>
      </c>
      <c r="AK13" s="5">
        <v>0</v>
      </c>
    </row>
    <row r="14" spans="1:37" x14ac:dyDescent="0.25">
      <c r="D14" t="s">
        <v>9</v>
      </c>
      <c r="E14" t="s">
        <v>38</v>
      </c>
      <c r="F14" t="s">
        <v>24</v>
      </c>
      <c r="H14" s="1">
        <v>0</v>
      </c>
      <c r="I14" s="1">
        <v>1</v>
      </c>
      <c r="J14" s="1">
        <v>0</v>
      </c>
      <c r="K14" s="1">
        <v>0</v>
      </c>
      <c r="AA14" s="17">
        <v>0</v>
      </c>
      <c r="AB14" s="17">
        <v>6</v>
      </c>
      <c r="AC14" s="17">
        <v>0</v>
      </c>
      <c r="AD14" s="17">
        <v>6</v>
      </c>
      <c r="AE14" s="17">
        <v>0</v>
      </c>
      <c r="AG14" s="9">
        <v>0</v>
      </c>
      <c r="AH14" s="45">
        <v>0</v>
      </c>
      <c r="AI14" s="45">
        <v>0</v>
      </c>
      <c r="AJ14" s="45">
        <v>0</v>
      </c>
      <c r="AK14" s="10">
        <v>0</v>
      </c>
    </row>
    <row r="15" spans="1:37" x14ac:dyDescent="0.25">
      <c r="D15" t="s">
        <v>12</v>
      </c>
      <c r="E15" t="s">
        <v>38</v>
      </c>
      <c r="F15" t="s">
        <v>101</v>
      </c>
      <c r="H15" s="1">
        <v>0</v>
      </c>
      <c r="I15" s="1">
        <v>0</v>
      </c>
      <c r="J15" s="1">
        <v>0</v>
      </c>
      <c r="K15" s="1">
        <v>1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G15" s="9">
        <v>0</v>
      </c>
      <c r="AH15" s="45">
        <v>0</v>
      </c>
      <c r="AI15" s="45">
        <v>0</v>
      </c>
      <c r="AJ15" s="45">
        <v>0</v>
      </c>
      <c r="AK15" s="10">
        <v>0</v>
      </c>
    </row>
    <row r="16" spans="1:37" x14ac:dyDescent="0.25">
      <c r="D16" t="s">
        <v>111</v>
      </c>
      <c r="E16" t="s">
        <v>38</v>
      </c>
      <c r="F16" t="s">
        <v>112</v>
      </c>
      <c r="H16" s="1">
        <v>0</v>
      </c>
      <c r="I16" s="1">
        <v>0</v>
      </c>
      <c r="J16" s="1">
        <v>1</v>
      </c>
      <c r="K16" s="1">
        <v>0</v>
      </c>
      <c r="AA16" s="11" t="s">
        <v>91</v>
      </c>
      <c r="AG16" s="6">
        <v>0</v>
      </c>
      <c r="AH16" s="7">
        <v>0</v>
      </c>
      <c r="AI16" s="7">
        <v>0</v>
      </c>
      <c r="AJ16" s="7">
        <v>0</v>
      </c>
      <c r="AK16" s="8">
        <v>0</v>
      </c>
    </row>
    <row r="17" spans="2:31" x14ac:dyDescent="0.25">
      <c r="AA17" s="16" cm="1">
        <f t="array" ref="AA17:AE19">S9:S11*U9:Y11</f>
        <v>1</v>
      </c>
      <c r="AB17" s="16">
        <v>2</v>
      </c>
      <c r="AC17" s="16">
        <v>3</v>
      </c>
      <c r="AD17" s="16">
        <v>2</v>
      </c>
      <c r="AE17" s="16">
        <v>2</v>
      </c>
    </row>
    <row r="18" spans="2:31" x14ac:dyDescent="0.25">
      <c r="B18" t="s">
        <v>30</v>
      </c>
      <c r="F18" t="s">
        <v>80</v>
      </c>
      <c r="M18" s="1">
        <v>0.9</v>
      </c>
      <c r="N18" s="1">
        <v>0</v>
      </c>
      <c r="O18" s="1">
        <v>1</v>
      </c>
      <c r="AA18" s="44">
        <v>0</v>
      </c>
      <c r="AB18" s="16">
        <v>0</v>
      </c>
      <c r="AC18" s="16">
        <v>0</v>
      </c>
      <c r="AD18" s="16">
        <v>0</v>
      </c>
      <c r="AE18" s="16">
        <v>0</v>
      </c>
    </row>
    <row r="19" spans="2:31" x14ac:dyDescent="0.25">
      <c r="B19" t="s">
        <v>31</v>
      </c>
      <c r="M19" s="1">
        <v>0.9</v>
      </c>
      <c r="N19" s="1">
        <v>0.2</v>
      </c>
      <c r="O19" s="1">
        <v>1</v>
      </c>
      <c r="AA19" s="16">
        <v>0</v>
      </c>
      <c r="AB19" s="16">
        <v>5</v>
      </c>
      <c r="AC19" s="16">
        <v>0</v>
      </c>
      <c r="AD19" s="16">
        <v>5</v>
      </c>
      <c r="AE19" s="16">
        <v>0</v>
      </c>
    </row>
    <row r="20" spans="2:31" x14ac:dyDescent="0.25">
      <c r="B20" t="s">
        <v>32</v>
      </c>
      <c r="M20" s="1">
        <v>0.9</v>
      </c>
      <c r="N20" s="1">
        <v>0.5</v>
      </c>
      <c r="O20" s="1">
        <v>1</v>
      </c>
    </row>
    <row r="21" spans="2:31" x14ac:dyDescent="0.25">
      <c r="B21" t="s">
        <v>78</v>
      </c>
      <c r="M21" s="1">
        <v>0.9</v>
      </c>
      <c r="N21" s="1">
        <v>0.3</v>
      </c>
      <c r="O21" s="1">
        <v>1</v>
      </c>
      <c r="AA21" s="42"/>
    </row>
    <row r="22" spans="2:31" x14ac:dyDescent="0.25">
      <c r="B22" t="s">
        <v>79</v>
      </c>
      <c r="M22" s="1">
        <v>0.9</v>
      </c>
      <c r="N22" s="1">
        <v>0</v>
      </c>
      <c r="O22" s="1">
        <v>1</v>
      </c>
      <c r="AA22" s="42"/>
    </row>
    <row r="23" spans="2:31" x14ac:dyDescent="0.25">
      <c r="S23" s="11" t="s">
        <v>85</v>
      </c>
      <c r="AA23" s="11" t="s">
        <v>75</v>
      </c>
    </row>
    <row r="24" spans="2:31" x14ac:dyDescent="0.25">
      <c r="B24" t="s">
        <v>30</v>
      </c>
      <c r="F24" t="s">
        <v>81</v>
      </c>
      <c r="M24" s="1">
        <v>0</v>
      </c>
      <c r="N24" s="1">
        <v>0</v>
      </c>
      <c r="O24" s="1">
        <v>0</v>
      </c>
      <c r="S24" s="1">
        <v>0.1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</row>
    <row r="25" spans="2:31" x14ac:dyDescent="0.25">
      <c r="B25" t="s">
        <v>31</v>
      </c>
      <c r="M25" s="1">
        <v>0</v>
      </c>
      <c r="N25" s="1">
        <v>0</v>
      </c>
      <c r="O25" s="1">
        <v>0</v>
      </c>
      <c r="S25" s="1">
        <v>0.2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</row>
    <row r="26" spans="2:31" x14ac:dyDescent="0.25">
      <c r="B26" t="s">
        <v>32</v>
      </c>
      <c r="M26" s="1">
        <v>0</v>
      </c>
      <c r="N26" s="1">
        <v>0</v>
      </c>
      <c r="O26" s="1">
        <v>0</v>
      </c>
      <c r="S26" s="1">
        <v>0.3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</row>
    <row r="27" spans="2:31" x14ac:dyDescent="0.25">
      <c r="B27" t="s">
        <v>78</v>
      </c>
      <c r="M27" s="1">
        <v>0</v>
      </c>
      <c r="N27" s="1">
        <v>0</v>
      </c>
      <c r="O27" s="1">
        <v>0</v>
      </c>
      <c r="S27" s="1">
        <v>0.2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</row>
    <row r="28" spans="2:31" x14ac:dyDescent="0.25">
      <c r="B28" t="s">
        <v>79</v>
      </c>
      <c r="M28" s="1">
        <v>0</v>
      </c>
      <c r="N28" s="1">
        <v>0</v>
      </c>
      <c r="O28" s="1">
        <v>0</v>
      </c>
      <c r="S28" s="1">
        <v>0.2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</row>
    <row r="29" spans="2:31" x14ac:dyDescent="0.25">
      <c r="AA29" s="42"/>
    </row>
    <row r="30" spans="2:31" x14ac:dyDescent="0.25">
      <c r="F30" t="s">
        <v>73</v>
      </c>
      <c r="L30" s="13" t="s">
        <v>22</v>
      </c>
      <c r="M30" s="1">
        <v>3</v>
      </c>
      <c r="N30" s="1">
        <v>1</v>
      </c>
      <c r="O30" s="1">
        <v>1</v>
      </c>
      <c r="Q30" s="1">
        <v>0</v>
      </c>
      <c r="AA30" s="42"/>
    </row>
    <row r="31" spans="2:31" x14ac:dyDescent="0.25">
      <c r="F31" t="s">
        <v>72</v>
      </c>
      <c r="L31" s="13" t="s">
        <v>82</v>
      </c>
      <c r="Q31" s="1">
        <v>0.05</v>
      </c>
      <c r="S31" s="40">
        <f>Q31*Q35</f>
        <v>1</v>
      </c>
      <c r="T31" s="39" t="s">
        <v>97</v>
      </c>
      <c r="U31" s="39"/>
      <c r="V31" s="39"/>
      <c r="W31" s="39"/>
      <c r="X31" s="39"/>
      <c r="Y31" s="39"/>
      <c r="Z31" s="39"/>
      <c r="AA31" s="42"/>
    </row>
    <row r="32" spans="2:31" x14ac:dyDescent="0.25">
      <c r="L32" s="13" t="s">
        <v>83</v>
      </c>
      <c r="Q32" s="1">
        <v>1</v>
      </c>
      <c r="S32" s="40">
        <f>Q32*Q35</f>
        <v>20</v>
      </c>
      <c r="T32" s="39" t="s">
        <v>96</v>
      </c>
      <c r="U32" s="39"/>
      <c r="V32" s="39"/>
      <c r="W32" s="39"/>
      <c r="X32" s="39"/>
      <c r="Y32" s="39"/>
      <c r="Z32" s="39"/>
      <c r="AA32" s="42"/>
    </row>
    <row r="33" spans="2:27" x14ac:dyDescent="0.25">
      <c r="L33" s="13" t="s">
        <v>84</v>
      </c>
      <c r="Q33" s="1">
        <v>0.4</v>
      </c>
      <c r="S33" s="40">
        <f>Q35*Q33</f>
        <v>8</v>
      </c>
      <c r="T33" s="39" t="s">
        <v>94</v>
      </c>
      <c r="U33" s="39"/>
      <c r="V33" s="39"/>
      <c r="W33" s="39"/>
      <c r="X33" s="39"/>
      <c r="Y33" s="39"/>
      <c r="Z33" s="39"/>
      <c r="AA33" s="42"/>
    </row>
    <row r="34" spans="2:27" x14ac:dyDescent="0.25">
      <c r="L34" s="13" t="s">
        <v>93</v>
      </c>
      <c r="Q34" s="1">
        <v>0.6</v>
      </c>
      <c r="U34" s="39"/>
      <c r="V34" s="39"/>
      <c r="W34" s="39"/>
      <c r="X34" s="39"/>
      <c r="Y34" s="39"/>
      <c r="Z34" s="39"/>
      <c r="AA34" s="42"/>
    </row>
    <row r="35" spans="2:27" x14ac:dyDescent="0.25">
      <c r="L35" s="13" t="s">
        <v>87</v>
      </c>
      <c r="M35" s="1">
        <v>20</v>
      </c>
      <c r="N35" s="1">
        <v>20</v>
      </c>
      <c r="O35" s="1">
        <v>20</v>
      </c>
      <c r="Q35" s="1">
        <v>20</v>
      </c>
      <c r="AA35" s="42"/>
    </row>
    <row r="36" spans="2:27" x14ac:dyDescent="0.25">
      <c r="L36" s="13" t="s">
        <v>107</v>
      </c>
      <c r="Q36" s="1">
        <v>-3</v>
      </c>
      <c r="AA36" s="42"/>
    </row>
    <row r="37" spans="2:27" x14ac:dyDescent="0.25">
      <c r="L37" s="13" t="s">
        <v>108</v>
      </c>
      <c r="Q37" s="1">
        <v>3</v>
      </c>
    </row>
    <row r="39" spans="2:27" x14ac:dyDescent="0.25">
      <c r="H39" s="11" t="s">
        <v>34</v>
      </c>
      <c r="M39" s="11" t="s">
        <v>35</v>
      </c>
    </row>
    <row r="40" spans="2:27" x14ac:dyDescent="0.25">
      <c r="B40" t="s">
        <v>30</v>
      </c>
      <c r="H40" s="18">
        <v>1</v>
      </c>
      <c r="I40" s="18">
        <v>0</v>
      </c>
      <c r="J40" s="18">
        <v>0</v>
      </c>
      <c r="K40" s="18">
        <v>0</v>
      </c>
      <c r="M40" s="18">
        <v>1</v>
      </c>
      <c r="N40" s="18">
        <v>0</v>
      </c>
      <c r="O40" s="18">
        <v>0</v>
      </c>
      <c r="P40" s="18">
        <v>0</v>
      </c>
      <c r="Q40" s="18">
        <v>0</v>
      </c>
    </row>
    <row r="41" spans="2:27" x14ac:dyDescent="0.25">
      <c r="B41" t="s">
        <v>31</v>
      </c>
      <c r="H41" s="18">
        <v>0</v>
      </c>
      <c r="I41" s="18">
        <v>4</v>
      </c>
      <c r="J41" s="18">
        <v>6</v>
      </c>
      <c r="K41" s="18">
        <v>5</v>
      </c>
      <c r="M41" s="18">
        <v>0</v>
      </c>
      <c r="N41" s="18">
        <v>4</v>
      </c>
      <c r="O41" s="18">
        <v>5</v>
      </c>
      <c r="P41" s="18">
        <v>6</v>
      </c>
      <c r="Q41" s="18">
        <v>-2</v>
      </c>
    </row>
    <row r="42" spans="2:27" x14ac:dyDescent="0.25">
      <c r="B42" t="s">
        <v>32</v>
      </c>
      <c r="H42" s="18">
        <v>0</v>
      </c>
      <c r="I42" s="18">
        <v>6</v>
      </c>
      <c r="J42" s="18">
        <v>0</v>
      </c>
      <c r="K42" s="18">
        <v>0</v>
      </c>
      <c r="M42" s="18">
        <v>0</v>
      </c>
      <c r="N42" s="18">
        <v>6</v>
      </c>
      <c r="O42" s="18">
        <v>0</v>
      </c>
      <c r="P42" s="18">
        <v>0</v>
      </c>
      <c r="Q42" s="18">
        <v>-3</v>
      </c>
    </row>
    <row r="43" spans="2:27" x14ac:dyDescent="0.25">
      <c r="B43" t="s">
        <v>78</v>
      </c>
      <c r="H43" s="18">
        <v>0</v>
      </c>
      <c r="I43" s="18">
        <v>2</v>
      </c>
      <c r="J43" s="18">
        <v>6</v>
      </c>
      <c r="K43" s="18">
        <v>5</v>
      </c>
      <c r="M43" s="18">
        <v>0</v>
      </c>
      <c r="N43" s="18">
        <v>2</v>
      </c>
      <c r="O43" s="18">
        <v>5</v>
      </c>
      <c r="P43" s="18">
        <v>6</v>
      </c>
      <c r="Q43" s="18">
        <v>0</v>
      </c>
    </row>
    <row r="44" spans="2:27" x14ac:dyDescent="0.25">
      <c r="B44" t="s">
        <v>79</v>
      </c>
      <c r="H44" s="18">
        <v>2</v>
      </c>
      <c r="I44" s="18">
        <v>0</v>
      </c>
      <c r="J44" s="18">
        <v>0</v>
      </c>
      <c r="K44" s="18">
        <v>0</v>
      </c>
      <c r="M44" s="18">
        <v>2</v>
      </c>
      <c r="N44" s="18">
        <v>0</v>
      </c>
      <c r="O44" s="18">
        <v>0</v>
      </c>
      <c r="P44" s="18">
        <v>0</v>
      </c>
      <c r="Q44" s="18">
        <v>0</v>
      </c>
    </row>
    <row r="46" spans="2:27" x14ac:dyDescent="0.25">
      <c r="M46" s="11" t="s">
        <v>109</v>
      </c>
      <c r="O46" s="45"/>
      <c r="P46" s="10"/>
      <c r="Q46" s="11" t="s">
        <v>74</v>
      </c>
    </row>
    <row r="47" spans="2:27" x14ac:dyDescent="0.25">
      <c r="B47" t="s">
        <v>30</v>
      </c>
      <c r="M47" s="17" cm="1">
        <f t="array" ref="M47:O51">M18:O22*M35:O35</f>
        <v>18</v>
      </c>
      <c r="N47" s="17">
        <v>0</v>
      </c>
      <c r="O47" s="46">
        <v>20</v>
      </c>
      <c r="P47" s="10"/>
      <c r="Q47" s="43" cm="1">
        <f t="array" ref="Q47:Q51">S33-MMULT(AA24:AE28,P40:P44+Q40:Q44)</f>
        <v>8</v>
      </c>
    </row>
    <row r="48" spans="2:27" x14ac:dyDescent="0.25">
      <c r="B48" t="s">
        <v>31</v>
      </c>
      <c r="M48" s="17">
        <v>18</v>
      </c>
      <c r="N48" s="17">
        <v>4</v>
      </c>
      <c r="O48" s="46">
        <v>20</v>
      </c>
      <c r="P48" s="10"/>
      <c r="Q48" s="17">
        <v>4</v>
      </c>
    </row>
    <row r="49" spans="2:17" x14ac:dyDescent="0.25">
      <c r="B49" t="s">
        <v>32</v>
      </c>
      <c r="M49" s="17">
        <v>18</v>
      </c>
      <c r="N49" s="17">
        <v>10</v>
      </c>
      <c r="O49" s="46">
        <v>20</v>
      </c>
      <c r="P49" s="10"/>
      <c r="Q49" s="17">
        <v>7</v>
      </c>
    </row>
    <row r="50" spans="2:17" x14ac:dyDescent="0.25">
      <c r="B50" t="s">
        <v>78</v>
      </c>
      <c r="M50" s="17">
        <v>18</v>
      </c>
      <c r="N50" s="17">
        <v>6</v>
      </c>
      <c r="O50" s="46">
        <v>20</v>
      </c>
      <c r="P50" s="10"/>
      <c r="Q50" s="17">
        <v>1</v>
      </c>
    </row>
    <row r="51" spans="2:17" x14ac:dyDescent="0.25">
      <c r="B51" t="s">
        <v>79</v>
      </c>
      <c r="M51" s="17">
        <v>18</v>
      </c>
      <c r="N51" s="17">
        <v>0</v>
      </c>
      <c r="O51" s="46">
        <v>20</v>
      </c>
      <c r="P51" s="10"/>
      <c r="Q51" s="17">
        <v>1</v>
      </c>
    </row>
    <row r="52" spans="2:17" x14ac:dyDescent="0.25">
      <c r="O52" s="45"/>
      <c r="P52" s="10"/>
    </row>
    <row r="53" spans="2:17" x14ac:dyDescent="0.25">
      <c r="M53" s="11" t="s">
        <v>110</v>
      </c>
    </row>
    <row r="54" spans="2:17" x14ac:dyDescent="0.25">
      <c r="B54" t="s">
        <v>30</v>
      </c>
      <c r="M54" s="17" cm="1">
        <f t="array" ref="M54:O58">M24:O28*M35:O35</f>
        <v>0</v>
      </c>
      <c r="N54" s="17">
        <v>0</v>
      </c>
      <c r="O54" s="17">
        <v>0</v>
      </c>
    </row>
    <row r="55" spans="2:17" x14ac:dyDescent="0.25">
      <c r="B55" t="s">
        <v>31</v>
      </c>
      <c r="M55" s="17">
        <v>0</v>
      </c>
      <c r="N55" s="17">
        <v>0</v>
      </c>
      <c r="O55" s="17">
        <v>0</v>
      </c>
    </row>
    <row r="56" spans="2:17" x14ac:dyDescent="0.25">
      <c r="B56" t="s">
        <v>32</v>
      </c>
      <c r="M56" s="17">
        <v>0</v>
      </c>
      <c r="N56" s="17">
        <v>0</v>
      </c>
      <c r="O56" s="17">
        <v>0</v>
      </c>
    </row>
    <row r="57" spans="2:17" x14ac:dyDescent="0.25">
      <c r="B57" t="s">
        <v>78</v>
      </c>
      <c r="M57" s="17">
        <v>0</v>
      </c>
      <c r="N57" s="17">
        <v>0</v>
      </c>
      <c r="O57" s="17">
        <v>0</v>
      </c>
    </row>
    <row r="58" spans="2:17" x14ac:dyDescent="0.25">
      <c r="B58" t="s">
        <v>79</v>
      </c>
      <c r="M58" s="17">
        <v>0</v>
      </c>
      <c r="N58" s="17">
        <v>0</v>
      </c>
      <c r="O58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FDF8-75E4-4E24-B37F-4C7F08B91489}">
  <dimension ref="A1:AK58"/>
  <sheetViews>
    <sheetView tabSelected="1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Y38" sqref="Y38"/>
    </sheetView>
  </sheetViews>
  <sheetFormatPr defaultRowHeight="15" x14ac:dyDescent="0.25"/>
  <cols>
    <col min="1" max="5" width="7.140625" customWidth="1"/>
    <col min="6" max="6" width="11.28515625" bestFit="1" customWidth="1"/>
    <col min="7" max="7" width="5.42578125" customWidth="1"/>
    <col min="8" max="17" width="6.5703125" customWidth="1"/>
    <col min="18" max="18" width="6.42578125" customWidth="1"/>
    <col min="19" max="19" width="7.5703125" customWidth="1"/>
    <col min="21" max="37" width="6" customWidth="1"/>
    <col min="38" max="39" width="7" customWidth="1"/>
  </cols>
  <sheetData>
    <row r="1" spans="1:37" x14ac:dyDescent="0.25">
      <c r="A1" s="15" t="s">
        <v>23</v>
      </c>
      <c r="B1" s="15"/>
      <c r="C1" s="15"/>
      <c r="D1" s="15"/>
      <c r="E1" s="15"/>
      <c r="F1" s="15"/>
    </row>
    <row r="2" spans="1:37" x14ac:dyDescent="0.25">
      <c r="A2" s="15"/>
      <c r="B2" s="15" t="s">
        <v>70</v>
      </c>
      <c r="C2" s="15"/>
      <c r="D2" s="15"/>
      <c r="E2" s="15"/>
      <c r="F2" s="15"/>
      <c r="U2" t="s">
        <v>30</v>
      </c>
      <c r="V2" t="s">
        <v>31</v>
      </c>
      <c r="W2" t="s">
        <v>32</v>
      </c>
      <c r="X2" t="s">
        <v>78</v>
      </c>
      <c r="Y2" t="s">
        <v>79</v>
      </c>
      <c r="AA2" t="s">
        <v>30</v>
      </c>
      <c r="AB2" t="s">
        <v>31</v>
      </c>
      <c r="AC2" t="s">
        <v>32</v>
      </c>
      <c r="AD2" t="s">
        <v>78</v>
      </c>
      <c r="AE2" t="s">
        <v>79</v>
      </c>
      <c r="AG2" t="s">
        <v>30</v>
      </c>
      <c r="AH2" t="s">
        <v>31</v>
      </c>
      <c r="AI2" t="s">
        <v>32</v>
      </c>
      <c r="AJ2" t="s">
        <v>78</v>
      </c>
      <c r="AK2" t="s">
        <v>79</v>
      </c>
    </row>
    <row r="3" spans="1:37" x14ac:dyDescent="0.25">
      <c r="A3" s="15"/>
      <c r="B3" s="15"/>
      <c r="C3" s="15" t="s">
        <v>0</v>
      </c>
      <c r="D3" s="15"/>
      <c r="E3" s="15"/>
      <c r="F3" s="15"/>
      <c r="H3" t="s">
        <v>14</v>
      </c>
      <c r="I3" t="s">
        <v>15</v>
      </c>
      <c r="J3" t="s">
        <v>105</v>
      </c>
      <c r="K3" t="s">
        <v>4</v>
      </c>
    </row>
    <row r="4" spans="1:37" x14ac:dyDescent="0.25">
      <c r="A4" s="15"/>
      <c r="B4" s="15"/>
      <c r="C4" s="15"/>
      <c r="D4" s="15" t="s">
        <v>1</v>
      </c>
      <c r="E4" s="15"/>
      <c r="F4" s="15"/>
      <c r="M4" t="s">
        <v>7</v>
      </c>
      <c r="N4" t="s">
        <v>9</v>
      </c>
      <c r="O4" t="s">
        <v>12</v>
      </c>
      <c r="P4" t="s">
        <v>111</v>
      </c>
      <c r="Q4" t="s">
        <v>103</v>
      </c>
      <c r="S4" t="s">
        <v>29</v>
      </c>
    </row>
    <row r="5" spans="1:37" x14ac:dyDescent="0.25">
      <c r="A5" s="15"/>
      <c r="B5" s="15"/>
      <c r="C5" s="15"/>
      <c r="D5" s="15"/>
      <c r="E5" s="15" t="s">
        <v>37</v>
      </c>
      <c r="F5" s="15"/>
      <c r="H5" t="s">
        <v>38</v>
      </c>
      <c r="I5" t="s">
        <v>38</v>
      </c>
      <c r="J5" t="s">
        <v>38</v>
      </c>
      <c r="K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</row>
    <row r="6" spans="1:37" x14ac:dyDescent="0.25">
      <c r="A6" s="15"/>
      <c r="B6" s="15"/>
      <c r="C6" s="15"/>
      <c r="D6" s="15"/>
      <c r="E6" s="15"/>
      <c r="F6" s="15" t="s">
        <v>2</v>
      </c>
      <c r="H6" t="s">
        <v>102</v>
      </c>
      <c r="I6" t="s">
        <v>27</v>
      </c>
      <c r="Q6" t="s">
        <v>104</v>
      </c>
      <c r="S6" t="s">
        <v>8</v>
      </c>
    </row>
    <row r="7" spans="1:37" x14ac:dyDescent="0.25">
      <c r="A7" s="15"/>
      <c r="B7" s="15"/>
      <c r="C7" s="15"/>
      <c r="D7" s="15"/>
      <c r="E7" s="15"/>
      <c r="F7" s="15"/>
    </row>
    <row r="8" spans="1:37" x14ac:dyDescent="0.25">
      <c r="H8" s="11" t="s">
        <v>39</v>
      </c>
      <c r="M8" s="11" t="s">
        <v>5</v>
      </c>
      <c r="S8" s="11" t="s">
        <v>18</v>
      </c>
      <c r="U8" s="11" t="s">
        <v>85</v>
      </c>
      <c r="AA8" s="11" t="s">
        <v>89</v>
      </c>
      <c r="AG8" s="11" t="s">
        <v>92</v>
      </c>
    </row>
    <row r="9" spans="1:37" x14ac:dyDescent="0.25">
      <c r="D9" t="s">
        <v>3</v>
      </c>
      <c r="E9" t="s">
        <v>38</v>
      </c>
      <c r="F9" t="s">
        <v>26</v>
      </c>
      <c r="H9" s="16">
        <v>1</v>
      </c>
      <c r="I9" s="16">
        <v>1</v>
      </c>
      <c r="J9" s="16">
        <v>0</v>
      </c>
      <c r="K9" s="16">
        <v>0</v>
      </c>
      <c r="M9" s="1">
        <v>0</v>
      </c>
      <c r="N9" s="1">
        <v>0</v>
      </c>
      <c r="O9" s="1">
        <v>0</v>
      </c>
      <c r="P9" s="1">
        <v>0</v>
      </c>
      <c r="Q9" s="16">
        <v>-1</v>
      </c>
      <c r="S9" s="1">
        <v>10</v>
      </c>
      <c r="U9" s="1">
        <v>0.1</v>
      </c>
      <c r="V9" s="1">
        <v>0.2</v>
      </c>
      <c r="W9" s="1">
        <v>0.3</v>
      </c>
      <c r="X9" s="1">
        <v>0.2</v>
      </c>
      <c r="Y9" s="1">
        <v>0.2</v>
      </c>
      <c r="AA9" s="17" cm="1">
        <f t="array" ref="AA9:AE11">MMULT(H9:K11,TRANSPOSE(H40:K44))</f>
        <v>0</v>
      </c>
      <c r="AB9" s="17">
        <v>4</v>
      </c>
      <c r="AC9" s="17">
        <v>6</v>
      </c>
      <c r="AD9" s="17">
        <v>5</v>
      </c>
      <c r="AE9" s="17">
        <v>0</v>
      </c>
      <c r="AG9" s="3" cm="1">
        <f t="array" ref="AG9:AK11">AA9:AE11-AA13:AE15-AA17:AE19</f>
        <v>0</v>
      </c>
      <c r="AH9" s="4">
        <v>0</v>
      </c>
      <c r="AI9" s="4">
        <v>0</v>
      </c>
      <c r="AJ9" s="4">
        <v>0</v>
      </c>
      <c r="AK9" s="5">
        <v>0</v>
      </c>
    </row>
    <row r="10" spans="1:37" x14ac:dyDescent="0.25">
      <c r="D10" t="s">
        <v>105</v>
      </c>
      <c r="E10" t="s">
        <v>38</v>
      </c>
      <c r="F10" t="s">
        <v>106</v>
      </c>
      <c r="H10" s="16">
        <v>0</v>
      </c>
      <c r="I10" s="16">
        <v>0</v>
      </c>
      <c r="J10" s="16">
        <v>1</v>
      </c>
      <c r="K10" s="16">
        <v>0</v>
      </c>
      <c r="M10" s="16">
        <v>0</v>
      </c>
      <c r="N10" s="16">
        <v>0</v>
      </c>
      <c r="O10" s="47">
        <v>1.2</v>
      </c>
      <c r="P10" s="16">
        <v>0</v>
      </c>
      <c r="Q10" s="16">
        <v>0</v>
      </c>
      <c r="S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AA10" s="17">
        <v>0</v>
      </c>
      <c r="AB10" s="17">
        <v>6</v>
      </c>
      <c r="AC10" s="17">
        <v>0</v>
      </c>
      <c r="AD10" s="17">
        <v>6</v>
      </c>
      <c r="AE10" s="17">
        <v>0</v>
      </c>
      <c r="AG10" s="9">
        <v>0</v>
      </c>
      <c r="AH10" s="45">
        <v>0</v>
      </c>
      <c r="AI10" s="45">
        <v>0</v>
      </c>
      <c r="AJ10" s="45">
        <v>0</v>
      </c>
      <c r="AK10" s="10">
        <v>0</v>
      </c>
    </row>
    <row r="11" spans="1:37" x14ac:dyDescent="0.25">
      <c r="D11" t="s">
        <v>4</v>
      </c>
      <c r="E11" t="s">
        <v>38</v>
      </c>
      <c r="F11" t="s">
        <v>100</v>
      </c>
      <c r="H11" s="16">
        <v>0</v>
      </c>
      <c r="I11" s="16">
        <v>0</v>
      </c>
      <c r="J11" s="16">
        <v>0</v>
      </c>
      <c r="K11" s="16">
        <v>1</v>
      </c>
      <c r="M11" s="1">
        <v>0</v>
      </c>
      <c r="N11" s="1">
        <v>0</v>
      </c>
      <c r="O11" s="1">
        <v>0</v>
      </c>
      <c r="P11" s="1">
        <v>0</v>
      </c>
      <c r="Q11" s="16">
        <v>0</v>
      </c>
      <c r="S11" s="1">
        <v>10</v>
      </c>
      <c r="U11" s="1">
        <v>0</v>
      </c>
      <c r="V11" s="1">
        <v>0.5</v>
      </c>
      <c r="W11" s="1">
        <v>0</v>
      </c>
      <c r="X11" s="1">
        <v>0.5</v>
      </c>
      <c r="Y11" s="1">
        <v>0</v>
      </c>
      <c r="AA11" s="17">
        <v>0</v>
      </c>
      <c r="AB11" s="17">
        <v>5</v>
      </c>
      <c r="AC11" s="17">
        <v>0</v>
      </c>
      <c r="AD11" s="17">
        <v>5</v>
      </c>
      <c r="AE11" s="17">
        <v>0</v>
      </c>
      <c r="AG11" s="6">
        <v>0</v>
      </c>
      <c r="AH11" s="7">
        <v>0</v>
      </c>
      <c r="AI11" s="7">
        <v>0</v>
      </c>
      <c r="AJ11" s="7">
        <v>0</v>
      </c>
      <c r="AK11" s="8">
        <v>0</v>
      </c>
    </row>
    <row r="12" spans="1:37" x14ac:dyDescent="0.25">
      <c r="H12" s="11" t="s">
        <v>6</v>
      </c>
      <c r="AA12" s="11" t="s">
        <v>90</v>
      </c>
      <c r="AG12" s="11" t="s">
        <v>99</v>
      </c>
    </row>
    <row r="13" spans="1:37" x14ac:dyDescent="0.25">
      <c r="D13" t="s">
        <v>7</v>
      </c>
      <c r="E13" t="s">
        <v>38</v>
      </c>
      <c r="F13" t="s">
        <v>25</v>
      </c>
      <c r="H13" s="1">
        <v>1</v>
      </c>
      <c r="I13" s="1">
        <v>0</v>
      </c>
      <c r="J13" s="1">
        <v>0</v>
      </c>
      <c r="K13" s="1">
        <v>0</v>
      </c>
      <c r="R13" s="11" t="s">
        <v>17</v>
      </c>
      <c r="S13" s="12" cm="1">
        <f t="array" ref="S13">SUM(MMULT(M40:O44,M30:O30*_xlfn.MUNIT(3)))</f>
        <v>25</v>
      </c>
      <c r="AA13" s="17" cm="1">
        <f t="array" ref="AA13:AE15">MMULT(M9:Q11,TRANSPOSE(M40:Q44))</f>
        <v>-1</v>
      </c>
      <c r="AB13" s="17">
        <v>2</v>
      </c>
      <c r="AC13" s="17">
        <v>3</v>
      </c>
      <c r="AD13" s="17">
        <v>3</v>
      </c>
      <c r="AE13" s="17">
        <v>-2</v>
      </c>
      <c r="AG13" s="3" cm="1">
        <f t="array" ref="AG13:AK16">TRANSPOSE(M40:P44)-MMULT(H13:K16,TRANSPOSE(H40:K44))</f>
        <v>0</v>
      </c>
      <c r="AH13" s="4">
        <v>0</v>
      </c>
      <c r="AI13" s="4">
        <v>0</v>
      </c>
      <c r="AJ13" s="4">
        <v>0</v>
      </c>
      <c r="AK13" s="5">
        <v>0</v>
      </c>
    </row>
    <row r="14" spans="1:37" x14ac:dyDescent="0.25">
      <c r="D14" t="s">
        <v>9</v>
      </c>
      <c r="E14" t="s">
        <v>38</v>
      </c>
      <c r="F14" t="s">
        <v>24</v>
      </c>
      <c r="H14" s="1">
        <v>0</v>
      </c>
      <c r="I14" s="1">
        <v>1</v>
      </c>
      <c r="J14" s="1">
        <v>0</v>
      </c>
      <c r="K14" s="1">
        <v>0</v>
      </c>
      <c r="AA14" s="17">
        <v>0</v>
      </c>
      <c r="AB14" s="17">
        <v>6</v>
      </c>
      <c r="AC14" s="17">
        <v>0</v>
      </c>
      <c r="AD14" s="17">
        <v>6</v>
      </c>
      <c r="AE14" s="17">
        <v>0</v>
      </c>
      <c r="AG14" s="9">
        <v>0</v>
      </c>
      <c r="AH14" s="45">
        <v>0</v>
      </c>
      <c r="AI14" s="45">
        <v>0</v>
      </c>
      <c r="AJ14" s="45">
        <v>0</v>
      </c>
      <c r="AK14" s="10">
        <v>0</v>
      </c>
    </row>
    <row r="15" spans="1:37" x14ac:dyDescent="0.25">
      <c r="D15" t="s">
        <v>12</v>
      </c>
      <c r="E15" t="s">
        <v>38</v>
      </c>
      <c r="F15" t="s">
        <v>101</v>
      </c>
      <c r="H15" s="1">
        <v>0</v>
      </c>
      <c r="I15" s="1">
        <v>0</v>
      </c>
      <c r="J15" s="1">
        <v>0</v>
      </c>
      <c r="K15" s="1">
        <v>1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G15" s="9">
        <v>0</v>
      </c>
      <c r="AH15" s="45">
        <v>0</v>
      </c>
      <c r="AI15" s="45">
        <v>0</v>
      </c>
      <c r="AJ15" s="45">
        <v>0</v>
      </c>
      <c r="AK15" s="10">
        <v>0</v>
      </c>
    </row>
    <row r="16" spans="1:37" x14ac:dyDescent="0.25">
      <c r="D16" t="s">
        <v>111</v>
      </c>
      <c r="E16" t="s">
        <v>38</v>
      </c>
      <c r="F16" t="s">
        <v>112</v>
      </c>
      <c r="H16" s="1">
        <v>0</v>
      </c>
      <c r="I16" s="1">
        <v>0</v>
      </c>
      <c r="J16" s="1">
        <v>1</v>
      </c>
      <c r="K16" s="1">
        <v>0</v>
      </c>
      <c r="AA16" s="11" t="s">
        <v>91</v>
      </c>
      <c r="AG16" s="6">
        <v>0</v>
      </c>
      <c r="AH16" s="7">
        <v>0</v>
      </c>
      <c r="AI16" s="7">
        <v>0</v>
      </c>
      <c r="AJ16" s="7">
        <v>0</v>
      </c>
      <c r="AK16" s="8">
        <v>0</v>
      </c>
    </row>
    <row r="17" spans="2:31" x14ac:dyDescent="0.25">
      <c r="AA17" s="16" cm="1">
        <f t="array" ref="AA17:AE19">S9:S11*U9:Y11</f>
        <v>1</v>
      </c>
      <c r="AB17" s="16">
        <v>2</v>
      </c>
      <c r="AC17" s="16">
        <v>3</v>
      </c>
      <c r="AD17" s="16">
        <v>2</v>
      </c>
      <c r="AE17" s="16">
        <v>2</v>
      </c>
    </row>
    <row r="18" spans="2:31" x14ac:dyDescent="0.25">
      <c r="B18" t="s">
        <v>30</v>
      </c>
      <c r="F18" t="s">
        <v>80</v>
      </c>
      <c r="M18" s="1">
        <v>0.9</v>
      </c>
      <c r="N18" s="1">
        <v>0</v>
      </c>
      <c r="O18" s="1">
        <v>1</v>
      </c>
      <c r="AA18" s="44">
        <v>0</v>
      </c>
      <c r="AB18" s="16">
        <v>0</v>
      </c>
      <c r="AC18" s="16">
        <v>0</v>
      </c>
      <c r="AD18" s="16">
        <v>0</v>
      </c>
      <c r="AE18" s="16">
        <v>0</v>
      </c>
    </row>
    <row r="19" spans="2:31" x14ac:dyDescent="0.25">
      <c r="B19" t="s">
        <v>31</v>
      </c>
      <c r="M19" s="1">
        <v>0.9</v>
      </c>
      <c r="N19" s="1">
        <v>0.2</v>
      </c>
      <c r="O19" s="1">
        <v>1</v>
      </c>
      <c r="AA19" s="16">
        <v>0</v>
      </c>
      <c r="AB19" s="16">
        <v>5</v>
      </c>
      <c r="AC19" s="16">
        <v>0</v>
      </c>
      <c r="AD19" s="16">
        <v>5</v>
      </c>
      <c r="AE19" s="16">
        <v>0</v>
      </c>
    </row>
    <row r="20" spans="2:31" x14ac:dyDescent="0.25">
      <c r="B20" t="s">
        <v>32</v>
      </c>
      <c r="M20" s="1">
        <v>0.9</v>
      </c>
      <c r="N20" s="1">
        <v>0.5</v>
      </c>
      <c r="O20" s="1">
        <v>1</v>
      </c>
    </row>
    <row r="21" spans="2:31" x14ac:dyDescent="0.25">
      <c r="B21" t="s">
        <v>78</v>
      </c>
      <c r="M21" s="1">
        <v>0.9</v>
      </c>
      <c r="N21" s="1">
        <v>0.3</v>
      </c>
      <c r="O21" s="1">
        <v>1</v>
      </c>
      <c r="AA21" s="42"/>
    </row>
    <row r="22" spans="2:31" x14ac:dyDescent="0.25">
      <c r="B22" t="s">
        <v>79</v>
      </c>
      <c r="M22" s="1">
        <v>0.9</v>
      </c>
      <c r="N22" s="1">
        <v>0</v>
      </c>
      <c r="O22" s="1">
        <v>1</v>
      </c>
      <c r="AA22" s="42"/>
    </row>
    <row r="23" spans="2:31" x14ac:dyDescent="0.25">
      <c r="S23" s="11" t="s">
        <v>85</v>
      </c>
      <c r="AA23" s="11" t="s">
        <v>75</v>
      </c>
    </row>
    <row r="24" spans="2:31" x14ac:dyDescent="0.25">
      <c r="B24" t="s">
        <v>30</v>
      </c>
      <c r="F24" t="s">
        <v>81</v>
      </c>
      <c r="M24" s="1">
        <v>0</v>
      </c>
      <c r="N24" s="1">
        <v>0</v>
      </c>
      <c r="O24" s="1">
        <v>0</v>
      </c>
      <c r="S24" s="1">
        <v>0.1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</row>
    <row r="25" spans="2:31" x14ac:dyDescent="0.25">
      <c r="B25" t="s">
        <v>31</v>
      </c>
      <c r="M25" s="1">
        <v>0</v>
      </c>
      <c r="N25" s="1">
        <v>0.1</v>
      </c>
      <c r="O25" s="1">
        <v>0</v>
      </c>
      <c r="S25" s="1">
        <v>0.2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</row>
    <row r="26" spans="2:31" x14ac:dyDescent="0.25">
      <c r="B26" t="s">
        <v>32</v>
      </c>
      <c r="M26" s="1">
        <v>0</v>
      </c>
      <c r="N26" s="1">
        <v>0.3</v>
      </c>
      <c r="O26" s="1">
        <v>0</v>
      </c>
      <c r="S26" s="1">
        <v>0.3</v>
      </c>
      <c r="AA26" s="1">
        <v>1</v>
      </c>
      <c r="AB26" s="1">
        <v>1</v>
      </c>
      <c r="AC26" s="1">
        <v>1</v>
      </c>
      <c r="AD26" s="1">
        <v>0</v>
      </c>
      <c r="AE26" s="1">
        <v>0</v>
      </c>
    </row>
    <row r="27" spans="2:31" x14ac:dyDescent="0.25">
      <c r="B27" t="s">
        <v>78</v>
      </c>
      <c r="M27" s="1">
        <v>0</v>
      </c>
      <c r="N27" s="1">
        <v>0.2</v>
      </c>
      <c r="O27" s="1">
        <v>0</v>
      </c>
      <c r="S27" s="1">
        <v>0.2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</row>
    <row r="28" spans="2:31" x14ac:dyDescent="0.25">
      <c r="B28" t="s">
        <v>79</v>
      </c>
      <c r="M28" s="1">
        <v>0</v>
      </c>
      <c r="N28" s="1">
        <v>0</v>
      </c>
      <c r="O28" s="1">
        <v>0</v>
      </c>
      <c r="S28" s="1">
        <v>0.2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</row>
    <row r="29" spans="2:31" x14ac:dyDescent="0.25">
      <c r="AA29" s="42"/>
    </row>
    <row r="30" spans="2:31" x14ac:dyDescent="0.25">
      <c r="F30" t="s">
        <v>73</v>
      </c>
      <c r="L30" s="13" t="s">
        <v>22</v>
      </c>
      <c r="M30" s="1">
        <v>3</v>
      </c>
      <c r="N30" s="1">
        <v>1</v>
      </c>
      <c r="O30" s="1">
        <v>1</v>
      </c>
      <c r="Q30" s="1">
        <v>0</v>
      </c>
      <c r="AA30" s="42"/>
    </row>
    <row r="31" spans="2:31" x14ac:dyDescent="0.25">
      <c r="F31" t="s">
        <v>72</v>
      </c>
      <c r="L31" s="13" t="s">
        <v>82</v>
      </c>
      <c r="Q31" s="1">
        <v>0.05</v>
      </c>
      <c r="S31" s="40">
        <f>Q31*Q35</f>
        <v>1</v>
      </c>
      <c r="T31" s="39" t="s">
        <v>97</v>
      </c>
      <c r="U31" s="39"/>
      <c r="V31" s="39"/>
      <c r="W31" s="39"/>
      <c r="X31" s="39"/>
      <c r="Y31" s="39"/>
      <c r="Z31" s="39"/>
      <c r="AA31" s="42"/>
    </row>
    <row r="32" spans="2:31" x14ac:dyDescent="0.25">
      <c r="L32" s="13" t="s">
        <v>83</v>
      </c>
      <c r="Q32" s="1">
        <v>1</v>
      </c>
      <c r="S32" s="40">
        <f>Q32*Q35</f>
        <v>20</v>
      </c>
      <c r="T32" s="39" t="s">
        <v>96</v>
      </c>
      <c r="U32" s="39"/>
      <c r="V32" s="39"/>
      <c r="W32" s="39"/>
      <c r="X32" s="39"/>
      <c r="Y32" s="39"/>
      <c r="Z32" s="39"/>
      <c r="AA32" s="42"/>
    </row>
    <row r="33" spans="2:27" x14ac:dyDescent="0.25">
      <c r="L33" s="13" t="s">
        <v>84</v>
      </c>
      <c r="Q33" s="1">
        <v>0.4</v>
      </c>
      <c r="S33" s="40">
        <f>Q35*Q33</f>
        <v>8</v>
      </c>
      <c r="T33" s="39" t="s">
        <v>94</v>
      </c>
      <c r="U33" s="39"/>
      <c r="V33" s="39"/>
      <c r="W33" s="39"/>
      <c r="X33" s="39"/>
      <c r="Y33" s="39"/>
      <c r="Z33" s="39"/>
      <c r="AA33" s="42"/>
    </row>
    <row r="34" spans="2:27" x14ac:dyDescent="0.25">
      <c r="L34" s="13" t="s">
        <v>93</v>
      </c>
      <c r="Q34" s="1">
        <v>0.6</v>
      </c>
      <c r="U34" s="39"/>
      <c r="V34" s="39"/>
      <c r="W34" s="39"/>
      <c r="X34" s="39"/>
      <c r="Y34" s="39"/>
      <c r="Z34" s="39"/>
      <c r="AA34" s="42"/>
    </row>
    <row r="35" spans="2:27" x14ac:dyDescent="0.25">
      <c r="L35" s="13" t="s">
        <v>87</v>
      </c>
      <c r="M35" s="1">
        <v>20</v>
      </c>
      <c r="N35" s="1">
        <v>20</v>
      </c>
      <c r="O35" s="1">
        <v>20</v>
      </c>
      <c r="Q35" s="1">
        <v>20</v>
      </c>
      <c r="AA35" s="42"/>
    </row>
    <row r="36" spans="2:27" x14ac:dyDescent="0.25">
      <c r="L36" s="13" t="s">
        <v>107</v>
      </c>
      <c r="Q36" s="1">
        <v>-3</v>
      </c>
      <c r="AA36" s="42"/>
    </row>
    <row r="37" spans="2:27" x14ac:dyDescent="0.25">
      <c r="L37" s="13" t="s">
        <v>108</v>
      </c>
      <c r="Q37" s="1">
        <v>3</v>
      </c>
    </row>
    <row r="39" spans="2:27" x14ac:dyDescent="0.25">
      <c r="H39" s="11" t="s">
        <v>34</v>
      </c>
      <c r="M39" s="11" t="s">
        <v>35</v>
      </c>
    </row>
    <row r="40" spans="2:27" x14ac:dyDescent="0.25">
      <c r="B40" t="s">
        <v>30</v>
      </c>
      <c r="H40" s="18">
        <v>0</v>
      </c>
      <c r="I40" s="18">
        <v>0</v>
      </c>
      <c r="J40" s="18">
        <v>0</v>
      </c>
      <c r="K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1</v>
      </c>
    </row>
    <row r="41" spans="2:27" x14ac:dyDescent="0.25">
      <c r="B41" t="s">
        <v>31</v>
      </c>
      <c r="H41" s="18">
        <v>0</v>
      </c>
      <c r="I41" s="18">
        <v>4</v>
      </c>
      <c r="J41" s="18">
        <v>6</v>
      </c>
      <c r="K41" s="18">
        <v>5</v>
      </c>
      <c r="M41" s="18">
        <v>0</v>
      </c>
      <c r="N41" s="18">
        <v>4</v>
      </c>
      <c r="O41" s="18">
        <v>5</v>
      </c>
      <c r="P41" s="18">
        <v>6</v>
      </c>
      <c r="Q41" s="18">
        <v>-2</v>
      </c>
    </row>
    <row r="42" spans="2:27" x14ac:dyDescent="0.25">
      <c r="B42" t="s">
        <v>32</v>
      </c>
      <c r="H42" s="18">
        <v>0</v>
      </c>
      <c r="I42" s="18">
        <v>6</v>
      </c>
      <c r="J42" s="18">
        <v>0</v>
      </c>
      <c r="K42" s="18">
        <v>0</v>
      </c>
      <c r="M42" s="18">
        <v>0</v>
      </c>
      <c r="N42" s="18">
        <v>6</v>
      </c>
      <c r="O42" s="18">
        <v>0</v>
      </c>
      <c r="P42" s="18">
        <v>0</v>
      </c>
      <c r="Q42" s="18">
        <v>-3</v>
      </c>
    </row>
    <row r="43" spans="2:27" x14ac:dyDescent="0.25">
      <c r="B43" t="s">
        <v>78</v>
      </c>
      <c r="H43" s="18">
        <v>0</v>
      </c>
      <c r="I43" s="18">
        <v>5</v>
      </c>
      <c r="J43" s="18">
        <v>6</v>
      </c>
      <c r="K43" s="18">
        <v>5</v>
      </c>
      <c r="M43" s="18">
        <v>0</v>
      </c>
      <c r="N43" s="18">
        <v>5</v>
      </c>
      <c r="O43" s="18">
        <v>5</v>
      </c>
      <c r="P43" s="18">
        <v>6</v>
      </c>
      <c r="Q43" s="18">
        <v>-3</v>
      </c>
    </row>
    <row r="44" spans="2:27" x14ac:dyDescent="0.25">
      <c r="B44" t="s">
        <v>79</v>
      </c>
      <c r="H44" s="18">
        <v>0</v>
      </c>
      <c r="I44" s="18">
        <v>0</v>
      </c>
      <c r="J44" s="18">
        <v>0</v>
      </c>
      <c r="K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2</v>
      </c>
    </row>
    <row r="46" spans="2:27" x14ac:dyDescent="0.25">
      <c r="M46" s="11" t="s">
        <v>109</v>
      </c>
      <c r="O46" s="45"/>
      <c r="P46" s="10"/>
      <c r="Q46" s="11" t="s">
        <v>74</v>
      </c>
    </row>
    <row r="47" spans="2:27" x14ac:dyDescent="0.25">
      <c r="B47" t="s">
        <v>30</v>
      </c>
      <c r="M47" s="17" cm="1">
        <f t="array" ref="M47:O51">M18:O22*M35:O35</f>
        <v>18</v>
      </c>
      <c r="N47" s="17">
        <v>0</v>
      </c>
      <c r="O47" s="46">
        <v>20</v>
      </c>
      <c r="P47" s="10"/>
      <c r="Q47" s="43" cm="1">
        <f t="array" ref="Q47:Q51">S33-MMULT(AA24:AE28,P40:P44+Q40:Q44)</f>
        <v>7</v>
      </c>
    </row>
    <row r="48" spans="2:27" x14ac:dyDescent="0.25">
      <c r="B48" t="s">
        <v>31</v>
      </c>
      <c r="M48" s="17">
        <v>18</v>
      </c>
      <c r="N48" s="17">
        <v>4</v>
      </c>
      <c r="O48" s="46">
        <v>20</v>
      </c>
      <c r="P48" s="10"/>
      <c r="Q48" s="17">
        <v>3</v>
      </c>
    </row>
    <row r="49" spans="2:17" x14ac:dyDescent="0.25">
      <c r="B49" t="s">
        <v>32</v>
      </c>
      <c r="M49" s="17">
        <v>18</v>
      </c>
      <c r="N49" s="17">
        <v>10</v>
      </c>
      <c r="O49" s="46">
        <v>20</v>
      </c>
      <c r="P49" s="10"/>
      <c r="Q49" s="17">
        <v>6</v>
      </c>
    </row>
    <row r="50" spans="2:17" x14ac:dyDescent="0.25">
      <c r="B50" t="s">
        <v>78</v>
      </c>
      <c r="M50" s="17">
        <v>18</v>
      </c>
      <c r="N50" s="17">
        <v>6</v>
      </c>
      <c r="O50" s="46">
        <v>20</v>
      </c>
      <c r="P50" s="10"/>
      <c r="Q50" s="17">
        <v>3</v>
      </c>
    </row>
    <row r="51" spans="2:17" x14ac:dyDescent="0.25">
      <c r="B51" t="s">
        <v>79</v>
      </c>
      <c r="M51" s="17">
        <v>18</v>
      </c>
      <c r="N51" s="17">
        <v>0</v>
      </c>
      <c r="O51" s="46">
        <v>20</v>
      </c>
      <c r="P51" s="10"/>
      <c r="Q51" s="17">
        <v>1</v>
      </c>
    </row>
    <row r="52" spans="2:17" x14ac:dyDescent="0.25">
      <c r="O52" s="45"/>
      <c r="P52" s="10"/>
    </row>
    <row r="53" spans="2:17" x14ac:dyDescent="0.25">
      <c r="M53" s="11" t="s">
        <v>110</v>
      </c>
    </row>
    <row r="54" spans="2:17" x14ac:dyDescent="0.25">
      <c r="B54" t="s">
        <v>30</v>
      </c>
      <c r="M54" s="17" cm="1">
        <f t="array" ref="M54:O58">M24:O28*M35:O35</f>
        <v>0</v>
      </c>
      <c r="N54" s="17">
        <v>0</v>
      </c>
      <c r="O54" s="17">
        <v>0</v>
      </c>
    </row>
    <row r="55" spans="2:17" x14ac:dyDescent="0.25">
      <c r="B55" t="s">
        <v>31</v>
      </c>
      <c r="M55" s="17">
        <v>0</v>
      </c>
      <c r="N55" s="17">
        <v>2</v>
      </c>
      <c r="O55" s="17">
        <v>0</v>
      </c>
    </row>
    <row r="56" spans="2:17" x14ac:dyDescent="0.25">
      <c r="B56" t="s">
        <v>32</v>
      </c>
      <c r="M56" s="17">
        <v>0</v>
      </c>
      <c r="N56" s="17">
        <v>6</v>
      </c>
      <c r="O56" s="17">
        <v>0</v>
      </c>
    </row>
    <row r="57" spans="2:17" x14ac:dyDescent="0.25">
      <c r="B57" t="s">
        <v>78</v>
      </c>
      <c r="M57" s="17">
        <v>0</v>
      </c>
      <c r="N57" s="17">
        <v>4</v>
      </c>
      <c r="O57" s="17">
        <v>0</v>
      </c>
    </row>
    <row r="58" spans="2:17" x14ac:dyDescent="0.25">
      <c r="B58" t="s">
        <v>79</v>
      </c>
      <c r="M58" s="17">
        <v>0</v>
      </c>
      <c r="N58" s="17">
        <v>0</v>
      </c>
      <c r="O58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hours</vt:lpstr>
      <vt:lpstr>storage</vt:lpstr>
      <vt:lpstr>storage_bev</vt:lpstr>
      <vt:lpstr>storage_bev_v2g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2024-04-02T13:59:56Z</dcterms:modified>
</cp:coreProperties>
</file>