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alumni.unav.es\UNAV\Segundo semestre\Math\"/>
    </mc:Choice>
  </mc:AlternateContent>
  <xr:revisionPtr revIDLastSave="0" documentId="13_ncr:1_{47EE7C9D-E70F-4E96-A356-5C178960D1B7}" xr6:coauthVersionLast="46" xr6:coauthVersionMax="46" xr10:uidLastSave="{00000000-0000-0000-0000-000000000000}"/>
  <bookViews>
    <workbookView xWindow="-98" yWindow="-98" windowWidth="21795" windowHeight="13096" firstSheet="8" activeTab="12" xr2:uid="{5B5A9A78-F247-45E5-8735-8736B718EFAE}"/>
  </bookViews>
  <sheets>
    <sheet name="JAN" sheetId="1" r:id="rId1"/>
    <sheet name="FEB" sheetId="2" r:id="rId2"/>
    <sheet name="MAR" sheetId="3" r:id="rId3"/>
    <sheet name="EXPECTATIONS" sheetId="9" r:id="rId4"/>
    <sheet name="Answer PDC NT" sheetId="13" r:id="rId5"/>
    <sheet name="PDC NT" sheetId="4" r:id="rId6"/>
    <sheet name="Answer PDC R" sheetId="12" r:id="rId7"/>
    <sheet name="PDC R" sheetId="6" r:id="rId8"/>
    <sheet name="Answer RI" sheetId="15" r:id="rId9"/>
    <sheet name="RI" sheetId="7" r:id="rId10"/>
    <sheet name="Answer RT" sheetId="16" r:id="rId11"/>
    <sheet name="RT" sheetId="8" r:id="rId12"/>
    <sheet name="FINAL RESULTS" sheetId="17" r:id="rId13"/>
  </sheets>
  <definedNames>
    <definedName name="solver_adj" localSheetId="5" hidden="1">'PDC NT'!$F$3:$F$5</definedName>
    <definedName name="solver_adj" localSheetId="7" hidden="1">'PDC R'!$F$4:$F$7</definedName>
    <definedName name="solver_adj" localSheetId="9" hidden="1">RI!$F$3:$F$4</definedName>
    <definedName name="solver_adj" localSheetId="11" hidden="1">RT!$F$3:$F$7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11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lhs1" localSheetId="5" hidden="1">'PDC NT'!$F$3</definedName>
    <definedName name="solver_lhs1" localSheetId="7" hidden="1">'PDC R'!$F$4</definedName>
    <definedName name="solver_lhs1" localSheetId="9" hidden="1">RI!$F$3</definedName>
    <definedName name="solver_lhs1" localSheetId="11" hidden="1">RT!$F$3</definedName>
    <definedName name="solver_lhs2" localSheetId="5" hidden="1">'PDC NT'!$F$3:$F$5</definedName>
    <definedName name="solver_lhs2" localSheetId="7" hidden="1">'PDC R'!$F$4:$F$7</definedName>
    <definedName name="solver_lhs2" localSheetId="9" hidden="1">RI!$F$3:$F$4</definedName>
    <definedName name="solver_lhs2" localSheetId="11" hidden="1">RT!$F$3:$F$7</definedName>
    <definedName name="solver_lhs3" localSheetId="5" hidden="1">'PDC NT'!$F$4</definedName>
    <definedName name="solver_lhs3" localSheetId="7" hidden="1">'PDC R'!$F$5</definedName>
    <definedName name="solver_lhs3" localSheetId="9" hidden="1">RI!$F$4</definedName>
    <definedName name="solver_lhs3" localSheetId="11" hidden="1">RT!$F$4</definedName>
    <definedName name="solver_lhs4" localSheetId="5" hidden="1">'PDC NT'!$F$5</definedName>
    <definedName name="solver_lhs4" localSheetId="7" hidden="1">'PDC R'!$F$6</definedName>
    <definedName name="solver_lhs4" localSheetId="9" hidden="1">RI!$J$5</definedName>
    <definedName name="solver_lhs4" localSheetId="11" hidden="1">RT!$F$5</definedName>
    <definedName name="solver_lhs5" localSheetId="5" hidden="1">'PDC NT'!$J$6</definedName>
    <definedName name="solver_lhs5" localSheetId="7" hidden="1">'PDC R'!$F$7</definedName>
    <definedName name="solver_lhs5" localSheetId="11" hidden="1">RT!$F$6</definedName>
    <definedName name="solver_lhs6" localSheetId="7" hidden="1">'PDC R'!$J$8</definedName>
    <definedName name="solver_lhs6" localSheetId="11" hidden="1">RT!$F$7</definedName>
    <definedName name="solver_lhs7" localSheetId="11" hidden="1">RT!$J$8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um" localSheetId="5" hidden="1">5</definedName>
    <definedName name="solver_num" localSheetId="7" hidden="1">6</definedName>
    <definedName name="solver_num" localSheetId="9" hidden="1">3</definedName>
    <definedName name="solver_num" localSheetId="11" hidden="1">7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opt" localSheetId="5" hidden="1">'PDC NT'!$J$6</definedName>
    <definedName name="solver_opt" localSheetId="7" hidden="1">'PDC R'!$J$8</definedName>
    <definedName name="solver_opt" localSheetId="9" hidden="1">RI!$J$5</definedName>
    <definedName name="solver_opt" localSheetId="11" hidden="1">RT!$J$8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el1" localSheetId="5" hidden="1">1</definedName>
    <definedName name="solver_rel1" localSheetId="7" hidden="1">1</definedName>
    <definedName name="solver_rel1" localSheetId="9" hidden="1">1</definedName>
    <definedName name="solver_rel1" localSheetId="11" hidden="1">1</definedName>
    <definedName name="solver_rel2" localSheetId="5" hidden="1">3</definedName>
    <definedName name="solver_rel2" localSheetId="7" hidden="1">3</definedName>
    <definedName name="solver_rel2" localSheetId="9" hidden="1">3</definedName>
    <definedName name="solver_rel2" localSheetId="11" hidden="1">3</definedName>
    <definedName name="solver_rel3" localSheetId="5" hidden="1">1</definedName>
    <definedName name="solver_rel3" localSheetId="7" hidden="1">1</definedName>
    <definedName name="solver_rel3" localSheetId="9" hidden="1">1</definedName>
    <definedName name="solver_rel3" localSheetId="11" hidden="1">1</definedName>
    <definedName name="solver_rel4" localSheetId="5" hidden="1">1</definedName>
    <definedName name="solver_rel4" localSheetId="7" hidden="1">1</definedName>
    <definedName name="solver_rel4" localSheetId="9" hidden="1">3</definedName>
    <definedName name="solver_rel4" localSheetId="11" hidden="1">1</definedName>
    <definedName name="solver_rel5" localSheetId="5" hidden="1">3</definedName>
    <definedName name="solver_rel5" localSheetId="7" hidden="1">1</definedName>
    <definedName name="solver_rel5" localSheetId="11" hidden="1">1</definedName>
    <definedName name="solver_rel6" localSheetId="7" hidden="1">3</definedName>
    <definedName name="solver_rel6" localSheetId="11" hidden="1">1</definedName>
    <definedName name="solver_rel7" localSheetId="11" hidden="1">3</definedName>
    <definedName name="solver_rhs1" localSheetId="5" hidden="1">1</definedName>
    <definedName name="solver_rhs1" localSheetId="7" hidden="1">8</definedName>
    <definedName name="solver_rhs1" localSheetId="9" hidden="1">5</definedName>
    <definedName name="solver_rhs1" localSheetId="11" hidden="1">1</definedName>
    <definedName name="solver_rhs2" localSheetId="5" hidden="1">0</definedName>
    <definedName name="solver_rhs2" localSheetId="7" hidden="1">0</definedName>
    <definedName name="solver_rhs2" localSheetId="9" hidden="1">0</definedName>
    <definedName name="solver_rhs2" localSheetId="11" hidden="1">0</definedName>
    <definedName name="solver_rhs3" localSheetId="5" hidden="1">10</definedName>
    <definedName name="solver_rhs3" localSheetId="7" hidden="1">10</definedName>
    <definedName name="solver_rhs3" localSheetId="9" hidden="1">1</definedName>
    <definedName name="solver_rhs3" localSheetId="11" hidden="1">6</definedName>
    <definedName name="solver_rhs4" localSheetId="5" hidden="1">8</definedName>
    <definedName name="solver_rhs4" localSheetId="7" hidden="1">8</definedName>
    <definedName name="solver_rhs4" localSheetId="9" hidden="1">444697.55</definedName>
    <definedName name="solver_rhs4" localSheetId="11" hidden="1">2</definedName>
    <definedName name="solver_rhs5" localSheetId="5" hidden="1">1247550.23</definedName>
    <definedName name="solver_rhs5" localSheetId="7" hidden="1">8</definedName>
    <definedName name="solver_rhs5" localSheetId="11" hidden="1">2</definedName>
    <definedName name="solver_rhs6" localSheetId="7" hidden="1">2157951.67</definedName>
    <definedName name="solver_rhs6" localSheetId="11" hidden="1">6</definedName>
    <definedName name="solver_rhs7" localSheetId="11" hidden="1">600000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11" hidden="1">1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val" localSheetId="5" hidden="1">1303244.43</definedName>
    <definedName name="solver_val" localSheetId="7" hidden="1">2300000</definedName>
    <definedName name="solver_val" localSheetId="9" hidden="1">445000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7" l="1"/>
  <c r="E32" i="17"/>
  <c r="E30" i="17"/>
  <c r="E28" i="17"/>
  <c r="L3" i="8"/>
  <c r="G6" i="17"/>
  <c r="G8" i="17"/>
  <c r="G10" i="17"/>
  <c r="G4" i="17"/>
  <c r="E10" i="17"/>
  <c r="E8" i="17"/>
  <c r="E6" i="17"/>
  <c r="E4" i="17"/>
  <c r="AI14" i="17"/>
  <c r="AI13" i="17"/>
  <c r="AI12" i="17"/>
  <c r="AI11" i="17"/>
  <c r="AI20" i="17" s="1"/>
  <c r="AI7" i="17"/>
  <c r="AI6" i="17"/>
  <c r="AI5" i="17"/>
  <c r="AI4" i="17"/>
  <c r="AI19" i="17" s="1"/>
  <c r="X25" i="17" s="1"/>
  <c r="Y15" i="17"/>
  <c r="Y14" i="17"/>
  <c r="Y13" i="17"/>
  <c r="Y12" i="17"/>
  <c r="AB12" i="17" s="1"/>
  <c r="X15" i="17"/>
  <c r="X14" i="17"/>
  <c r="X13" i="17"/>
  <c r="X12" i="17"/>
  <c r="AB11" i="17" s="1"/>
  <c r="Y7" i="17"/>
  <c r="Y6" i="17"/>
  <c r="Y5" i="17"/>
  <c r="Y4" i="17"/>
  <c r="AB4" i="17" s="1"/>
  <c r="X7" i="17"/>
  <c r="X6" i="17"/>
  <c r="X5" i="17"/>
  <c r="X4" i="17"/>
  <c r="AB3" i="17" s="1"/>
  <c r="X23" i="17" l="1"/>
  <c r="X24" i="17"/>
  <c r="F27" i="8"/>
  <c r="O13" i="8" s="1"/>
  <c r="K29" i="8"/>
  <c r="H27" i="8"/>
  <c r="K30" i="8" s="1"/>
  <c r="F21" i="7"/>
  <c r="O11" i="7" s="1"/>
  <c r="F24" i="6"/>
  <c r="K23" i="8"/>
  <c r="L23" i="8" s="1"/>
  <c r="K24" i="8"/>
  <c r="L24" i="8" s="1"/>
  <c r="K25" i="8"/>
  <c r="L25" i="8" s="1"/>
  <c r="K26" i="8"/>
  <c r="L26" i="8" s="1"/>
  <c r="K22" i="8"/>
  <c r="K20" i="7"/>
  <c r="L20" i="7" s="1"/>
  <c r="K19" i="7"/>
  <c r="K21" i="6"/>
  <c r="L21" i="6" s="1"/>
  <c r="K22" i="6"/>
  <c r="L22" i="6" s="1"/>
  <c r="K23" i="6"/>
  <c r="L23" i="6" s="1"/>
  <c r="K20" i="6"/>
  <c r="F20" i="4"/>
  <c r="H21" i="7"/>
  <c r="K25" i="7" s="1"/>
  <c r="K24" i="7"/>
  <c r="H24" i="6"/>
  <c r="K28" i="6" s="1"/>
  <c r="H20" i="4"/>
  <c r="F8" i="8"/>
  <c r="F5" i="7"/>
  <c r="F6" i="4"/>
  <c r="O11" i="4" s="1"/>
  <c r="F8" i="6"/>
  <c r="O13" i="6" s="1"/>
  <c r="H3" i="4"/>
  <c r="F15" i="9"/>
  <c r="F16" i="9"/>
  <c r="F17" i="9"/>
  <c r="E15" i="9"/>
  <c r="E16" i="9"/>
  <c r="E17" i="9"/>
  <c r="E14" i="9"/>
  <c r="F14" i="9" s="1"/>
  <c r="I4" i="6"/>
  <c r="J4" i="6" s="1"/>
  <c r="J18" i="4"/>
  <c r="K18" i="4" s="1"/>
  <c r="L18" i="4" s="1"/>
  <c r="I5" i="4"/>
  <c r="I4" i="4"/>
  <c r="J4" i="4" s="1"/>
  <c r="I3" i="4"/>
  <c r="J3" i="4" s="1"/>
  <c r="K3" i="4" s="1"/>
  <c r="I6" i="3"/>
  <c r="I8" i="3"/>
  <c r="I12" i="3"/>
  <c r="I14" i="3"/>
  <c r="I16" i="3"/>
  <c r="I5" i="8"/>
  <c r="J5" i="8" s="1"/>
  <c r="I7" i="2"/>
  <c r="I9" i="2"/>
  <c r="I11" i="2"/>
  <c r="I7" i="6"/>
  <c r="J7" i="6" s="1"/>
  <c r="I15" i="2"/>
  <c r="I4" i="8"/>
  <c r="J4" i="8" s="1"/>
  <c r="I10" i="2"/>
  <c r="I12" i="2"/>
  <c r="I14" i="2"/>
  <c r="I4" i="2"/>
  <c r="I6" i="8"/>
  <c r="J6" i="8" s="1"/>
  <c r="I8" i="1"/>
  <c r="I11" i="1"/>
  <c r="I16" i="1"/>
  <c r="I17" i="1"/>
  <c r="I13" i="1"/>
  <c r="I15" i="1"/>
  <c r="I10" i="1"/>
  <c r="I18" i="1"/>
  <c r="I19" i="1"/>
  <c r="I3" i="8"/>
  <c r="J3" i="8" s="1"/>
  <c r="I7" i="8"/>
  <c r="J7" i="8" s="1"/>
  <c r="G7" i="8"/>
  <c r="H7" i="8" s="1"/>
  <c r="G6" i="8"/>
  <c r="H6" i="8" s="1"/>
  <c r="G5" i="8"/>
  <c r="H5" i="8" s="1"/>
  <c r="G4" i="8"/>
  <c r="H4" i="8" s="1"/>
  <c r="G3" i="8"/>
  <c r="H3" i="8" s="1"/>
  <c r="I4" i="7"/>
  <c r="J4" i="7" s="1"/>
  <c r="I3" i="7"/>
  <c r="J3" i="7" s="1"/>
  <c r="G4" i="7"/>
  <c r="H4" i="7" s="1"/>
  <c r="G3" i="7"/>
  <c r="H3" i="7" s="1"/>
  <c r="I5" i="3"/>
  <c r="I7" i="3"/>
  <c r="I11" i="3"/>
  <c r="I15" i="3"/>
  <c r="I6" i="1"/>
  <c r="I4" i="3"/>
  <c r="I9" i="3"/>
  <c r="I13" i="3"/>
  <c r="I10" i="3"/>
  <c r="G4" i="6"/>
  <c r="H4" i="6" s="1"/>
  <c r="G5" i="6"/>
  <c r="G6" i="6"/>
  <c r="H6" i="6" s="1"/>
  <c r="G7" i="6"/>
  <c r="H7" i="6" s="1"/>
  <c r="K7" i="6" s="1"/>
  <c r="L7" i="6" s="1"/>
  <c r="J19" i="4"/>
  <c r="K19" i="4" s="1"/>
  <c r="L19" i="4" s="1"/>
  <c r="J17" i="4"/>
  <c r="K17" i="4" s="1"/>
  <c r="G4" i="4"/>
  <c r="G5" i="4"/>
  <c r="H5" i="4" s="1"/>
  <c r="I8" i="2"/>
  <c r="I5" i="2"/>
  <c r="G14" i="3"/>
  <c r="G13" i="3"/>
  <c r="G12" i="3"/>
  <c r="G10" i="1"/>
  <c r="G13" i="1"/>
  <c r="G28" i="1"/>
  <c r="G29" i="1"/>
  <c r="G26" i="1"/>
  <c r="D28" i="1"/>
  <c r="D29" i="1"/>
  <c r="D26" i="1"/>
  <c r="C27" i="1"/>
  <c r="G27" i="1" s="1"/>
  <c r="N11" i="4" l="1"/>
  <c r="K4" i="7"/>
  <c r="L4" i="7" s="1"/>
  <c r="K5" i="8"/>
  <c r="L5" i="8" s="1"/>
  <c r="K27" i="8"/>
  <c r="L27" i="8" s="1"/>
  <c r="L22" i="8"/>
  <c r="N13" i="8"/>
  <c r="K21" i="7"/>
  <c r="L21" i="7" s="1"/>
  <c r="L19" i="7"/>
  <c r="N11" i="7"/>
  <c r="K24" i="6"/>
  <c r="L24" i="6" s="1"/>
  <c r="L20" i="6"/>
  <c r="K27" i="6"/>
  <c r="N13" i="6"/>
  <c r="K7" i="8"/>
  <c r="L7" i="8" s="1"/>
  <c r="K6" i="8"/>
  <c r="L6" i="8" s="1"/>
  <c r="K3" i="7"/>
  <c r="K5" i="7" s="1"/>
  <c r="K3" i="8"/>
  <c r="K4" i="8"/>
  <c r="L4" i="8" s="1"/>
  <c r="K4" i="6"/>
  <c r="L4" i="6" s="1"/>
  <c r="L3" i="7"/>
  <c r="K20" i="4"/>
  <c r="L17" i="4"/>
  <c r="L3" i="4"/>
  <c r="H8" i="8"/>
  <c r="H5" i="7"/>
  <c r="H5" i="6"/>
  <c r="H8" i="6" s="1"/>
  <c r="J8" i="8"/>
  <c r="J5" i="7"/>
  <c r="H4" i="4"/>
  <c r="H6" i="4" s="1"/>
  <c r="J5" i="4"/>
  <c r="I13" i="2"/>
  <c r="I6" i="2"/>
  <c r="I5" i="6"/>
  <c r="J5" i="6" s="1"/>
  <c r="I6" i="6"/>
  <c r="J6" i="6" s="1"/>
  <c r="K6" i="6" s="1"/>
  <c r="L6" i="6" s="1"/>
  <c r="I9" i="1"/>
  <c r="I5" i="1"/>
  <c r="I7" i="1"/>
  <c r="I4" i="1"/>
  <c r="I14" i="1"/>
  <c r="I12" i="1"/>
  <c r="J20" i="4"/>
  <c r="K23" i="4" s="1"/>
  <c r="D27" i="1"/>
  <c r="E30" i="1"/>
  <c r="F28" i="1" s="1"/>
  <c r="K8" i="8" l="1"/>
  <c r="L8" i="8" s="1"/>
  <c r="L5" i="7"/>
  <c r="K5" i="6"/>
  <c r="L5" i="6" s="1"/>
  <c r="O11" i="8"/>
  <c r="K11" i="8"/>
  <c r="N11" i="8"/>
  <c r="O9" i="7"/>
  <c r="N9" i="7"/>
  <c r="K10" i="8"/>
  <c r="K4" i="4"/>
  <c r="J6" i="4"/>
  <c r="K5" i="4"/>
  <c r="L5" i="4" s="1"/>
  <c r="K24" i="4"/>
  <c r="L20" i="4"/>
  <c r="K9" i="7"/>
  <c r="K8" i="7"/>
  <c r="J8" i="6"/>
  <c r="F27" i="1"/>
  <c r="F29" i="1"/>
  <c r="F26" i="1"/>
  <c r="G30" i="1"/>
  <c r="K8" i="6" l="1"/>
  <c r="O9" i="4"/>
  <c r="K10" i="4"/>
  <c r="N9" i="4"/>
  <c r="K9" i="4"/>
  <c r="L8" i="6"/>
  <c r="K12" i="6"/>
  <c r="O11" i="6"/>
  <c r="N11" i="6"/>
  <c r="O10" i="7"/>
  <c r="N10" i="7"/>
  <c r="O12" i="8"/>
  <c r="N12" i="8"/>
  <c r="L4" i="4"/>
  <c r="K6" i="4"/>
  <c r="L6" i="4" s="1"/>
  <c r="K11" i="6"/>
  <c r="N10" i="4" l="1"/>
  <c r="O10" i="4"/>
  <c r="O12" i="6"/>
  <c r="N12" i="6"/>
</calcChain>
</file>

<file path=xl/sharedStrings.xml><?xml version="1.0" encoding="utf-8"?>
<sst xmlns="http://schemas.openxmlformats.org/spreadsheetml/2006/main" count="782" uniqueCount="198">
  <si>
    <t>BIT TYPE</t>
  </si>
  <si>
    <t>SALE</t>
  </si>
  <si>
    <t>NAME</t>
  </si>
  <si>
    <t>SIZE</t>
  </si>
  <si>
    <t>PROFIT</t>
  </si>
  <si>
    <t>RT</t>
  </si>
  <si>
    <t>RI</t>
  </si>
  <si>
    <t>PDC</t>
  </si>
  <si>
    <t>PDC R</t>
  </si>
  <si>
    <t>PDC NT</t>
  </si>
  <si>
    <t>ROLLER TOOTH</t>
  </si>
  <si>
    <t>ROLLER INSERT</t>
  </si>
  <si>
    <t>PDC REGULAR  TECH</t>
  </si>
  <si>
    <t>PDC NEW TECHNOLOGY</t>
  </si>
  <si>
    <t>POLYCRISTALINE DIAMOD COMPACT</t>
  </si>
  <si>
    <t>QTY</t>
  </si>
  <si>
    <t xml:space="preserve"> COST</t>
  </si>
  <si>
    <t>ONE BIT ANALYSIS</t>
  </si>
  <si>
    <t>12 1/4"</t>
  </si>
  <si>
    <t>COMPONENTS</t>
  </si>
  <si>
    <t>MATRIX</t>
  </si>
  <si>
    <t>CUTTERS</t>
  </si>
  <si>
    <t>ACCESORIES</t>
  </si>
  <si>
    <t>USA</t>
  </si>
  <si>
    <t>CHINA</t>
  </si>
  <si>
    <t>LABOR</t>
  </si>
  <si>
    <t>%</t>
  </si>
  <si>
    <t>DIFF</t>
  </si>
  <si>
    <t>scenario1</t>
  </si>
  <si>
    <t>RENT</t>
  </si>
  <si>
    <t>BIT Type</t>
  </si>
  <si>
    <t>QTY/Q</t>
  </si>
  <si>
    <t>Cell</t>
  </si>
  <si>
    <t>Name</t>
  </si>
  <si>
    <t>Cell Value</t>
  </si>
  <si>
    <t>Formula</t>
  </si>
  <si>
    <t>Status</t>
  </si>
  <si>
    <t>Slack</t>
  </si>
  <si>
    <t>≥</t>
  </si>
  <si>
    <t>S.T</t>
  </si>
  <si>
    <t>16''</t>
  </si>
  <si>
    <t>12.25''</t>
  </si>
  <si>
    <t>8.5''</t>
  </si>
  <si>
    <t>AVERAGE SALE</t>
  </si>
  <si>
    <t xml:space="preserve"> AVERAGE SALE</t>
  </si>
  <si>
    <t>EXPECTED SALE</t>
  </si>
  <si>
    <t>A</t>
  </si>
  <si>
    <t>B</t>
  </si>
  <si>
    <t>C</t>
  </si>
  <si>
    <t>INCREASE</t>
  </si>
  <si>
    <t>UNIT COST</t>
  </si>
  <si>
    <t xml:space="preserve"> UNIT COST</t>
  </si>
  <si>
    <t>COST</t>
  </si>
  <si>
    <t>D</t>
  </si>
  <si>
    <t>E</t>
  </si>
  <si>
    <t>GROOS NET</t>
  </si>
  <si>
    <t>26''</t>
  </si>
  <si>
    <t>Microsoft Excel 16.0 Answer Report</t>
  </si>
  <si>
    <t>Worksheet: [Project 1.xlsx]PDC NT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</si>
  <si>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</si>
  <si>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</si>
  <si>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</si>
  <si>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</si>
  <si>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</si>
  <si>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</si>
  <si>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</si>
  <si>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</si>
  <si>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Original Value</t>
  </si>
  <si>
    <t>Final Value</t>
  </si>
  <si>
    <t>Variable Cells</t>
  </si>
  <si>
    <t>Integer</t>
  </si>
  <si>
    <t>Constraints</t>
  </si>
  <si>
    <t>$J$6</t>
  </si>
  <si>
    <t>$F$3</t>
  </si>
  <si>
    <t>XZ416 QTY/Q</t>
  </si>
  <si>
    <t>Contin</t>
  </si>
  <si>
    <t>$F$4</t>
  </si>
  <si>
    <t>Z519 QTY/Q</t>
  </si>
  <si>
    <t>$F$5</t>
  </si>
  <si>
    <t>Z616 QTY/Q</t>
  </si>
  <si>
    <t>Binding</t>
  </si>
  <si>
    <t>Not Binding</t>
  </si>
  <si>
    <t>$F$3:$F$5</t>
  </si>
  <si>
    <t>≤</t>
  </si>
  <si>
    <t>Objective Cell (Max)</t>
  </si>
  <si>
    <t>$J$6&gt;=1247550.23</t>
  </si>
  <si>
    <t>$F$3&lt;=1</t>
  </si>
  <si>
    <t>$F$4&lt;=10</t>
  </si>
  <si>
    <t>$F$5&lt;=8</t>
  </si>
  <si>
    <t>Worksheet: [Project 1.xlsx]PDC R</t>
  </si>
  <si>
    <t>Report Created: 4/14/2021 6:25:01 PM</t>
  </si>
  <si>
    <t>Solution Time: 0.047 Seconds.</t>
  </si>
  <si>
    <t>Iterations: 6 Subproblems: 0</t>
  </si>
  <si>
    <t>$J$8</t>
  </si>
  <si>
    <t>SDI519MHSBPX QTY/Q</t>
  </si>
  <si>
    <t>MSI519HSBPXX QTY/Q</t>
  </si>
  <si>
    <t>$F$6</t>
  </si>
  <si>
    <t>MSI616UPX QTY/Q</t>
  </si>
  <si>
    <t>$F$7</t>
  </si>
  <si>
    <t>MDSI516WBPX QTY/Q</t>
  </si>
  <si>
    <t>$J$8&gt;=2157951.67</t>
  </si>
  <si>
    <t>$F$4&lt;=8</t>
  </si>
  <si>
    <t>$F$4&gt;=0</t>
  </si>
  <si>
    <t>$F$5&gt;=0</t>
  </si>
  <si>
    <t>$F$6&gt;=0</t>
  </si>
  <si>
    <t>$F$7&gt;=0</t>
  </si>
  <si>
    <t>$F$5&lt;=10</t>
  </si>
  <si>
    <t>$F$6&lt;=8</t>
  </si>
  <si>
    <t>$F$7&lt;=8</t>
  </si>
  <si>
    <t>$F$4:$F$7</t>
  </si>
  <si>
    <t>$F$4:$F$7 &gt;= 0</t>
  </si>
  <si>
    <t>Report Created: 4/14/2021 6:25:46 PM</t>
  </si>
  <si>
    <t>Solution Time: 0.016 Seconds.</t>
  </si>
  <si>
    <t>$F$3&gt;=0</t>
  </si>
  <si>
    <t>$F$3:$F$5 &gt;= 0</t>
  </si>
  <si>
    <t>Worksheet: [Project 1.xlsx]RI</t>
  </si>
  <si>
    <t>Solution Time: 0.015 Seconds.</t>
  </si>
  <si>
    <t>$J$5</t>
  </si>
  <si>
    <t>TCTI+CR QTY/Q</t>
  </si>
  <si>
    <t>XR40YDDOD1PD QTY/Q</t>
  </si>
  <si>
    <t>Report Created: 4/14/2021 6:57:56 PM</t>
  </si>
  <si>
    <t>$F$3&lt;=5</t>
  </si>
  <si>
    <t>$F$4&lt;=1</t>
  </si>
  <si>
    <t>Worksheet: [Project 1.xlsx]RT</t>
  </si>
  <si>
    <t>Report Created: 4/14/2021 7:00:17 PM</t>
  </si>
  <si>
    <t>XR+CPS QTY/Q</t>
  </si>
  <si>
    <t>FDS+CPS QTY/Q</t>
  </si>
  <si>
    <t>SVH QTY/Q</t>
  </si>
  <si>
    <t>XR+PS QTY/Q</t>
  </si>
  <si>
    <t>$F$4&lt;=6</t>
  </si>
  <si>
    <t>$F$5&lt;=2</t>
  </si>
  <si>
    <t>$F$6&lt;=2</t>
  </si>
  <si>
    <t>$F$7&lt;=6</t>
  </si>
  <si>
    <t>$F$3:$F$7</t>
  </si>
  <si>
    <t>$F$3:$F$7 &gt;= 0</t>
  </si>
  <si>
    <t xml:space="preserve">REVENUE </t>
  </si>
  <si>
    <t>GROOS PROFIT</t>
  </si>
  <si>
    <t>$</t>
  </si>
  <si>
    <t>Sale</t>
  </si>
  <si>
    <t>Maximized</t>
  </si>
  <si>
    <t>Not maximized</t>
  </si>
  <si>
    <t>q1, q2 ,q3</t>
  </si>
  <si>
    <t>q1, q2 ,q3, q4, q5</t>
  </si>
  <si>
    <t>q1, q2 ,q3, q4</t>
  </si>
  <si>
    <t xml:space="preserve">q1, q2 </t>
  </si>
  <si>
    <t>Max</t>
  </si>
  <si>
    <t>DEFINITION</t>
  </si>
  <si>
    <t>TOTAL</t>
  </si>
  <si>
    <t xml:space="preserve">NAME </t>
  </si>
  <si>
    <t xml:space="preserve"> $1,113,884.13 </t>
  </si>
  <si>
    <t xml:space="preserve"> </t>
  </si>
  <si>
    <t xml:space="preserve">  </t>
  </si>
  <si>
    <t xml:space="preserve">INCREASE </t>
  </si>
  <si>
    <t>Gross profit</t>
  </si>
  <si>
    <t>GROSS PROFIT</t>
  </si>
  <si>
    <t>GROSS NET</t>
  </si>
  <si>
    <t>Gross Net</t>
  </si>
  <si>
    <t>BEFORE MAXIMIZING</t>
  </si>
  <si>
    <t>AFTER MAXIMIZING</t>
  </si>
  <si>
    <t>QUANTITY</t>
  </si>
  <si>
    <t>NOT MAXIMIZED</t>
  </si>
  <si>
    <t>MAXIMIZED</t>
  </si>
  <si>
    <t>AFTER MAXIMING</t>
  </si>
  <si>
    <t>TOTAL SALES</t>
  </si>
  <si>
    <t>TOTAL GROSS NET</t>
  </si>
  <si>
    <t>% INCREASE</t>
  </si>
  <si>
    <t>QUANTITIES</t>
  </si>
  <si>
    <t>SALES PERIOD</t>
  </si>
  <si>
    <t>Focused on best-selling products after analysis and  with higher price to adress new technology</t>
  </si>
  <si>
    <t xml:space="preserve">Focused on best-selling products after  analysis, with a expected trend increase base on forecasted activity increase </t>
  </si>
  <si>
    <t>Set as commodity for the rest of the products</t>
  </si>
  <si>
    <t>Q GOAL (%)</t>
  </si>
  <si>
    <t>DRIVER</t>
  </si>
  <si>
    <t>BM</t>
  </si>
  <si>
    <t>AM</t>
  </si>
  <si>
    <t>A-RT</t>
  </si>
  <si>
    <t>B-RT</t>
  </si>
  <si>
    <t>C-RT</t>
  </si>
  <si>
    <t>D-RT</t>
  </si>
  <si>
    <t>A-RI</t>
  </si>
  <si>
    <t>A-PDC R</t>
  </si>
  <si>
    <t>B-PDC R</t>
  </si>
  <si>
    <t>C-PDC R</t>
  </si>
  <si>
    <t>D-PDC R</t>
  </si>
  <si>
    <t>F-PDC R</t>
  </si>
  <si>
    <t>G-PDC R</t>
  </si>
  <si>
    <t>A-PDC NT</t>
  </si>
  <si>
    <t>B-PDC NT</t>
  </si>
  <si>
    <t>C-PDC NT</t>
  </si>
  <si>
    <t>D-PDC NT</t>
  </si>
  <si>
    <t>E-PDC NT</t>
  </si>
  <si>
    <t>B-RI</t>
  </si>
  <si>
    <t>H-PDC R</t>
  </si>
  <si>
    <t>I-PDC R</t>
  </si>
  <si>
    <t>J-PDC R</t>
  </si>
  <si>
    <t>TYPE</t>
  </si>
  <si>
    <t>TOTAL SALES ($M)</t>
  </si>
  <si>
    <t>TOTAL GROSS NET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</si>
</sst>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\ * #,##0_-;\-&quot;$&quot;\ * #,##0_-;_-&quot;$&quot;\ * &quot;-&quot;_-;_-@_-"/>
    <numFmt numFmtId="165" formatCode="_(* #,##0_);_(* \(#,##0\);_(* &quot;-&quot;??_);_(@_)"/>
    <numFmt numFmtId="166" formatCode="0.0%"/>
    <numFmt numFmtId="167" formatCode="[$-409]mmmm\-yy;@"/>
    <numFmt numFmtId="168" formatCode="&quot;$&quot;\ #,##0.0;\-&quot;$&quot;\ 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Book Antiqua"/>
      <family val="1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0"/>
      <name val="Calibri"/>
      <family val="2"/>
    </font>
    <font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4"/>
      </patternFill>
    </fill>
    <fill>
      <patternFill patternType="solid">
        <fgColor theme="7" tint="-0.249977111117893"/>
        <bgColor theme="4" tint="-0.249977111117893"/>
      </patternFill>
    </fill>
    <fill>
      <patternFill patternType="solid">
        <fgColor theme="7" tint="-0.249977111117893"/>
        <bgColor theme="4"/>
      </patternFill>
    </fill>
    <fill>
      <patternFill patternType="solid">
        <fgColor rgb="FF305496"/>
        <bgColor rgb="FF305496"/>
      </patternFill>
    </fill>
    <fill>
      <patternFill patternType="solid">
        <fgColor rgb="FF4472C4"/>
        <bgColor rgb="FF4472C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164" fontId="0" fillId="0" borderId="0" xfId="1" applyFont="1"/>
    <xf numFmtId="9" fontId="0" fillId="0" borderId="0" xfId="2" applyFont="1"/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2" applyFont="1" applyFill="1" applyAlignment="1">
      <alignment horizontal="center"/>
    </xf>
    <xf numFmtId="9" fontId="4" fillId="0" borderId="0" xfId="2" applyFont="1"/>
    <xf numFmtId="9" fontId="5" fillId="0" borderId="0" xfId="2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0" fontId="2" fillId="0" borderId="0" xfId="0" applyFont="1" applyFill="1"/>
    <xf numFmtId="44" fontId="0" fillId="0" borderId="0" xfId="0" applyNumberFormat="1"/>
    <xf numFmtId="9" fontId="0" fillId="0" borderId="0" xfId="0" applyNumberFormat="1"/>
    <xf numFmtId="0" fontId="0" fillId="0" borderId="0" xfId="0" applyFill="1"/>
    <xf numFmtId="44" fontId="0" fillId="0" borderId="0" xfId="3" applyFont="1"/>
    <xf numFmtId="0" fontId="11" fillId="0" borderId="0" xfId="0" applyFont="1" applyAlignment="1">
      <alignment horizontal="center"/>
    </xf>
    <xf numFmtId="165" fontId="0" fillId="0" borderId="0" xfId="4" applyNumberFormat="1" applyFont="1"/>
    <xf numFmtId="9" fontId="0" fillId="0" borderId="0" xfId="2" applyFont="1" applyAlignment="1">
      <alignment horizontal="center"/>
    </xf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44" fontId="0" fillId="0" borderId="3" xfId="0" applyNumberFormat="1" applyFill="1" applyBorder="1" applyAlignment="1"/>
    <xf numFmtId="1" fontId="0" fillId="0" borderId="4" xfId="0" applyNumberFormat="1" applyFill="1" applyBorder="1" applyAlignment="1"/>
    <xf numFmtId="1" fontId="0" fillId="0" borderId="3" xfId="0" applyNumberFormat="1" applyFill="1" applyBorder="1" applyAlignment="1"/>
    <xf numFmtId="1" fontId="0" fillId="0" borderId="0" xfId="0" applyNumberFormat="1" applyFill="1" applyBorder="1" applyAlignment="1"/>
    <xf numFmtId="44" fontId="0" fillId="0" borderId="4" xfId="0" applyNumberForma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13" fillId="0" borderId="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44" fontId="0" fillId="0" borderId="5" xfId="3" applyFon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2" fontId="0" fillId="0" borderId="11" xfId="0" applyNumberFormat="1" applyBorder="1" applyAlignment="1">
      <alignment horizontal="center" vertical="center"/>
    </xf>
    <xf numFmtId="44" fontId="0" fillId="0" borderId="11" xfId="3" applyFon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2" fillId="10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12" fontId="15" fillId="9" borderId="5" xfId="0" applyNumberFormat="1" applyFont="1" applyFill="1" applyBorder="1" applyAlignment="1">
      <alignment horizontal="center" vertical="center"/>
    </xf>
    <xf numFmtId="44" fontId="15" fillId="9" borderId="5" xfId="3" applyNumberFormat="1" applyFont="1" applyFill="1" applyBorder="1" applyAlignment="1">
      <alignment horizontal="center" vertical="center"/>
    </xf>
    <xf numFmtId="44" fontId="15" fillId="9" borderId="5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0" fillId="0" borderId="5" xfId="3" applyFont="1" applyBorder="1"/>
    <xf numFmtId="9" fontId="0" fillId="0" borderId="5" xfId="2" applyFont="1" applyBorder="1" applyAlignment="1">
      <alignment horizontal="center"/>
    </xf>
    <xf numFmtId="44" fontId="0" fillId="0" borderId="5" xfId="0" applyNumberFormat="1" applyBorder="1"/>
    <xf numFmtId="44" fontId="3" fillId="0" borderId="7" xfId="0" applyNumberFormat="1" applyFont="1" applyBorder="1"/>
    <xf numFmtId="0" fontId="12" fillId="0" borderId="6" xfId="0" applyFont="1" applyBorder="1"/>
    <xf numFmtId="0" fontId="3" fillId="0" borderId="10" xfId="0" applyFont="1" applyBorder="1" applyAlignment="1">
      <alignment horizontal="center"/>
    </xf>
    <xf numFmtId="44" fontId="0" fillId="0" borderId="11" xfId="0" applyNumberFormat="1" applyBorder="1"/>
    <xf numFmtId="9" fontId="0" fillId="0" borderId="11" xfId="2" applyFont="1" applyBorder="1" applyAlignment="1">
      <alignment horizontal="center"/>
    </xf>
    <xf numFmtId="44" fontId="3" fillId="0" borderId="12" xfId="0" applyNumberFormat="1" applyFont="1" applyBorder="1"/>
    <xf numFmtId="9" fontId="0" fillId="0" borderId="5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44" fontId="0" fillId="0" borderId="5" xfId="3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9" fontId="0" fillId="0" borderId="7" xfId="2" applyFont="1" applyBorder="1"/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44" fontId="0" fillId="0" borderId="5" xfId="3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0" borderId="11" xfId="3" applyFont="1" applyBorder="1" applyAlignment="1">
      <alignment horizontal="center"/>
    </xf>
    <xf numFmtId="44" fontId="17" fillId="0" borderId="11" xfId="3" applyFont="1" applyFill="1" applyBorder="1" applyAlignment="1">
      <alignment horizontal="center"/>
    </xf>
    <xf numFmtId="44" fontId="18" fillId="0" borderId="11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44" fontId="18" fillId="0" borderId="11" xfId="2" applyNumberFormat="1" applyFont="1" applyFill="1" applyBorder="1" applyAlignment="1">
      <alignment horizontal="center"/>
    </xf>
    <xf numFmtId="9" fontId="18" fillId="0" borderId="12" xfId="2" applyFont="1" applyBorder="1"/>
    <xf numFmtId="0" fontId="2" fillId="6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12" fontId="15" fillId="9" borderId="5" xfId="0" applyNumberFormat="1" applyFont="1" applyFill="1" applyBorder="1" applyAlignment="1">
      <alignment horizontal="center"/>
    </xf>
    <xf numFmtId="1" fontId="15" fillId="9" borderId="5" xfId="0" applyNumberFormat="1" applyFont="1" applyFill="1" applyBorder="1" applyAlignment="1">
      <alignment horizontal="center"/>
    </xf>
    <xf numFmtId="44" fontId="15" fillId="9" borderId="5" xfId="3" applyNumberFormat="1" applyFont="1" applyFill="1" applyBorder="1" applyAlignment="1">
      <alignment horizontal="center"/>
    </xf>
    <xf numFmtId="44" fontId="15" fillId="9" borderId="5" xfId="0" applyNumberFormat="1" applyFont="1" applyFill="1" applyBorder="1" applyAlignment="1">
      <alignment horizontal="center"/>
    </xf>
    <xf numFmtId="9" fontId="15" fillId="9" borderId="5" xfId="2" applyNumberFormat="1" applyFont="1" applyFill="1" applyBorder="1"/>
    <xf numFmtId="44" fontId="15" fillId="9" borderId="5" xfId="3" quotePrefix="1" applyNumberFormat="1" applyFont="1" applyFill="1" applyBorder="1" applyAlignment="1">
      <alignment horizontal="center"/>
    </xf>
    <xf numFmtId="1" fontId="18" fillId="9" borderId="5" xfId="0" applyNumberFormat="1" applyFont="1" applyFill="1" applyBorder="1" applyAlignment="1">
      <alignment horizontal="center"/>
    </xf>
    <xf numFmtId="44" fontId="18" fillId="9" borderId="5" xfId="0" applyNumberFormat="1" applyFont="1" applyFill="1" applyBorder="1" applyAlignment="1">
      <alignment horizontal="center"/>
    </xf>
    <xf numFmtId="44" fontId="18" fillId="9" borderId="5" xfId="2" applyNumberFormat="1" applyFont="1" applyFill="1" applyBorder="1" applyAlignment="1">
      <alignment horizontal="center"/>
    </xf>
    <xf numFmtId="9" fontId="18" fillId="9" borderId="5" xfId="2" applyNumberFormat="1" applyFont="1" applyFill="1" applyBorder="1"/>
    <xf numFmtId="0" fontId="0" fillId="0" borderId="1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18" fillId="0" borderId="11" xfId="0" applyNumberFormat="1" applyFont="1" applyBorder="1" applyAlignment="1">
      <alignment horizontal="center" vertical="center"/>
    </xf>
    <xf numFmtId="44" fontId="17" fillId="0" borderId="11" xfId="0" applyNumberFormat="1" applyFont="1" applyFill="1" applyBorder="1" applyAlignment="1">
      <alignment horizontal="center" vertical="center"/>
    </xf>
    <xf numFmtId="44" fontId="18" fillId="0" borderId="11" xfId="2" applyNumberFormat="1" applyFont="1" applyBorder="1" applyAlignment="1">
      <alignment horizontal="center" vertical="center"/>
    </xf>
    <xf numFmtId="9" fontId="18" fillId="0" borderId="12" xfId="2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9" fontId="15" fillId="9" borderId="5" xfId="2" applyNumberFormat="1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44" fontId="18" fillId="9" borderId="5" xfId="0" applyNumberFormat="1" applyFont="1" applyFill="1" applyBorder="1" applyAlignment="1">
      <alignment horizontal="center" vertical="center"/>
    </xf>
    <xf numFmtId="44" fontId="17" fillId="9" borderId="5" xfId="0" applyNumberFormat="1" applyFont="1" applyFill="1" applyBorder="1" applyAlignment="1">
      <alignment horizontal="center" vertical="center"/>
    </xf>
    <xf numFmtId="44" fontId="18" fillId="9" borderId="5" xfId="2" applyNumberFormat="1" applyFont="1" applyFill="1" applyBorder="1" applyAlignment="1">
      <alignment horizontal="center" vertical="center"/>
    </xf>
    <xf numFmtId="9" fontId="18" fillId="9" borderId="5" xfId="2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166" fontId="0" fillId="0" borderId="5" xfId="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11" xfId="2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/>
    </xf>
    <xf numFmtId="12" fontId="0" fillId="0" borderId="8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44" fontId="2" fillId="10" borderId="5" xfId="3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166" fontId="15" fillId="15" borderId="5" xfId="2" applyNumberFormat="1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44" fontId="2" fillId="7" borderId="17" xfId="3" applyNumberFormat="1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4" fontId="2" fillId="7" borderId="18" xfId="3" applyNumberFormat="1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/>
    </xf>
    <xf numFmtId="0" fontId="0" fillId="13" borderId="20" xfId="0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0" fillId="13" borderId="21" xfId="0" applyFont="1" applyFill="1" applyBorder="1" applyAlignment="1">
      <alignment horizontal="center"/>
    </xf>
    <xf numFmtId="0" fontId="0" fillId="13" borderId="19" xfId="0" applyFont="1" applyFill="1" applyBorder="1" applyAlignment="1">
      <alignment horizontal="center"/>
    </xf>
    <xf numFmtId="12" fontId="0" fillId="13" borderId="20" xfId="0" applyNumberFormat="1" applyFont="1" applyFill="1" applyBorder="1" applyAlignment="1">
      <alignment horizontal="center"/>
    </xf>
    <xf numFmtId="44" fontId="0" fillId="13" borderId="19" xfId="3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166" fontId="15" fillId="11" borderId="5" xfId="2" applyNumberFormat="1" applyFont="1" applyFill="1" applyBorder="1" applyAlignment="1">
      <alignment horizontal="center" vertical="center"/>
    </xf>
    <xf numFmtId="44" fontId="15" fillId="11" borderId="5" xfId="0" applyNumberFormat="1" applyFont="1" applyFill="1" applyBorder="1" applyAlignment="1">
      <alignment horizontal="center" vertical="center"/>
    </xf>
    <xf numFmtId="1" fontId="15" fillId="11" borderId="5" xfId="0" applyNumberFormat="1" applyFont="1" applyFill="1" applyBorder="1" applyAlignment="1">
      <alignment horizontal="center" vertical="center"/>
    </xf>
    <xf numFmtId="12" fontId="2" fillId="6" borderId="5" xfId="0" applyNumberFormat="1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44" fontId="15" fillId="11" borderId="5" xfId="0" applyNumberFormat="1" applyFont="1" applyFill="1" applyBorder="1" applyAlignment="1">
      <alignment horizontal="center"/>
    </xf>
    <xf numFmtId="166" fontId="15" fillId="11" borderId="5" xfId="0" applyNumberFormat="1" applyFont="1" applyFill="1" applyBorder="1" applyAlignment="1">
      <alignment horizontal="center"/>
    </xf>
    <xf numFmtId="1" fontId="0" fillId="13" borderId="19" xfId="4" applyNumberFormat="1" applyFont="1" applyFill="1" applyBorder="1" applyAlignment="1">
      <alignment horizontal="center"/>
    </xf>
    <xf numFmtId="44" fontId="2" fillId="10" borderId="5" xfId="3" applyNumberFormat="1" applyFont="1" applyFill="1" applyBorder="1" applyAlignment="1">
      <alignment horizontal="center"/>
    </xf>
    <xf numFmtId="43" fontId="0" fillId="0" borderId="0" xfId="4" applyFont="1"/>
    <xf numFmtId="1" fontId="15" fillId="9" borderId="5" xfId="4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1" fontId="0" fillId="0" borderId="0" xfId="0" applyNumberFormat="1"/>
    <xf numFmtId="166" fontId="0" fillId="0" borderId="7" xfId="2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9" xfId="2" applyFont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6" fontId="0" fillId="0" borderId="0" xfId="0" applyNumberFormat="1"/>
    <xf numFmtId="167" fontId="10" fillId="5" borderId="5" xfId="0" applyNumberFormat="1" applyFont="1" applyFill="1" applyBorder="1" applyAlignment="1">
      <alignment horizontal="center"/>
    </xf>
    <xf numFmtId="0" fontId="20" fillId="16" borderId="5" xfId="0" applyFont="1" applyFill="1" applyBorder="1" applyAlignment="1">
      <alignment horizontal="center" vertical="center" wrapText="1"/>
    </xf>
    <xf numFmtId="0" fontId="21" fillId="17" borderId="5" xfId="0" applyFont="1" applyFill="1" applyBorder="1" applyAlignment="1">
      <alignment horizontal="center" vertical="center"/>
    </xf>
    <xf numFmtId="44" fontId="15" fillId="9" borderId="7" xfId="3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44" fontId="15" fillId="9" borderId="9" xfId="3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44" fontId="15" fillId="9" borderId="15" xfId="3" applyFont="1" applyFill="1" applyBorder="1" applyAlignment="1">
      <alignment horizontal="center" vertical="center"/>
    </xf>
    <xf numFmtId="44" fontId="15" fillId="9" borderId="25" xfId="3" applyFont="1" applyFill="1" applyBorder="1" applyAlignment="1">
      <alignment horizontal="center" vertical="center"/>
    </xf>
    <xf numFmtId="166" fontId="15" fillId="9" borderId="8" xfId="2" applyNumberFormat="1" applyFont="1" applyFill="1" applyBorder="1" applyAlignment="1">
      <alignment horizontal="center" vertical="center"/>
    </xf>
    <xf numFmtId="166" fontId="15" fillId="9" borderId="6" xfId="2" applyNumberFormat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44" fontId="15" fillId="20" borderId="7" xfId="3" applyFont="1" applyFill="1" applyBorder="1" applyAlignment="1">
      <alignment horizontal="center" vertical="center"/>
    </xf>
    <xf numFmtId="44" fontId="15" fillId="20" borderId="25" xfId="3" applyFont="1" applyFill="1" applyBorder="1" applyAlignment="1">
      <alignment horizontal="center" vertical="center"/>
    </xf>
    <xf numFmtId="166" fontId="15" fillId="20" borderId="6" xfId="2" applyNumberFormat="1" applyFont="1" applyFill="1" applyBorder="1" applyAlignment="1">
      <alignment horizontal="center" vertical="center"/>
    </xf>
    <xf numFmtId="0" fontId="21" fillId="21" borderId="5" xfId="0" applyFont="1" applyFill="1" applyBorder="1" applyAlignment="1">
      <alignment horizontal="center" vertical="center"/>
    </xf>
    <xf numFmtId="168" fontId="22" fillId="22" borderId="6" xfId="0" applyNumberFormat="1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168" fontId="22" fillId="2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44" fontId="15" fillId="15" borderId="1" xfId="0" applyNumberFormat="1" applyFont="1" applyFill="1" applyBorder="1" applyAlignment="1">
      <alignment horizontal="center"/>
    </xf>
    <xf numFmtId="44" fontId="2" fillId="10" borderId="27" xfId="3" applyFont="1" applyFill="1" applyBorder="1" applyAlignment="1">
      <alignment horizontal="center"/>
    </xf>
    <xf numFmtId="166" fontId="15" fillId="15" borderId="28" xfId="2" applyNumberFormat="1" applyFont="1" applyFill="1" applyBorder="1" applyAlignment="1">
      <alignment horizontal="center"/>
    </xf>
    <xf numFmtId="44" fontId="17" fillId="9" borderId="11" xfId="3" applyNumberFormat="1" applyFont="1" applyFill="1" applyBorder="1" applyAlignment="1">
      <alignment horizontal="center"/>
    </xf>
    <xf numFmtId="0" fontId="0" fillId="0" borderId="20" xfId="0" applyBorder="1"/>
    <xf numFmtId="0" fontId="2" fillId="10" borderId="26" xfId="0" applyFont="1" applyFill="1" applyBorder="1" applyAlignment="1">
      <alignment horizontal="center"/>
    </xf>
    <xf numFmtId="44" fontId="15" fillId="15" borderId="8" xfId="0" applyNumberFormat="1" applyFont="1" applyFill="1" applyBorder="1" applyAlignment="1">
      <alignment horizontal="center"/>
    </xf>
    <xf numFmtId="44" fontId="2" fillId="10" borderId="20" xfId="3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18" fillId="0" borderId="0" xfId="0" applyNumberFormat="1" applyFont="1" applyBorder="1" applyAlignment="1">
      <alignment horizontal="center"/>
    </xf>
    <xf numFmtId="44" fontId="0" fillId="0" borderId="0" xfId="3" applyFont="1" applyBorder="1" applyAlignment="1">
      <alignment horizontal="center"/>
    </xf>
    <xf numFmtId="44" fontId="17" fillId="0" borderId="0" xfId="3" applyFont="1" applyFill="1" applyBorder="1" applyAlignment="1">
      <alignment horizontal="center"/>
    </xf>
    <xf numFmtId="44" fontId="18" fillId="0" borderId="0" xfId="2" applyNumberFormat="1" applyFont="1" applyFill="1" applyBorder="1" applyAlignment="1">
      <alignment horizontal="center"/>
    </xf>
    <xf numFmtId="9" fontId="18" fillId="0" borderId="0" xfId="2" applyFont="1" applyBorder="1"/>
    <xf numFmtId="166" fontId="15" fillId="15" borderId="20" xfId="2" applyNumberFormat="1" applyFont="1" applyFill="1" applyBorder="1" applyAlignment="1">
      <alignment horizontal="center"/>
    </xf>
    <xf numFmtId="1" fontId="15" fillId="20" borderId="5" xfId="4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44" fontId="2" fillId="10" borderId="0" xfId="3" applyFont="1" applyFill="1" applyAlignment="1">
      <alignment horizontal="center"/>
    </xf>
    <xf numFmtId="166" fontId="16" fillId="15" borderId="13" xfId="2" applyNumberFormat="1" applyFont="1" applyFill="1" applyBorder="1" applyAlignment="1">
      <alignment horizontal="center" vertical="center"/>
    </xf>
    <xf numFmtId="166" fontId="16" fillId="23" borderId="11" xfId="2" applyNumberFormat="1" applyFont="1" applyFill="1" applyBorder="1" applyAlignment="1">
      <alignment horizontal="center" vertical="center"/>
    </xf>
    <xf numFmtId="166" fontId="16" fillId="23" borderId="1" xfId="2" applyNumberFormat="1" applyFont="1" applyFill="1" applyBorder="1" applyAlignment="1">
      <alignment horizontal="center" vertical="center"/>
    </xf>
    <xf numFmtId="166" fontId="16" fillId="15" borderId="11" xfId="2" applyNumberFormat="1" applyFont="1" applyFill="1" applyBorder="1" applyAlignment="1">
      <alignment horizontal="center" vertical="center"/>
    </xf>
    <xf numFmtId="166" fontId="16" fillId="15" borderId="1" xfId="2" applyNumberFormat="1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166" fontId="2" fillId="18" borderId="20" xfId="2" applyNumberFormat="1" applyFont="1" applyFill="1" applyBorder="1" applyAlignment="1">
      <alignment horizontal="center" vertical="center" wrapText="1"/>
    </xf>
    <xf numFmtId="166" fontId="2" fillId="18" borderId="23" xfId="2" applyNumberFormat="1" applyFont="1" applyFill="1" applyBorder="1" applyAlignment="1">
      <alignment horizontal="center" vertical="center" wrapText="1"/>
    </xf>
    <xf numFmtId="166" fontId="2" fillId="18" borderId="26" xfId="2" applyNumberFormat="1" applyFont="1" applyFill="1" applyBorder="1" applyAlignment="1">
      <alignment horizontal="center" vertical="center" wrapText="1"/>
    </xf>
  </cellXfs>
  <cellStyles count="5">
    <cellStyle name="Comma" xfId="4" builtinId="3"/>
    <cellStyle name="Currency" xfId="3" builtinId="4"/>
    <cellStyle name="Currency [0]" xfId="1" builtinId="7"/>
    <cellStyle name="Normal" xfId="0" builtinId="0"/>
    <cellStyle name="Percent" xfId="2" builtinId="5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" formatCode="#\ ?/?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82D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Drilling Bits Market Distribution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EXPECTATIONS!$F$13</c:f>
              <c:strCache>
                <c:ptCount val="1"/>
                <c:pt idx="0">
                  <c:v>EXPECTED SALE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72F-4BD6-8D2B-7D655F8F7A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72F-4BD6-8D2B-7D655F8F7A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72F-4BD6-8D2B-7D655F8F7A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72F-4BD6-8D2B-7D655F8F7AAC}"/>
              </c:ext>
            </c:extLst>
          </c:dPt>
          <c:dLbls>
            <c:numFmt formatCode="General" sourceLinked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EXPECTATIONS!$B$14:$B$17</c:f>
              <c:strCache>
                <c:ptCount val="4"/>
                <c:pt idx="0">
                  <c:v>PDC NT</c:v>
                </c:pt>
                <c:pt idx="1">
                  <c:v>PDC R</c:v>
                </c:pt>
                <c:pt idx="2">
                  <c:v>RT</c:v>
                </c:pt>
                <c:pt idx="3">
                  <c:v>RI</c:v>
                </c:pt>
              </c:strCache>
            </c:strRef>
          </c:cat>
          <c:val>
            <c:numRef>
              <c:f>EXPECTATIONS!$F$14:$F$17</c:f>
              <c:numCache>
                <c:formatCode>_("$"* #,##0.00_);_("$"* \(#,##0.00\);_("$"* "-"??_);_(@_)</c:formatCode>
                <c:ptCount val="4"/>
                <c:pt idx="0">
                  <c:v>1247550.2255999998</c:v>
                </c:pt>
                <c:pt idx="1">
                  <c:v>2157951.6720000003</c:v>
                </c:pt>
                <c:pt idx="2">
                  <c:v>600147.01</c:v>
                </c:pt>
                <c:pt idx="3">
                  <c:v>444697.54599999997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7EB-8DB7-8A315B898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FINAL</a:t>
            </a:r>
            <a:r>
              <a:rPr lang="en-US" baseline="0">
                <a:solidFill>
                  <a:sysClr val="windowText" lastClr="000000"/>
                </a:solidFill>
              </a:rPr>
              <a:t> RESULTS SALES AND GROSS NET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RESULTS'!$W$19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" sourceLinked="0"/>
            <c:spPr>
              <a:solidFill>
                <a:srgbClr val="A82D1C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'FINAL RESULTS'!$X$18:$Z$18</c15:sqref>
                  </c15:fullRef>
                </c:ext>
              </c:extLst>
              <c:f>'FINAL RESULTS'!$X$18:$Y$18</c:f>
              <c:strCache>
                <c:ptCount val="2"/>
                <c:pt idx="0">
                  <c:v>TOTAL SALES ($M)</c:v>
                </c:pt>
                <c:pt idx="1">
                  <c:v>TOTAL GROSS NET ($M)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RESULTS'!$X$19:$Z$19</c15:sqref>
                  </c15:fullRef>
                </c:ext>
              </c:extLst>
              <c:f>'FINAL RESULTS'!$X$19:$Y$19</c:f>
              <c:numCache>
                <c:formatCode>"$"\ #,##0.0;\-"$"\ #,##0.0</c:formatCode>
                <c:ptCount val="2"/>
                <c:pt idx="0">
                  <c:v>4.0999999999999996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B-4141-B9CD-D685092458AB}"/>
            </c:ext>
          </c:extLst>
        </c:ser>
        <c:ser>
          <c:idx val="1"/>
          <c:order val="1"/>
          <c:tx>
            <c:strRef>
              <c:f>'FINAL RESULTS'!$W$20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" sourceLinked="0"/>
            <c:spPr>
              <a:solidFill>
                <a:srgbClr val="A82D1C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'FINAL RESULTS'!$X$18:$Z$18</c15:sqref>
                  </c15:fullRef>
                </c:ext>
              </c:extLst>
              <c:f>'FINAL RESULTS'!$X$18:$Y$18</c:f>
              <c:strCache>
                <c:ptCount val="2"/>
                <c:pt idx="0">
                  <c:v>TOTAL SALES ($M)</c:v>
                </c:pt>
                <c:pt idx="1">
                  <c:v>TOTAL GROSS NET ($M)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RESULTS'!$X$20:$Z$20</c15:sqref>
                  </c15:fullRef>
                </c:ext>
              </c:extLst>
              <c:f>'FINAL RESULTS'!$X$20:$Y$20</c:f>
              <c:numCache>
                <c:formatCode>"$"\ #,##0.0;\-"$"\ #,##0.0</c:formatCode>
                <c:ptCount val="2"/>
                <c:pt idx="0">
                  <c:v>4.7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B-4141-B9CD-D68509245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399981192"/>
        <c:axId val="1399981520"/>
      </c:barChart>
      <c:catAx>
        <c:axId val="139998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1520"/>
        <c:crosses val="autoZero"/>
        <c:auto val="1"/>
        <c:lblAlgn val="ctr"/>
        <c:lblOffset val="100"/>
        <c:noMultiLvlLbl val="0"/>
      </c:catAx>
      <c:valAx>
        <c:axId val="13999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VALUES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Maximized</a:t>
            </a:r>
            <a:r>
              <a:rPr lang="en-US" baseline="0">
                <a:solidFill>
                  <a:sysClr val="windowText" lastClr="000000"/>
                </a:solidFill>
              </a:rPr>
              <a:t> Sales PDC NT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9811896226242"/>
          <c:y val="0.18300925925925926"/>
          <c:w val="0.74717229420192721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'PDC NT'!$G$26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'PDC NT'!$F$27:$F$28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NT'!$G$27:$G$28</c:f>
              <c:numCache>
                <c:formatCode>_("$"* #,##0.00_);_("$"* \(#,##0.00\);_("$"* "-"??_);_(@_)</c:formatCode>
                <c:ptCount val="2"/>
                <c:pt idx="0">
                  <c:v>1113884.1299999999</c:v>
                </c:pt>
                <c:pt idx="1">
                  <c:v>1401823.375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C-4163-9713-C6600214810F}"/>
            </c:ext>
          </c:extLst>
        </c:ser>
        <c:ser>
          <c:idx val="1"/>
          <c:order val="1"/>
          <c:tx>
            <c:strRef>
              <c:f>'PDC NT'!$H$26</c:f>
              <c:strCache>
                <c:ptCount val="1"/>
                <c:pt idx="0">
                  <c:v>Gross Net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'PDC NT'!$F$27:$F$28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NT'!$H$27:$H$28</c:f>
              <c:numCache>
                <c:formatCode>_("$"* #,##0.00_);_("$"* \(#,##0.00\);_("$"* "-"??_);_(@_)</c:formatCode>
                <c:ptCount val="2"/>
                <c:pt idx="0">
                  <c:v>775660.63499999989</c:v>
                </c:pt>
                <c:pt idx="1">
                  <c:v>977122.11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C-4163-9713-C6600214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81088"/>
        <c:axId val="504481744"/>
      </c:barChart>
      <c:lineChart>
        <c:grouping val="standard"/>
        <c:varyColors val="0"/>
        <c:ser>
          <c:idx val="2"/>
          <c:order val="2"/>
          <c:tx>
            <c:strRef>
              <c:f>'PDC NT'!$I$26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rgbClr val="A82D1C"/>
              </a:solidFill>
              <a:prstDash val="solid"/>
              <a:round/>
              <a:tailEnd type="triangle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0825262519241845E-2"/>
                  <c:y val="4.6296296296296294E-2"/>
                </c:manualLayout>
              </c:layout>
              <c:tx>
                <c:rich>
                  <a:bodyPr/>
                  <a:lstStyle/>
                  <a:p>
                    <a:fld id="{25077805-4F99-4552-B2BE-31D1EBD9925C}" type="SERIESNAME">
                      <a:rPr lang="en-US">
                        <a:solidFill>
                          <a:schemeClr val="bg1"/>
                        </a:solidFill>
                      </a:rPr>
                      <a:pPr/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8155D47C-A21C-478A-9023-290668381A6C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r"/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BDC-4163-9713-C6600214810F}"/>
                </c:ext>
              </c:extLst>
            </c:dLbl>
            <c:dLbl>
              <c:idx val="1"/>
              <c:layout>
                <c:manualLayout>
                  <c:x val="-8.4805262457649369E-2"/>
                  <c:y val="3.9156601456161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C78D2A-7D07-4A10-B0A5-6E05E3B082C5}" type="SERIES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[SERIES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FD6C0D87-C248-41D0-B554-0A9A20E2DD97}" type="VALU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chemeClr val="accent2">
                    <a:lumMod val="75000"/>
                    <a:alpha val="95000"/>
                  </a:schemeClr>
                </a:solidFill>
                <a:ln>
                  <a:solidFill>
                    <a:srgbClr val="A82D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8293485762473"/>
                      <c:h val="0.12412014711448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BDC-4163-9713-C6600214810F}"/>
                </c:ext>
              </c:extLst>
            </c:dLbl>
            <c:spPr>
              <a:solidFill>
                <a:schemeClr val="accent2">
                  <a:lumMod val="75000"/>
                  <a:alpha val="95000"/>
                </a:schemeClr>
              </a:solidFill>
              <a:ln>
                <a:solidFill>
                  <a:srgbClr val="A82D1C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1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'PDC NT'!$F$27:$F$28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NT'!$I$27:$I$28</c:f>
              <c:numCache>
                <c:formatCode>0.0%</c:formatCode>
                <c:ptCount val="2"/>
                <c:pt idx="0">
                  <c:v>0.69635666233973548</c:v>
                </c:pt>
                <c:pt idx="1">
                  <c:v>0.69703653643241603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C-4163-9713-C6600214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8904"/>
        <c:axId val="502928576"/>
      </c:lineChart>
      <c:catAx>
        <c:axId val="5044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1744"/>
        <c:crosses val="autoZero"/>
        <c:auto val="1"/>
        <c:lblAlgn val="ctr"/>
        <c:lblOffset val="100"/>
        <c:noMultiLvlLbl val="0"/>
      </c:catAx>
      <c:valAx>
        <c:axId val="5044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1088"/>
        <c:crosses val="autoZero"/>
        <c:crossBetween val="between"/>
      </c:valAx>
      <c:valAx>
        <c:axId val="502928576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28904"/>
        <c:crosses val="max"/>
        <c:crossBetween val="between"/>
      </c:valAx>
      <c:catAx>
        <c:axId val="50292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292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Maximized Sales PDC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'PDC R'!$G$31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'PDC R'!$F$32:$F$33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R'!$G$32:$G$33</c:f>
              <c:numCache>
                <c:formatCode>_("$"* #,##0.00_);_("$"* \(#,##0.00\);_("$"* "-"??_);_(@_)</c:formatCode>
                <c:ptCount val="2"/>
                <c:pt idx="0">
                  <c:v>1998103.4000000001</c:v>
                </c:pt>
                <c:pt idx="1">
                  <c:v>2255797.2228571428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F-4FA4-89F9-C2E4BCDBFA0C}"/>
            </c:ext>
          </c:extLst>
        </c:ser>
        <c:ser>
          <c:idx val="1"/>
          <c:order val="1"/>
          <c:tx>
            <c:strRef>
              <c:f>'PDC R'!$H$31</c:f>
              <c:strCache>
                <c:ptCount val="1"/>
                <c:pt idx="0">
                  <c:v>Gross 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'PDC R'!$F$32:$F$33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R'!$H$32:$H$33</c:f>
              <c:numCache>
                <c:formatCode>_("$"* #,##0.00_);_("$"* \(#,##0.00\);_("$"* "-"??_);_(@_)</c:formatCode>
                <c:ptCount val="2"/>
                <c:pt idx="0">
                  <c:v>1495891.638</c:v>
                </c:pt>
                <c:pt idx="1">
                  <c:v>1688437.5228571428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F-4FA4-89F9-C2E4BCDB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3998552"/>
        <c:axId val="393999864"/>
      </c:barChart>
      <c:lineChart>
        <c:grouping val="standard"/>
        <c:varyColors val="0"/>
        <c:ser>
          <c:idx val="2"/>
          <c:order val="2"/>
          <c:tx>
            <c:strRef>
              <c:f>'PDC R'!$I$31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rgbClr val="A82D1C"/>
              </a:solidFill>
              <a:round/>
              <a:tailEnd type="triangle"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1174518884086183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325E62A6-9CA7-4672-BBAA-E57E748A5B8F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85FD0701-3D73-44CF-8938-920BE38DA030}" type="VALU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0BF-4FA4-89F9-C2E4BCDBFA0C}"/>
                </c:ext>
              </c:extLst>
            </c:dLbl>
            <c:dLbl>
              <c:idx val="1"/>
              <c:layout>
                <c:manualLayout>
                  <c:x val="-4.8966074919449293E-2"/>
                  <c:y val="3.24075896762904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10FE56-FE13-4FC1-B156-9AF762B98F37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DC0E6376-BA33-48C3-BF09-69A48381E6EA}" type="VALU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rgbClr val="A82D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1338579723314"/>
                      <c:h val="0.152708515602216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0BF-4FA4-89F9-C2E4BCDBFA0C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A82D1C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'PDC R'!$F$32:$F$33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'PDC R'!$I$32:$I$33</c:f>
              <c:numCache>
                <c:formatCode>0.0%</c:formatCode>
                <c:ptCount val="2"/>
                <c:pt idx="0">
                  <c:v>0.25134423073400508</c:v>
                </c:pt>
                <c:pt idx="1">
                  <c:v>0.25151183548377398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F-4FA4-89F9-C2E4BCDB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13912"/>
        <c:axId val="1029021784"/>
      </c:lineChart>
      <c:catAx>
        <c:axId val="39399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9864"/>
        <c:crosses val="autoZero"/>
        <c:auto val="1"/>
        <c:lblAlgn val="ctr"/>
        <c:lblOffset val="100"/>
        <c:noMultiLvlLbl val="0"/>
      </c:catAx>
      <c:valAx>
        <c:axId val="3939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8552"/>
        <c:crosses val="autoZero"/>
        <c:crossBetween val="between"/>
      </c:valAx>
      <c:valAx>
        <c:axId val="10290217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13912"/>
        <c:crosses val="max"/>
        <c:crossBetween val="between"/>
      </c:valAx>
      <c:catAx>
        <c:axId val="1029013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9021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Maximized Sales 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RI!$G$28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RI!$F$29:$F$30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RI!$G$29:$G$30</c:f>
              <c:numCache>
                <c:formatCode>_("$"* #,##0.00_);_("$"* \(#,##0.00\);_("$"* "-"??_);_(@_)</c:formatCode>
                <c:ptCount val="2"/>
                <c:pt idx="0">
                  <c:v>440294.6</c:v>
                </c:pt>
                <c:pt idx="1">
                  <c:v>440294.6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47C6-98F4-3A45914008FC}"/>
            </c:ext>
          </c:extLst>
        </c:ser>
        <c:ser>
          <c:idx val="1"/>
          <c:order val="1"/>
          <c:tx>
            <c:strRef>
              <c:f>RI!$H$28</c:f>
              <c:strCache>
                <c:ptCount val="1"/>
                <c:pt idx="0">
                  <c:v>Gross 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RI!$F$29:$F$30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RI!$H$29:$H$30</c:f>
              <c:numCache>
                <c:formatCode>_("$"* #,##0.00_);_("$"* \(#,##0.00\);_("$"* "-"??_);_(@_)</c:formatCode>
                <c:ptCount val="2"/>
                <c:pt idx="0">
                  <c:v>290816.39999999997</c:v>
                </c:pt>
                <c:pt idx="1">
                  <c:v>290816.39999999997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B-47C6-98F4-3A459140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1637568"/>
        <c:axId val="801638224"/>
      </c:barChart>
      <c:lineChart>
        <c:grouping val="standard"/>
        <c:varyColors val="0"/>
        <c:ser>
          <c:idx val="2"/>
          <c:order val="2"/>
          <c:tx>
            <c:strRef>
              <c:f>RI!$I$28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rgbClr val="A82D1C"/>
              </a:solidFill>
              <a:round/>
              <a:tailEnd type="triangle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2.5000000000000001E-2"/>
                  <c:y val="9.72222222222221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A1DFDC-759D-4018-A6A9-A48F96E940D0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E121A61D-72E6-47F0-A766-82CAD5F892BF}" type="VALU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rgbClr val="A82D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ECB-47C6-98F4-3A45914008FC}"/>
                </c:ext>
              </c:extLst>
            </c:dLbl>
            <c:dLbl>
              <c:idx val="1"/>
              <c:layout>
                <c:manualLayout>
                  <c:x val="1.6666666666666666E-2"/>
                  <c:y val="3.2407407407407406E-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rgbClr val="A82D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CB-47C6-98F4-3A4591400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RI!$F$29:$F$30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RI!$I$29:$I$30</c:f>
              <c:numCache>
                <c:formatCode>0.0%</c:formatCode>
                <c:ptCount val="2"/>
                <c:pt idx="0">
                  <c:v>0.33949587389897584</c:v>
                </c:pt>
                <c:pt idx="1">
                  <c:v>0.33949587389897584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B-47C6-98F4-3A459140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919536"/>
        <c:axId val="1028924456"/>
      </c:lineChart>
      <c:catAx>
        <c:axId val="8016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8224"/>
        <c:crosses val="autoZero"/>
        <c:auto val="1"/>
        <c:lblAlgn val="ctr"/>
        <c:lblOffset val="100"/>
        <c:noMultiLvlLbl val="0"/>
      </c:catAx>
      <c:valAx>
        <c:axId val="8016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7568"/>
        <c:crosses val="autoZero"/>
        <c:crossBetween val="between"/>
      </c:valAx>
      <c:valAx>
        <c:axId val="10289244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19536"/>
        <c:crosses val="max"/>
        <c:crossBetween val="between"/>
      </c:valAx>
      <c:catAx>
        <c:axId val="102891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92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Maximized Sales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RT!$H$33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RT!$G$34:$G$35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RT!$H$34:$H$35</c:f>
              <c:numCache>
                <c:formatCode>_("$"* #,##0.00_);_("$"* \(#,##0.00\);_("$"* "-"??_);_(@_)</c:formatCode>
                <c:ptCount val="2"/>
                <c:pt idx="0">
                  <c:v>582667</c:v>
                </c:pt>
                <c:pt idx="1">
                  <c:v>582667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8-4F9B-8F90-4B40399F9C13}"/>
            </c:ext>
          </c:extLst>
        </c:ser>
        <c:ser>
          <c:idx val="1"/>
          <c:order val="1"/>
          <c:tx>
            <c:strRef>
              <c:f>RT!$I$33</c:f>
              <c:strCache>
                <c:ptCount val="1"/>
                <c:pt idx="0">
                  <c:v>Gross 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RT!$G$34:$G$35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RT!$I$34:$I$35</c:f>
              <c:numCache>
                <c:formatCode>_("$"* #,##0.00_);_("$"* \(#,##0.00\);_("$"* "-"??_);_(@_)</c:formatCode>
                <c:ptCount val="2"/>
                <c:pt idx="0">
                  <c:v>393006</c:v>
                </c:pt>
                <c:pt idx="1">
                  <c:v>393006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8-4F9B-8F90-4B40399F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0149576"/>
        <c:axId val="1030149904"/>
      </c:barChart>
      <c:lineChart>
        <c:grouping val="standard"/>
        <c:varyColors val="0"/>
        <c:ser>
          <c:idx val="2"/>
          <c:order val="2"/>
          <c:tx>
            <c:strRef>
              <c:f>RT!$J$33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rgbClr val="A82D1C"/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0277777777777778"/>
                  <c:y val="-0.11111111111111113"/>
                </c:manualLayout>
              </c:layout>
              <c:tx>
                <c:rich>
                  <a:bodyPr/>
                  <a:lstStyle/>
                  <a:p>
                    <a:fld id="{35AE5189-13F4-425A-8A7C-18F6E159BFB8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0A6B9A44-BB82-4FB6-A722-9C49A7470854}" type="VALU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08-4F9B-8F90-4B40399F9C13}"/>
                </c:ext>
              </c:extLst>
            </c:dLbl>
            <c:dLbl>
              <c:idx val="1"/>
              <c:layout>
                <c:manualLayout>
                  <c:x val="8.3333333333333332E-3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D280B80E-C9F9-487A-B2C4-F4515AA04D4A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16E3A17B-F19D-4024-95F4-F1BED3B2990D}" type="VALU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008-4F9B-8F90-4B40399F9C13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RT!$G$34:$G$35</c:f>
              <c:strCache>
                <c:ptCount val="2"/>
                <c:pt idx="0">
                  <c:v>Not maximized</c:v>
                </c:pt>
                <c:pt idx="1">
                  <c:v>Maximized</c:v>
                </c:pt>
              </c:strCache>
            </c:strRef>
          </c:cat>
          <c:val>
            <c:numRef>
              <c:f>RT!$J$34:$J$35</c:f>
              <c:numCache>
                <c:formatCode>0.0%</c:formatCode>
                <c:ptCount val="2"/>
                <c:pt idx="0">
                  <c:v>0.32550496252576516</c:v>
                </c:pt>
                <c:pt idx="1">
                  <c:v>0.32550496252576516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8-4F9B-8F90-4B40399F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93328"/>
        <c:axId val="1399986440"/>
      </c:lineChart>
      <c:catAx>
        <c:axId val="10301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9904"/>
        <c:crosses val="autoZero"/>
        <c:auto val="1"/>
        <c:lblAlgn val="ctr"/>
        <c:lblOffset val="100"/>
        <c:noMultiLvlLbl val="0"/>
      </c:catAx>
      <c:valAx>
        <c:axId val="1030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9576"/>
        <c:crosses val="autoZero"/>
        <c:crossBetween val="between"/>
      </c:valAx>
      <c:valAx>
        <c:axId val="139998644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93328"/>
        <c:crosses val="max"/>
        <c:crossBetween val="between"/>
      </c:valAx>
      <c:catAx>
        <c:axId val="139999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998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FINAL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</c:v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'FINAL RESULTS'!$B$3:$C$11</c15:sqref>
                  </c15:fullRef>
                </c:ext>
              </c:extLst>
              <c:f>'FINAL RESULTS'!$B$4:$C$11</c:f>
              <c:multiLvlStrCache>
                <c:ptCount val="8"/>
                <c:lvl>
                  <c:pt idx="0">
                    <c:v>BEFORE MAXIMIZING</c:v>
                  </c:pt>
                  <c:pt idx="1">
                    <c:v>AFTER MAXIMIZING</c:v>
                  </c:pt>
                  <c:pt idx="2">
                    <c:v>BEFORE MAXIMIZING</c:v>
                  </c:pt>
                  <c:pt idx="3">
                    <c:v>AFTER MAXIMIZING</c:v>
                  </c:pt>
                  <c:pt idx="4">
                    <c:v>BEFORE MAXIMIZING</c:v>
                  </c:pt>
                  <c:pt idx="5">
                    <c:v>AFTER MAXIMIZING</c:v>
                  </c:pt>
                  <c:pt idx="6">
                    <c:v>BEFORE MAXIMIZING</c:v>
                  </c:pt>
                  <c:pt idx="7">
                    <c:v>AFTER MAXIMIZING</c:v>
                  </c:pt>
                </c:lvl>
                <c:lvl>
                  <c:pt idx="0">
                    <c:v>PDC NT</c:v>
                  </c:pt>
                  <c:pt idx="2">
                    <c:v>PDC R</c:v>
                  </c:pt>
                  <c:pt idx="4">
                    <c:v>RI</c:v>
                  </c:pt>
                  <c:pt idx="6">
                    <c:v>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RESULTS'!$D$3:$D$11</c15:sqref>
                  </c15:fullRef>
                </c:ext>
              </c:extLst>
              <c:f>'FINAL RESULTS'!$D$4:$D$11</c:f>
              <c:numCache>
                <c:formatCode>_("$"* #,##0.00_);_("$"* \(#,##0.00\);_("$"* "-"??_);_(@_)</c:formatCode>
                <c:ptCount val="8"/>
                <c:pt idx="0">
                  <c:v>1113884.1299999999</c:v>
                </c:pt>
                <c:pt idx="1">
                  <c:v>1401823.375</c:v>
                </c:pt>
                <c:pt idx="2">
                  <c:v>1998103.4000000001</c:v>
                </c:pt>
                <c:pt idx="3">
                  <c:v>2255797.2228571428</c:v>
                </c:pt>
                <c:pt idx="4">
                  <c:v>440294.6</c:v>
                </c:pt>
                <c:pt idx="5">
                  <c:v>440294.6</c:v>
                </c:pt>
                <c:pt idx="6">
                  <c:v>582667</c:v>
                </c:pt>
                <c:pt idx="7">
                  <c:v>582667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1-499B-B2EA-416816EB550F}"/>
            </c:ext>
          </c:extLst>
        </c:ser>
        <c:ser>
          <c:idx val="1"/>
          <c:order val="1"/>
          <c:tx>
            <c:v>GROSS NET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'FINAL RESULTS'!$B$3:$C$11</c15:sqref>
                  </c15:fullRef>
                </c:ext>
              </c:extLst>
              <c:f>'FINAL RESULTS'!$B$4:$C$11</c:f>
              <c:multiLvlStrCache>
                <c:ptCount val="8"/>
                <c:lvl>
                  <c:pt idx="0">
                    <c:v>BEFORE MAXIMIZING</c:v>
                  </c:pt>
                  <c:pt idx="1">
                    <c:v>AFTER MAXIMIZING</c:v>
                  </c:pt>
                  <c:pt idx="2">
                    <c:v>BEFORE MAXIMIZING</c:v>
                  </c:pt>
                  <c:pt idx="3">
                    <c:v>AFTER MAXIMIZING</c:v>
                  </c:pt>
                  <c:pt idx="4">
                    <c:v>BEFORE MAXIMIZING</c:v>
                  </c:pt>
                  <c:pt idx="5">
                    <c:v>AFTER MAXIMIZING</c:v>
                  </c:pt>
                  <c:pt idx="6">
                    <c:v>BEFORE MAXIMIZING</c:v>
                  </c:pt>
                  <c:pt idx="7">
                    <c:v>AFTER MAXIMIZING</c:v>
                  </c:pt>
                </c:lvl>
                <c:lvl>
                  <c:pt idx="0">
                    <c:v>PDC NT</c:v>
                  </c:pt>
                  <c:pt idx="2">
                    <c:v>PDC R</c:v>
                  </c:pt>
                  <c:pt idx="4">
                    <c:v>RI</c:v>
                  </c:pt>
                  <c:pt idx="6">
                    <c:v>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RESULTS'!$F$3:$F$11</c15:sqref>
                  </c15:fullRef>
                </c:ext>
              </c:extLst>
              <c:f>'FINAL RESULTS'!$F$4:$F$11</c:f>
              <c:numCache>
                <c:formatCode>_("$"* #,##0.00_);_("$"* \(#,##0.00\);_("$"* "-"??_);_(@_)</c:formatCode>
                <c:ptCount val="8"/>
                <c:pt idx="0">
                  <c:v>775660.63499999989</c:v>
                </c:pt>
                <c:pt idx="1">
                  <c:v>977122.11</c:v>
                </c:pt>
                <c:pt idx="2">
                  <c:v>1495891.638</c:v>
                </c:pt>
                <c:pt idx="3">
                  <c:v>1688437.5228571428</c:v>
                </c:pt>
                <c:pt idx="4">
                  <c:v>290816.39999999997</c:v>
                </c:pt>
                <c:pt idx="5">
                  <c:v>290816.39999999997</c:v>
                </c:pt>
                <c:pt idx="6">
                  <c:v>393006</c:v>
                </c:pt>
                <c:pt idx="7">
                  <c:v>393006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1-499B-B2EA-416816E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003496"/>
        <c:axId val="1400004152"/>
      </c:barChart>
      <c:lineChart>
        <c:grouping val="standard"/>
        <c:varyColors val="0"/>
        <c:ser>
          <c:idx val="2"/>
          <c:order val="2"/>
          <c:tx>
            <c:v>GROSS PROFIT</c:v>
          </c:tx>
          <c:spPr>
            <a:ln w="34925" cap="rnd">
              <a:solidFill>
                <a:srgbClr val="A82D1C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'FINAL RESULTS'!$B$3:$C$11</c15:sqref>
                  </c15:fullRef>
                </c:ext>
              </c:extLst>
              <c:f>'FINAL RESULTS'!$B$4:$C$11</c:f>
              <c:multiLvlStrCache>
                <c:ptCount val="8"/>
                <c:lvl>
                  <c:pt idx="0">
                    <c:v>BEFORE MAXIMIZING</c:v>
                  </c:pt>
                  <c:pt idx="1">
                    <c:v>AFTER MAXIMIZING</c:v>
                  </c:pt>
                  <c:pt idx="2">
                    <c:v>BEFORE MAXIMIZING</c:v>
                  </c:pt>
                  <c:pt idx="3">
                    <c:v>AFTER MAXIMIZING</c:v>
                  </c:pt>
                  <c:pt idx="4">
                    <c:v>BEFORE MAXIMIZING</c:v>
                  </c:pt>
                  <c:pt idx="5">
                    <c:v>AFTER MAXIMIZING</c:v>
                  </c:pt>
                  <c:pt idx="6">
                    <c:v>BEFORE MAXIMIZING</c:v>
                  </c:pt>
                  <c:pt idx="7">
                    <c:v>AFTER MAXIMIZING</c:v>
                  </c:pt>
                </c:lvl>
                <c:lvl>
                  <c:pt idx="0">
                    <c:v>PDC NT</c:v>
                  </c:pt>
                  <c:pt idx="2">
                    <c:v>PDC R</c:v>
                  </c:pt>
                  <c:pt idx="4">
                    <c:v>RI</c:v>
                  </c:pt>
                  <c:pt idx="6">
                    <c:v>RT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RESULTS'!$H$3:$H$11</c15:sqref>
                  </c15:fullRef>
                </c:ext>
              </c:extLst>
              <c:f>'FINAL RESULTS'!$H$4:$H$11</c:f>
              <c:numCache>
                <c:formatCode>0.0%</c:formatCode>
                <c:ptCount val="8"/>
                <c:pt idx="0">
                  <c:v>0.69635666233973548</c:v>
                </c:pt>
                <c:pt idx="1">
                  <c:v>0.69703653643241603</c:v>
                </c:pt>
                <c:pt idx="2">
                  <c:v>0.25134423073400508</c:v>
                </c:pt>
                <c:pt idx="3">
                  <c:v>0.25151183548377398</c:v>
                </c:pt>
                <c:pt idx="4">
                  <c:v>0.33949587389897584</c:v>
                </c:pt>
                <c:pt idx="5">
                  <c:v>0.33949587389897584</c:v>
                </c:pt>
                <c:pt idx="6">
                  <c:v>0.32550496252576516</c:v>
                </c:pt>
                <c:pt idx="7">
                  <c:v>0.32550496252576516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1-499B-B2EA-416816E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97264"/>
        <c:axId val="1400005792"/>
      </c:lineChart>
      <c:catAx>
        <c:axId val="14000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04152"/>
        <c:crosses val="autoZero"/>
        <c:auto val="1"/>
        <c:lblAlgn val="ctr"/>
        <c:lblOffset val="100"/>
        <c:noMultiLvlLbl val="0"/>
      </c:catAx>
      <c:valAx>
        <c:axId val="14000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03496"/>
        <c:crosses val="autoZero"/>
        <c:crossBetween val="between"/>
      </c:valAx>
      <c:valAx>
        <c:axId val="140000579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97264"/>
        <c:crosses val="max"/>
        <c:crossBetween val="between"/>
      </c:valAx>
      <c:catAx>
        <c:axId val="139999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00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RESULTS'!$D$27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F3E-413F-B91E-858D93D8EA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F3E-413F-B91E-858D93D8EAE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3E-413F-B91E-858D93D8EA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3E-413F-B91E-858D93D8EAE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F3E-413F-B91E-858D93D8EA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F3E-413F-B91E-858D93D8EAE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3E-413F-B91E-858D93D8EAE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3E-413F-B91E-858D93D8EAE8}"/>
              </c:ext>
            </c:extLst>
          </c:dPt>
          <c:cat>
            <c:multiLvlStrRef>
              <c:f>'FINAL RESULTS'!$B$28:$C$35</c:f>
              <c:multiLvlStrCache>
                <c:ptCount val="8"/>
                <c:lvl>
                  <c:pt idx="0">
                    <c:v>BM</c:v>
                  </c:pt>
                  <c:pt idx="1">
                    <c:v>AM</c:v>
                  </c:pt>
                  <c:pt idx="2">
                    <c:v>BM</c:v>
                  </c:pt>
                  <c:pt idx="3">
                    <c:v>AM</c:v>
                  </c:pt>
                  <c:pt idx="4">
                    <c:v>BM</c:v>
                  </c:pt>
                  <c:pt idx="5">
                    <c:v>AM</c:v>
                  </c:pt>
                  <c:pt idx="6">
                    <c:v>BM</c:v>
                  </c:pt>
                  <c:pt idx="7">
                    <c:v>AM</c:v>
                  </c:pt>
                </c:lvl>
                <c:lvl>
                  <c:pt idx="0">
                    <c:v>PDC NT</c:v>
                  </c:pt>
                  <c:pt idx="2">
                    <c:v>PDC R</c:v>
                  </c:pt>
                  <c:pt idx="4">
                    <c:v>RI</c:v>
                  </c:pt>
                  <c:pt idx="6">
                    <c:v>RT</c:v>
                  </c:pt>
                </c:lvl>
              </c:multiLvlStrCache>
            </c:multiLvlStrRef>
          </c:cat>
          <c:val>
            <c:numRef>
              <c:f>'FINAL RESULTS'!$D$28:$D$35</c:f>
              <c:numCache>
                <c:formatCode>0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30</c:v>
                </c:pt>
                <c:pt idx="3">
                  <c:v>34</c:v>
                </c:pt>
                <c:pt idx="4">
                  <c:v>6</c:v>
                </c:pt>
                <c:pt idx="5">
                  <c:v>6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13F-B91E-858D93D8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3935248"/>
        <c:axId val="603932296"/>
      </c:barChart>
      <c:catAx>
        <c:axId val="603935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2296"/>
        <c:crosses val="autoZero"/>
        <c:auto val="1"/>
        <c:lblAlgn val="ctr"/>
        <c:lblOffset val="100"/>
        <c:noMultiLvlLbl val="0"/>
      </c:catAx>
      <c:valAx>
        <c:axId val="603932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RESULTS'!$X$22</c:f>
              <c:strCache>
                <c:ptCount val="1"/>
                <c:pt idx="0">
                  <c:v>% INCREASE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4F7-43CE-94EA-4FA1D013CAAB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897-4B93-8020-9DC7A493C6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4F7-43CE-94EA-4FA1D013CAAB}"/>
              </c:ext>
            </c:extLst>
          </c:dPt>
          <c:dLbls>
            <c:spPr>
              <a:solidFill>
                <a:srgbClr val="A82D1C"/>
              </a:solidFill>
              <a:ln>
                <a:solidFill>
                  <a:srgbClr val="A82D1C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RESULTS'!$W$23:$W$25</c:f>
              <c:strCache>
                <c:ptCount val="3"/>
                <c:pt idx="0">
                  <c:v>TOTAL SALES</c:v>
                </c:pt>
                <c:pt idx="1">
                  <c:v>TOTAL GROSS NET</c:v>
                </c:pt>
                <c:pt idx="2">
                  <c:v>QUANTITY</c:v>
                </c:pt>
              </c:strCache>
            </c:strRef>
          </c:cat>
          <c:val>
            <c:numRef>
              <c:f>'FINAL RESULTS'!$X$23:$X$25</c:f>
              <c:numCache>
                <c:formatCode>0.0%</c:formatCode>
                <c:ptCount val="3"/>
                <c:pt idx="0">
                  <c:v>0.11657376044094336</c:v>
                </c:pt>
                <c:pt idx="1">
                  <c:v>0.11763583729534743</c:v>
                </c:pt>
                <c:pt idx="2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7-4B93-8020-9DC7A493C6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FINAL RESULT QUANTITIES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RESULTS'!$AI$18</c:f>
              <c:strCache>
                <c:ptCount val="1"/>
                <c:pt idx="0">
                  <c:v>QUANTITIES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0D4-4647-B739-D288F77F7D77}"/>
              </c:ext>
            </c:extLst>
          </c:dPt>
          <c:dLbls>
            <c:spPr>
              <a:solidFill>
                <a:srgbClr val="A82D1C"/>
              </a:solidFill>
              <a:ln>
                <a:solidFill>
                  <a:srgbClr val="A82D1C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RESULTS'!$AH$19:$AH$20</c:f>
              <c:strCache>
                <c:ptCount val="2"/>
                <c:pt idx="0">
                  <c:v>BEFORE MAXIMIZING</c:v>
                </c:pt>
                <c:pt idx="1">
                  <c:v>AFTER MAXIMING</c:v>
                </c:pt>
              </c:strCache>
            </c:strRef>
          </c:cat>
          <c:val>
            <c:numRef>
              <c:f>'FINAL RESULTS'!$AI$19:$AI$20</c:f>
              <c:numCache>
                <c:formatCode>General</c:formatCode>
                <c:ptCount val="2"/>
                <c:pt idx="0">
                  <c:v>68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647-B739-D288F77F7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0143672"/>
        <c:axId val="1030141704"/>
      </c:barChart>
      <c:catAx>
        <c:axId val="103014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1704"/>
        <c:crosses val="autoZero"/>
        <c:auto val="1"/>
        <c:lblAlgn val="ctr"/>
        <c:lblOffset val="100"/>
        <c:noMultiLvlLbl val="0"/>
      </c:catAx>
      <c:valAx>
        <c:axId val="10301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107156</xdr:colOff>
      <xdr:row>12</xdr:row>
      <xdr:rowOff>50006</xdr:rowOff>
    </xdr:from>
    <xdr:to>
      <xdr:col>12</xdr:col>
      <xdr:colOff>483393</xdr:colOff>
      <xdr:row>27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7B4F0-5A41-4DB3-8C9C-FA1FF5DF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295602</xdr:colOff>
      <xdr:row>31</xdr:row>
      <xdr:rowOff>168329</xdr:rowOff>
    </xdr:from>
    <xdr:to>
      <xdr:col>8</xdr:col>
      <xdr:colOff>73901</xdr:colOff>
      <xdr:row>31</xdr:row>
      <xdr:rowOff>168330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43C2373-A65C-4402-901A-ADF21A648A07}"/>
            </a:ext>
          </a:extLst>
        </xdr:cNvPr>
        <xdr:cNvCxnSpPr/>
      </xdr:nvCxnSpPr>
      <xdr:spPr>
        <a:xfrm flipH="1">
          <a:off x="5760161" y="5587726"/>
          <a:ext cx="624053" cy="1"/>
        </a:xfrm>
        <a:prstGeom prst="line">
          <a:avLst/>
        </a:prstGeom>
        <a:ln>
          <a:solidFill>
            <a:srgbClr val="A82D1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428736</xdr:colOff>
      <xdr:row>30</xdr:row>
      <xdr:rowOff>8</xdr:rowOff>
    </xdr:from>
    <xdr:to>
      <xdr:col>9</xdr:col>
      <xdr:colOff>984226</xdr:colOff>
      <xdr:row>45</xdr:row>
      <xdr:rowOff>33509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43C0EC-D8D6-430F-B37C-69B1CDFF4991}"/>
            </a:ext>
          </a:extLst>
        </xdr:cNvPr>
        <xdr:cNvGrpSpPr/>
      </xdr:nvGrpSpPr>
      <xdr:grpSpPr>
        <a:xfrm>
          <a:off x="3498384" y="5455235"/>
          <a:ext cx="5027910" cy="2761115"/>
          <a:chOff x="3197032" y="5104598"/>
          <a:chExt cx="4878690" cy="2743200"/>
        </a:xfrm>
        <a:solidFill>
          <a:schemeClr val="bg2"/>
        </a:solidFill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7B509489-655A-4068-9C8A-C2B34F7C5FC3}"/>
              </a:ext>
            </a:extLst>
          </xdr:cNvPr>
          <xdr:cNvGraphicFramePr/>
        </xdr:nvGraphicFramePr>
        <xdr:xfrm>
          <a:off x="3197032" y="5104598"/>
          <a:ext cx="487869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BEF94B56-CEA6-449A-95E5-7EF05F249D9D}"/>
              </a:ext>
            </a:extLst>
          </xdr:cNvPr>
          <xdr:cNvCxnSpPr/>
        </xdr:nvCxnSpPr>
        <xdr:spPr>
          <a:xfrm flipH="1">
            <a:off x="6384213" y="5587726"/>
            <a:ext cx="1" cy="229914"/>
          </a:xfrm>
          <a:prstGeom prst="straightConnector1">
            <a:avLst/>
          </a:prstGeom>
          <a:grpFill/>
          <a:ln>
            <a:solidFill>
              <a:srgbClr val="A82D1C"/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931E2476-D6DB-48F3-9568-2980C8389B74}"/>
              </a:ext>
            </a:extLst>
          </xdr:cNvPr>
          <xdr:cNvCxnSpPr/>
        </xdr:nvCxnSpPr>
        <xdr:spPr>
          <a:xfrm flipH="1">
            <a:off x="4585959" y="5604148"/>
            <a:ext cx="1" cy="484462"/>
          </a:xfrm>
          <a:prstGeom prst="straightConnector1">
            <a:avLst/>
          </a:prstGeom>
          <a:grpFill/>
          <a:ln>
            <a:solidFill>
              <a:srgbClr val="A82D1C"/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F6822B26-1DA3-4583-9769-B307B877BFD8}"/>
              </a:ext>
            </a:extLst>
          </xdr:cNvPr>
          <xdr:cNvSpPr/>
        </xdr:nvSpPr>
        <xdr:spPr>
          <a:xfrm>
            <a:off x="5127900" y="5464559"/>
            <a:ext cx="747219" cy="246335"/>
          </a:xfrm>
          <a:prstGeom prst="roundRect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A82D1C"/>
                </a:solidFill>
              </a:rPr>
              <a:t>↑20.5% </a:t>
            </a: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13545AEA-24B8-4804-BFCD-3D87A89F0F56}"/>
              </a:ext>
            </a:extLst>
          </xdr:cNvPr>
          <xdr:cNvCxnSpPr>
            <a:endCxn id="10" idx="1"/>
          </xdr:cNvCxnSpPr>
        </xdr:nvCxnSpPr>
        <xdr:spPr>
          <a:xfrm>
            <a:off x="4577749" y="5587726"/>
            <a:ext cx="550151" cy="1"/>
          </a:xfrm>
          <a:prstGeom prst="line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BF882FB2-2CB1-438F-87D4-172BC27FA0B6}"/>
              </a:ext>
            </a:extLst>
          </xdr:cNvPr>
          <xdr:cNvCxnSpPr>
            <a:endCxn id="10" idx="3"/>
          </xdr:cNvCxnSpPr>
        </xdr:nvCxnSpPr>
        <xdr:spPr>
          <a:xfrm flipH="1">
            <a:off x="5875119" y="5587726"/>
            <a:ext cx="492674" cy="1"/>
          </a:xfrm>
          <a:prstGeom prst="line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516729</xdr:colOff>
      <xdr:row>34</xdr:row>
      <xdr:rowOff>116680</xdr:rowOff>
    </xdr:from>
    <xdr:to>
      <xdr:col>9</xdr:col>
      <xdr:colOff>828674</xdr:colOff>
      <xdr:row>50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B3F94-4D5C-4BDD-AEDA-37A78A7C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0.28077</cdr:x>
      <cdr:y>0.14336</cdr:y>
    </cdr:from>
    <cdr:to>
      <cdr:x>0.64219</cdr:x>
      <cdr:y>0.308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0FF5BE27-9C8F-4A48-ACCA-DF3ADC91C1D9}"/>
            </a:ext>
          </a:extLst>
        </cdr:cNvPr>
        <cdr:cNvGrpSpPr/>
      </cdr:nvGrpSpPr>
      <cdr:grpSpPr>
        <a:xfrm xmlns:a="http://schemas.openxmlformats.org/drawingml/2006/main">
          <a:off x="1448813" y="422275"/>
          <a:ext cx="1864989" cy="484983"/>
          <a:chOff x="1403350" y="422275"/>
          <a:chExt cx="1806466" cy="484983"/>
        </a:xfrm>
        <a:solidFill xmlns:a="http://schemas.openxmlformats.org/drawingml/2006/main">
          <a:schemeClr val="accent3">
            <a:lumMod val="20000"/>
            <a:lumOff val="80000"/>
          </a:schemeClr>
        </a:solidFill>
      </cdr:grpSpPr>
      <cdr:cxnSp macro="">
        <cdr:nvCxnSpPr>
          <cdr:cNvPr id="2" name="Straight Arrow Connector 1">
            <a:extLst xmlns:a="http://schemas.openxmlformats.org/drawingml/2006/main">
              <a:ext uri="{FF2B5EF4-FFF2-40B4-BE49-F238E27FC236}">
                <a16:creationId xmlns:a16="http://schemas.microsoft.com/office/drawing/2014/main" id="{BEF94B56-CEA6-449A-95E5-7EF05F249D9D}"/>
              </a:ext>
            </a:extLst>
          </cdr:cNvPr>
          <cdr:cNvCxnSpPr/>
        </cdr:nvCxnSpPr>
        <cdr:spPr>
          <a:xfrm xmlns:a="http://schemas.openxmlformats.org/drawingml/2006/main" flipH="1">
            <a:off x="3207546" y="545442"/>
            <a:ext cx="2270" cy="161791"/>
          </a:xfrm>
          <a:prstGeom xmlns:a="http://schemas.openxmlformats.org/drawingml/2006/main" prst="straightConnector1">
            <a:avLst/>
          </a:prstGeom>
          <a:grpFill xmlns:a="http://schemas.openxmlformats.org/drawingml/2006/main"/>
          <a:ln xmlns:a="http://schemas.openxmlformats.org/drawingml/2006/main">
            <a:solidFill>
              <a:srgbClr val="A82D1C"/>
            </a:solidFill>
            <a:tailEnd type="triangle"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1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931E2476-D6DB-48F3-9568-2980C8389B74}"/>
              </a:ext>
            </a:extLst>
          </cdr:cNvPr>
          <cdr:cNvCxnSpPr/>
        </cdr:nvCxnSpPr>
        <cdr:spPr>
          <a:xfrm xmlns:a="http://schemas.openxmlformats.org/drawingml/2006/main">
            <a:off x="1411562" y="561864"/>
            <a:ext cx="5284" cy="345394"/>
          </a:xfrm>
          <a:prstGeom xmlns:a="http://schemas.openxmlformats.org/drawingml/2006/main" prst="straightConnector1">
            <a:avLst/>
          </a:prstGeom>
          <a:grpFill xmlns:a="http://schemas.openxmlformats.org/drawingml/2006/main"/>
          <a:ln xmlns:a="http://schemas.openxmlformats.org/drawingml/2006/main">
            <a:solidFill>
              <a:srgbClr val="A82D1C"/>
            </a:solidFill>
            <a:tailEnd type="triangle"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1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:a16="http://schemas.microsoft.com/office/drawing/2014/main" id="{F6822B26-1DA3-4583-9769-B307B877BFD8}"/>
              </a:ext>
            </a:extLst>
          </cdr:cNvPr>
          <cdr:cNvSpPr/>
        </cdr:nvSpPr>
        <cdr:spPr>
          <a:xfrm xmlns:a="http://schemas.openxmlformats.org/drawingml/2006/main">
            <a:off x="1953501" y="422275"/>
            <a:ext cx="747219" cy="246335"/>
          </a:xfrm>
          <a:prstGeom xmlns:a="http://schemas.openxmlformats.org/drawingml/2006/main" prst="roundRect">
            <a:avLst/>
          </a:prstGeom>
          <a:grpFill xmlns:a="http://schemas.openxmlformats.org/drawingml/2006/main"/>
          <a:ln xmlns:a="http://schemas.openxmlformats.org/drawingml/2006/main">
            <a:solidFill>
              <a:srgbClr val="A82D1C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100">
                <a:solidFill>
                  <a:srgbClr val="A82D1C"/>
                </a:solidFill>
              </a:rPr>
              <a:t>↑ 11.4% </a:t>
            </a:r>
          </a:p>
        </cdr:txBody>
      </cdr:sp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13545AEA-24B8-4804-BFCD-3D87A89F0F56}"/>
              </a:ext>
            </a:extLst>
          </cdr:cNvPr>
          <cdr:cNvCxnSpPr>
            <a:endCxn xmlns:a="http://schemas.openxmlformats.org/drawingml/2006/main" id="4" idx="1"/>
          </cdr:cNvCxnSpPr>
        </cdr:nvCxnSpPr>
        <cdr:spPr>
          <a:xfrm xmlns:a="http://schemas.openxmlformats.org/drawingml/2006/main">
            <a:off x="1403350" y="545442"/>
            <a:ext cx="550151" cy="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rgbClr val="A82D1C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>
            <a:extLst xmlns:a="http://schemas.openxmlformats.org/drawingml/2006/main">
              <a:ext uri="{FF2B5EF4-FFF2-40B4-BE49-F238E27FC236}">
                <a16:creationId xmlns:a16="http://schemas.microsoft.com/office/drawing/2014/main" id="{BF882FB2-2CB1-438F-87D4-172BC27FA0B6}"/>
              </a:ext>
            </a:extLst>
          </cdr:cNvPr>
          <cdr:cNvCxnSpPr>
            <a:endCxn xmlns:a="http://schemas.openxmlformats.org/drawingml/2006/main" id="4" idx="3"/>
          </cdr:cNvCxnSpPr>
        </cdr:nvCxnSpPr>
        <cdr:spPr>
          <a:xfrm xmlns:a="http://schemas.openxmlformats.org/drawingml/2006/main" flipH="1">
            <a:off x="2700720" y="545442"/>
            <a:ext cx="492674" cy="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rgbClr val="A82D1C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354806</xdr:colOff>
      <xdr:row>32</xdr:row>
      <xdr:rowOff>21431</xdr:rowOff>
    </xdr:from>
    <xdr:to>
      <xdr:col>9</xdr:col>
      <xdr:colOff>426243</xdr:colOff>
      <xdr:row>47</xdr:row>
      <xdr:rowOff>50006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58B6F0D-9A88-4527-99EC-38DD855779A2}"/>
            </a:ext>
          </a:extLst>
        </xdr:cNvPr>
        <xdr:cNvGrpSpPr/>
      </xdr:nvGrpSpPr>
      <xdr:grpSpPr>
        <a:xfrm>
          <a:off x="3320545" y="5848999"/>
          <a:ext cx="4704051" cy="2756189"/>
          <a:chOff x="3320545" y="5848999"/>
          <a:chExt cx="4704051" cy="2756189"/>
        </a:xfrm>
        <a:solidFill>
          <a:sysClr val="window" lastClr="FFFFFF"/>
        </a:solidFill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447B84-13E2-4ECD-AA0B-D23C0FAA2DDD}"/>
              </a:ext>
            </a:extLst>
          </xdr:cNvPr>
          <xdr:cNvGraphicFramePr/>
        </xdr:nvGraphicFramePr>
        <xdr:xfrm>
          <a:off x="3320545" y="5848999"/>
          <a:ext cx="4704051" cy="2756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A218238-E641-43E4-B9F9-EB6B9F41BB3B}"/>
              </a:ext>
            </a:extLst>
          </xdr:cNvPr>
          <xdr:cNvCxnSpPr/>
        </xdr:nvCxnSpPr>
        <xdr:spPr>
          <a:xfrm flipH="1">
            <a:off x="6270989" y="6381958"/>
            <a:ext cx="2270" cy="161791"/>
          </a:xfrm>
          <a:prstGeom prst="straightConnector1">
            <a:avLst/>
          </a:prstGeom>
          <a:grpFill/>
          <a:ln>
            <a:solidFill>
              <a:srgbClr val="A82D1C"/>
            </a:solidFill>
            <a:tailEnd type="triangle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FEA74B2-6F9F-4565-81CD-13E5F76817B8}"/>
              </a:ext>
            </a:extLst>
          </xdr:cNvPr>
          <xdr:cNvCxnSpPr/>
        </xdr:nvCxnSpPr>
        <xdr:spPr>
          <a:xfrm>
            <a:off x="4473705" y="6398380"/>
            <a:ext cx="1313" cy="170840"/>
          </a:xfrm>
          <a:prstGeom prst="straightConnector1">
            <a:avLst/>
          </a:prstGeom>
          <a:grpFill/>
          <a:ln>
            <a:solidFill>
              <a:srgbClr val="A82D1C"/>
            </a:solidFill>
            <a:tailEnd type="triangle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E0C8A07B-0813-4CE2-83FD-0E8626397BD8}"/>
              </a:ext>
            </a:extLst>
          </xdr:cNvPr>
          <xdr:cNvSpPr/>
        </xdr:nvSpPr>
        <xdr:spPr>
          <a:xfrm>
            <a:off x="5016078" y="6257925"/>
            <a:ext cx="748085" cy="247201"/>
          </a:xfrm>
          <a:prstGeom prst="roundRect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>
                <a:solidFill>
                  <a:srgbClr val="A82D1C"/>
                </a:solidFill>
              </a:rPr>
              <a:t>↑ 0% </a:t>
            </a:r>
          </a:p>
        </xdr:txBody>
      </xdr: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DD9394BC-7710-4096-B029-C187C5A14B90}"/>
              </a:ext>
            </a:extLst>
          </xdr:cNvPr>
          <xdr:cNvCxnSpPr>
            <a:endCxn id="5" idx="1"/>
          </xdr:cNvCxnSpPr>
        </xdr:nvCxnSpPr>
        <xdr:spPr>
          <a:xfrm>
            <a:off x="4465493" y="6381958"/>
            <a:ext cx="550585" cy="1"/>
          </a:xfrm>
          <a:prstGeom prst="line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972D7849-D578-448F-BBD2-930057C76453}"/>
              </a:ext>
            </a:extLst>
          </xdr:cNvPr>
          <xdr:cNvCxnSpPr>
            <a:endCxn id="5" idx="3"/>
          </xdr:cNvCxnSpPr>
        </xdr:nvCxnSpPr>
        <xdr:spPr>
          <a:xfrm flipH="1">
            <a:off x="5764163" y="6381958"/>
            <a:ext cx="492674" cy="1"/>
          </a:xfrm>
          <a:prstGeom prst="line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0.33802</cdr:x>
      <cdr:y>0.27865</cdr:y>
    </cdr:from>
    <cdr:to>
      <cdr:x>0.3776</cdr:x>
      <cdr:y>0.36892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EDFD245-348A-4363-B3C6-6A3C5BF0742A}"/>
            </a:ext>
          </a:extLst>
        </cdr:cNvPr>
        <cdr:cNvCxnSpPr/>
      </cdr:nvCxnSpPr>
      <cdr:spPr>
        <a:xfrm xmlns:a="http://schemas.openxmlformats.org/drawingml/2006/main" flipH="1" flipV="1">
          <a:off x="1545432" y="764382"/>
          <a:ext cx="180975" cy="2476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A82D1C"/>
          </a:solidFill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0.70885</cdr:x>
      <cdr:y>0.26476</cdr:y>
    </cdr:from>
    <cdr:to>
      <cdr:x>0.74427</cdr:x>
      <cdr:y>0.32378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958F2F7-D613-454A-A686-329A346B432C}"/>
            </a:ext>
          </a:extLst>
        </cdr:cNvPr>
        <cdr:cNvCxnSpPr/>
      </cdr:nvCxnSpPr>
      <cdr:spPr>
        <a:xfrm xmlns:a="http://schemas.openxmlformats.org/drawingml/2006/main" flipH="1" flipV="1">
          <a:off x="3240882" y="726282"/>
          <a:ext cx="161925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A82D1C"/>
          </a:solidFill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169068</xdr:colOff>
      <xdr:row>36</xdr:row>
      <xdr:rowOff>126206</xdr:rowOff>
    </xdr:from>
    <xdr:to>
      <xdr:col>10</xdr:col>
      <xdr:colOff>326230</xdr:colOff>
      <xdr:row>51</xdr:row>
      <xdr:rowOff>154781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B8DECF8-6DA2-4BB2-90E7-AD8FDE95B7A8}"/>
            </a:ext>
          </a:extLst>
        </xdr:cNvPr>
        <xdr:cNvGrpSpPr/>
      </xdr:nvGrpSpPr>
      <xdr:grpSpPr>
        <a:xfrm>
          <a:off x="3826668" y="6650831"/>
          <a:ext cx="4786312" cy="2743200"/>
          <a:chOff x="3893343" y="6622256"/>
          <a:chExt cx="4572000" cy="2743200"/>
        </a:xfrm>
        <a:solidFill>
          <a:schemeClr val="accent3">
            <a:lumMod val="20000"/>
            <a:lumOff val="80000"/>
          </a:schemeClr>
        </a:solidFill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A61E427-F323-4CAF-8D83-11CE384034A6}"/>
              </a:ext>
            </a:extLst>
          </xdr:cNvPr>
          <xdr:cNvGraphicFramePr/>
        </xdr:nvGraphicFramePr>
        <xdr:xfrm>
          <a:off x="3893343" y="662225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5FB28C70-18F3-4BC0-BF82-522D90FA4C2F}"/>
              </a:ext>
            </a:extLst>
          </xdr:cNvPr>
          <xdr:cNvSpPr/>
        </xdr:nvSpPr>
        <xdr:spPr>
          <a:xfrm>
            <a:off x="5717464" y="7353300"/>
            <a:ext cx="747219" cy="246335"/>
          </a:xfrm>
          <a:prstGeom prst="roundRect">
            <a:avLst/>
          </a:prstGeom>
          <a:grpFill/>
          <a:ln>
            <a:solidFill>
              <a:srgbClr val="A82D1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>
                <a:solidFill>
                  <a:srgbClr val="A82D1C"/>
                </a:solidFill>
              </a:rPr>
              <a:t>↑ 0% </a:t>
            </a:r>
          </a:p>
        </xdr:txBody>
      </xdr: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13F39737-1C75-4E9A-B220-344D34806132}"/>
              </a:ext>
            </a:extLst>
          </xdr:cNvPr>
          <xdr:cNvCxnSpPr>
            <a:endCxn id="5" idx="1"/>
          </xdr:cNvCxnSpPr>
        </xdr:nvCxnSpPr>
        <xdr:spPr>
          <a:xfrm>
            <a:off x="5453063" y="7472363"/>
            <a:ext cx="264401" cy="4105"/>
          </a:xfrm>
          <a:prstGeom prst="line">
            <a:avLst/>
          </a:prstGeom>
          <a:grpFill/>
          <a:ln>
            <a:solidFill>
              <a:srgbClr val="A82D1C"/>
            </a:solidFill>
            <a:headEnd type="triangle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539B0E7-EC80-4161-83F5-60809CB890BB}"/>
              </a:ext>
            </a:extLst>
          </xdr:cNvPr>
          <xdr:cNvCxnSpPr>
            <a:endCxn id="5" idx="3"/>
          </xdr:cNvCxnSpPr>
        </xdr:nvCxnSpPr>
        <xdr:spPr>
          <a:xfrm flipH="1" flipV="1">
            <a:off x="6464683" y="7476468"/>
            <a:ext cx="226630" cy="5420"/>
          </a:xfrm>
          <a:prstGeom prst="line">
            <a:avLst/>
          </a:prstGeom>
          <a:grpFill/>
          <a:ln>
            <a:solidFill>
              <a:srgbClr val="A82D1C"/>
            </a:solidFill>
            <a:headEnd type="triangle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0.23698</cdr:x>
      <cdr:y>0.16406</cdr:y>
    </cdr:from>
    <cdr:to>
      <cdr:x>0.32031</cdr:x>
      <cdr:y>0.21267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3389052-E6B4-49D1-BD4A-9AA078CDC786}"/>
            </a:ext>
          </a:extLst>
        </cdr:cNvPr>
        <cdr:cNvCxnSpPr/>
      </cdr:nvCxnSpPr>
      <cdr:spPr>
        <a:xfrm xmlns:a="http://schemas.openxmlformats.org/drawingml/2006/main">
          <a:off x="1083470" y="450057"/>
          <a:ext cx="381000" cy="1333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A82D1C"/>
          </a:solidFill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0.71198</cdr:x>
      <cdr:y>0.22309</cdr:y>
    </cdr:from>
    <cdr:to>
      <cdr:x>0.74115</cdr:x>
      <cdr:y>0.29601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E66463FF-DB64-426C-A4F0-0A0D4E5F7807}"/>
            </a:ext>
          </a:extLst>
        </cdr:cNvPr>
        <cdr:cNvCxnSpPr/>
      </cdr:nvCxnSpPr>
      <cdr:spPr>
        <a:xfrm xmlns:a="http://schemas.openxmlformats.org/drawingml/2006/main" flipH="1" flipV="1">
          <a:off x="3255170" y="611982"/>
          <a:ext cx="133350" cy="2000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A82D1C"/>
          </a:solidFill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21429</xdr:colOff>
      <xdr:row>2</xdr:row>
      <xdr:rowOff>4763</xdr:rowOff>
    </xdr:from>
    <xdr:to>
      <xdr:col>18</xdr:col>
      <xdr:colOff>428624</xdr:colOff>
      <xdr:row>24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CF6B3-73F5-4AEE-839E-BCF336D9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73817</xdr:colOff>
      <xdr:row>25</xdr:row>
      <xdr:rowOff>173831</xdr:rowOff>
    </xdr:from>
    <xdr:to>
      <xdr:col>13</xdr:col>
      <xdr:colOff>219075</xdr:colOff>
      <xdr:row>43</xdr:row>
      <xdr:rowOff>23813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C5A762-18F2-417B-A03E-123E85BA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421481</xdr:colOff>
      <xdr:row>31</xdr:row>
      <xdr:rowOff>107156</xdr:rowOff>
    </xdr:from>
    <xdr:to>
      <xdr:col>32</xdr:col>
      <xdr:colOff>330993</xdr:colOff>
      <xdr:row>46</xdr:row>
      <xdr:rowOff>135731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A6D5E-7A20-4C02-93BD-55DFFFCE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635793</xdr:colOff>
      <xdr:row>16</xdr:row>
      <xdr:rowOff>107156</xdr:rowOff>
    </xdr:from>
    <xdr:to>
      <xdr:col>43</xdr:col>
      <xdr:colOff>26193</xdr:colOff>
      <xdr:row>31</xdr:row>
      <xdr:rowOff>135731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5B59699-A46C-4AC9-88F8-BF7F321B8BFD}"/>
            </a:ext>
          </a:extLst>
        </xdr:cNvPr>
        <xdr:cNvGrpSpPr/>
      </xdr:nvGrpSpPr>
      <xdr:grpSpPr>
        <a:xfrm>
          <a:off x="29048868" y="2983706"/>
          <a:ext cx="4572000" cy="2743200"/>
          <a:chOff x="29048868" y="2983706"/>
          <a:chExt cx="4572000" cy="2743200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20EB2414-70CB-49C0-828D-C60B4CE6A5BC}"/>
              </a:ext>
            </a:extLst>
          </xdr:cNvPr>
          <xdr:cNvGraphicFramePr/>
        </xdr:nvGraphicFramePr>
        <xdr:xfrm>
          <a:off x="29048868" y="298370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C929B6E-2182-4A20-86B7-DC7696815C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722888" y="3733800"/>
            <a:ext cx="1358970" cy="939848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416718</xdr:colOff>
      <xdr:row>15</xdr:row>
      <xdr:rowOff>173831</xdr:rowOff>
    </xdr:from>
    <xdr:to>
      <xdr:col>32</xdr:col>
      <xdr:colOff>326231</xdr:colOff>
      <xdr:row>31</xdr:row>
      <xdr:rowOff>21431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8EABB0E-907A-47E8-91CC-DB08977DD13D}"/>
            </a:ext>
          </a:extLst>
        </xdr:cNvPr>
        <xdr:cNvGrpSpPr/>
      </xdr:nvGrpSpPr>
      <xdr:grpSpPr>
        <a:xfrm>
          <a:off x="21495543" y="2869406"/>
          <a:ext cx="4572001" cy="2743200"/>
          <a:chOff x="21495543" y="2869406"/>
          <a:chExt cx="4572001" cy="2743200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5D126E3-17C7-4A0B-8FEB-BC636A66F903}"/>
              </a:ext>
            </a:extLst>
          </xdr:cNvPr>
          <xdr:cNvGraphicFramePr/>
        </xdr:nvGraphicFramePr>
        <xdr:xfrm>
          <a:off x="21495543" y="2869406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30324ED-87E6-4A73-8D9D-9DFA19684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2702838" y="3743325"/>
            <a:ext cx="977950" cy="673135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93F71F97-DCC4-4583-80EF-71C1B9C67F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4550688" y="4076700"/>
            <a:ext cx="977950" cy="67313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7F457-FBA9-4E91-BF7C-151A033E4AB0}" name="Table2" displayName="Table2" ref="B3:I19" headerRowDxfId="126" dataDxfId="124" headerRowBorderDxfId="125" tableBorderDxfId="123" totalsRowBorderDxfId="122" dataCellStyle="Currency">
  <autoFilter ref="B3:I19" xr:uid="{10D65DAB-3FC5-4A30-B0AD-17E6D093D8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B59956B-9E2A-4918-B223-F6FF68D1CC93}" name="BIT TYPE" totalsRowLabel="Total" dataDxfId="121" totalsRowDxfId="120"/>
    <tableColumn id="2" xr3:uid="{8D0D2431-8B58-49B6-8F0E-96522E7A4A5C}" name="NAME" dataDxfId="119" totalsRowDxfId="118"/>
    <tableColumn id="3" xr3:uid="{973C0B53-E0EA-41C9-ABEC-312AE88CD69F}" name="SIZE" dataDxfId="117" totalsRowDxfId="116"/>
    <tableColumn id="4" xr3:uid="{F30C9BE4-D3F8-4C46-9DBF-DEA6C3752DE9}" name="QTY" dataDxfId="115" totalsRowDxfId="114"/>
    <tableColumn id="5" xr3:uid="{1219E6CB-3D0C-4A95-BFF4-F3CA75B3F9B6}" name=" COST" dataDxfId="113" totalsRowDxfId="112" dataCellStyle="Currency"/>
    <tableColumn id="6" xr3:uid="{092689B6-0ECD-4031-9099-AAE42FA55D04}" name="RENT" dataDxfId="111" totalsRowDxfId="110" dataCellStyle="Currency"/>
    <tableColumn id="7" xr3:uid="{3C9CA5C6-3B7D-424A-AC4B-4247B4CB6564}" name="SALE" dataDxfId="109" totalsRowDxfId="108" dataCellStyle="Currency"/>
    <tableColumn id="8" xr3:uid="{B92D2D51-16F3-4154-86AB-77A923934594}" name="PROFIT" totalsRowFunction="sum" dataDxfId="107" totalsRowDxfId="106">
      <calculatedColumnFormula>H4-F4</calculatedColumnFormula>
    </tableColumn>
  </tableColumns>
  <tableStyleInfo name="TableStyleDark2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20785-2013-40CB-9557-867FCBC18726}" name="Table8" displayName="Table8" ref="B2:L5" totalsRowShown="0" headerRowDxfId="35" dataDxfId="33" headerRowBorderDxfId="34" tableBorderDxfId="32" totalsRowBorderDxfId="31">
  <autoFilter ref="B2:L5" xr:uid="{0130BD5A-A06B-4267-A9C6-C149B2AEA1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AF2E944-ABD9-4856-81F4-A5FB039B7759}" name="BIT TYPE" dataDxfId="30"/>
    <tableColumn id="2" xr3:uid="{B1057911-A69B-4792-8253-1B6AA62E75F1}" name="TYPE" dataDxfId="29"/>
    <tableColumn id="3" xr3:uid="{A3F3EA57-65D7-4FC5-95FA-69F5411C9E83}" name="NAME" dataDxfId="28"/>
    <tableColumn id="4" xr3:uid="{F1D7DB4B-3656-47B0-8CEA-B798797EE90A}" name="SIZE" dataDxfId="27"/>
    <tableColumn id="5" xr3:uid="{A6667706-1915-43BE-B047-64BC83860178}" name="QTY/Q" dataDxfId="26"/>
    <tableColumn id="6" xr3:uid="{46F11AA0-E206-4698-BF0D-01C1FBF5D094}" name=" UNIT COST" dataDxfId="25"/>
    <tableColumn id="7" xr3:uid="{2FF5064F-A48E-447D-B196-CC4680E6E720}" name=" COST" dataDxfId="24"/>
    <tableColumn id="8" xr3:uid="{BF4B5D76-C9BB-4E37-8393-7D4F829F6A69}" name=" AVERAGE SALE" dataDxfId="23"/>
    <tableColumn id="9" xr3:uid="{23215F21-8770-4DE2-8936-77EB6C7A239A}" name="SALE" dataDxfId="22"/>
    <tableColumn id="10" xr3:uid="{D1C39E8C-C193-4026-9823-3E3264C66A4B}" name="GROSS NET" dataDxfId="21"/>
    <tableColumn id="11" xr3:uid="{2769BB75-C272-4AF7-BDCE-DBAD85E78457}" name="GROSS PROFIT" dataDxfId="20" dataCellStyle="Percent">
      <calculatedColumnFormula>K3/J3</calculatedColumnFormula>
    </tableColumn>
  </tableColumns>
  <tableStyleInfo name="TableStyleDark2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136F11-7BF5-405A-92E2-46DD651B6927}" name="Table9" displayName="Table9" ref="B2:L8" totalsRowShown="0" headerRowDxfId="19" dataDxfId="17" headerRowBorderDxfId="18" tableBorderDxfId="16" totalsRowBorderDxfId="15">
  <autoFilter ref="B2:L8" xr:uid="{1D7714AC-D4AC-4A60-99CC-5221CCB045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C2EFAB1-90F3-4CC1-8E3A-5BA06B32989D}" name="BIT TYPE" dataDxfId="14"/>
    <tableColumn id="2" xr3:uid="{8DCC513D-80B8-4965-9A6B-C811F86EC81C}" name="TYPE" dataDxfId="13"/>
    <tableColumn id="3" xr3:uid="{581ED20E-B538-44B5-9016-74B1766C6ACD}" name="NAME" dataDxfId="12"/>
    <tableColumn id="4" xr3:uid="{2A932E4E-3A1C-4878-9F62-330F2C5000A8}" name="SIZE" dataDxfId="11"/>
    <tableColumn id="5" xr3:uid="{A139259B-9B2F-4516-B325-9853F20DFBBF}" name="QTY/Q" dataDxfId="10"/>
    <tableColumn id="6" xr3:uid="{57198455-37A6-4302-A735-FF55B4DB4C06}" name=" UNIT COST" dataDxfId="9"/>
    <tableColumn id="7" xr3:uid="{9D2A4F02-D98C-4AC6-86B9-1B78E7247D02}" name=" COST" dataDxfId="8"/>
    <tableColumn id="8" xr3:uid="{1E519AD6-681E-495F-AB4C-2E533EB5F68A}" name=" AVERAGE SALE" dataDxfId="7"/>
    <tableColumn id="9" xr3:uid="{A8CD1088-F57F-4D55-A37E-41F1F2CBE9C4}" name="SALE" dataDxfId="6"/>
    <tableColumn id="10" xr3:uid="{CF42FF97-5449-4724-A4EE-3B9EC9F41653}" name="GROSS NET" dataDxfId="5"/>
    <tableColumn id="11" xr3:uid="{14D45A43-ED8B-4731-A79B-4EA9237B9375}" name="GROSS PROFIT" dataDxfId="4" dataCellStyle="Percent">
      <calculatedColumnFormula>K3/J3</calculatedColumnFormula>
    </tableColumn>
  </tableColumns>
  <tableStyleInfo name="TableStyleDark2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E770D5-6686-479E-83E6-454C97832D97}" name="Table17" displayName="Table17" ref="W22:X25" totalsRowShown="0" headerRowBorderDxfId="3" tableBorderDxfId="2" totalsRowBorderDxfId="1">
  <autoFilter ref="W22:X25" xr:uid="{E740399A-2FE0-4023-8319-4B65691C07AF}">
    <filterColumn colId="0" hiddenButton="1"/>
    <filterColumn colId="1" hiddenButton="1"/>
  </autoFilter>
  <tableColumns count="2">
    <tableColumn id="1" xr3:uid="{6BB467E2-B7C4-4FA1-B39E-E6D9FE170198}" name=" "/>
    <tableColumn id="2" xr3:uid="{0A3F2114-C6DA-46F1-A5A7-E492A4C698A0}" name="% INCREASE" dataDxfId="0" dataCellStyle="Percent"/>
  </tableColumns>
  <tableStyleInfo name="TableStyleDark7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3C403-C912-4212-AD2F-3275FD2A858E}" name="Table3" displayName="Table3" ref="K4:L9" totalsRowShown="0" headerRowBorderDxfId="105" tableBorderDxfId="104" totalsRowBorderDxfId="103">
  <autoFilter ref="K4:L9" xr:uid="{AC152162-BCF8-43DA-AEE3-2FB4AFCF4A1C}">
    <filterColumn colId="0" hiddenButton="1"/>
    <filterColumn colId="1" hiddenButton="1"/>
  </autoFilter>
  <tableColumns count="2">
    <tableColumn id="1" xr3:uid="{4732AF73-652F-4A0A-9DE0-0F1D65BE7B4A}" name="BIT TYPE" dataDxfId="102"/>
    <tableColumn id="2" xr3:uid="{2AFDE2E0-142D-4551-8445-840A3832F710}" name="DEFINITION" dataDxfId="101"/>
  </tableColumns>
  <tableStyleInfo name="TableStyleDark5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356AA7-5CEE-45B0-8A49-238B5E857E47}" name="Table4" displayName="Table4" ref="B13:F17" totalsRowShown="0" headerRowDxfId="100" headerRowBorderDxfId="99" tableBorderDxfId="98" totalsRowBorderDxfId="97">
  <autoFilter ref="B13:F17" xr:uid="{BD4DD11F-3EF6-4DDE-BEC9-FD9B3F8D53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EC6987A-1CF1-47B7-97E4-151BD0570FFF}" name="BIT TYPE" dataDxfId="96"/>
    <tableColumn id="2" xr3:uid="{125E3B1C-CB15-4FB2-8353-0C8F38A72C9B}" name="SALE" dataDxfId="95"/>
    <tableColumn id="3" xr3:uid="{8F0738BE-C84E-4C5A-A4B3-0AE3FC55ADDF}" name="Q GOAL (%)" dataDxfId="94" dataCellStyle="Percent"/>
    <tableColumn id="4" xr3:uid="{BDE3E64B-7E41-466C-BB57-5C4960067DD8}" name="INCREASE" dataDxfId="93">
      <calculatedColumnFormula>(C14*D14)</calculatedColumnFormula>
    </tableColumn>
    <tableColumn id="5" xr3:uid="{F315D82D-E94F-4FAB-A5F2-6C24D0515B10}" name="EXPECTED SALE" dataDxfId="92">
      <calculatedColumnFormula>C14+E14</calculatedColumnFormula>
    </tableColumn>
  </tableColumns>
  <tableStyleInfo name="TableStyleDark7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3D397F-917C-44AD-B699-5988F2F9BA03}" name="Table5" displayName="Table5" ref="B2:D6" totalsRowShown="0" headerRowDxfId="91" dataDxfId="89" headerRowBorderDxfId="90" tableBorderDxfId="88" totalsRowBorderDxfId="87">
  <autoFilter ref="B2:D6" xr:uid="{54833010-B277-4F2B-AD21-DF85A8C55A1F}">
    <filterColumn colId="0" hiddenButton="1"/>
    <filterColumn colId="1" hiddenButton="1"/>
    <filterColumn colId="2" hiddenButton="1"/>
  </autoFilter>
  <tableColumns count="3">
    <tableColumn id="1" xr3:uid="{0FF00C94-3327-4E83-8B80-F91BC7B2FF46}" name="BIT TYPE" dataDxfId="86"/>
    <tableColumn id="2" xr3:uid="{A665CCCA-5830-42B9-B4CE-8B31CAA864EE}" name="Q GOAL (%)" dataDxfId="85" dataCellStyle="Percent"/>
    <tableColumn id="3" xr3:uid="{21680812-5F32-437E-949F-40277D938BF9}" name="DRIVER" dataDxfId="84"/>
  </tableColumns>
  <tableStyleInfo name="TableStyleDark7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0BF8C2-D7DA-4CCC-AD34-429FF70D097F}" name="Table6" displayName="Table6" ref="B2:L6" totalsRowShown="0" headerRowDxfId="83" dataDxfId="81" headerRowBorderDxfId="82" tableBorderDxfId="80" totalsRowBorderDxfId="79" dataCellStyle="Currency">
  <autoFilter ref="B2:L6" xr:uid="{8B216689-2E1B-4760-A4A7-BA7D543C7B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F1975BC-01AB-438D-A97C-04D4CF22C373}" name="BIT Type" dataDxfId="78"/>
    <tableColumn id="2" xr3:uid="{CE17197E-8A8E-4145-8466-A7C780E7F148}" name="TYPE" dataDxfId="77"/>
    <tableColumn id="3" xr3:uid="{912129A4-26BC-477C-BF4D-B7C36374D12E}" name="NAME " dataDxfId="76"/>
    <tableColumn id="4" xr3:uid="{41B92E26-E6D3-4CED-8012-16ECDC118617}" name="SIZE" dataDxfId="75"/>
    <tableColumn id="5" xr3:uid="{737CD6BC-DE2B-4C1D-8046-6EBB729AE198}" name="QTY/Q" dataDxfId="74"/>
    <tableColumn id="6" xr3:uid="{B6EBA842-F5FE-4C72-8335-57F4220BAC30}" name=" UNIT COST" dataDxfId="73" dataCellStyle="Currency"/>
    <tableColumn id="7" xr3:uid="{8D316E22-D540-472F-B82F-2411F584DD12}" name="COST" dataDxfId="72" dataCellStyle="Currency"/>
    <tableColumn id="8" xr3:uid="{F747E41C-A0CF-4600-B334-A5B406A22D32}" name="AVERAGE SALE" dataDxfId="71" dataCellStyle="Currency"/>
    <tableColumn id="9" xr3:uid="{A54780EE-C277-4A3F-9FC3-A2043A142692}" name="SALE" dataDxfId="70" dataCellStyle="Currency"/>
    <tableColumn id="10" xr3:uid="{2331916B-7122-433B-9776-A4CEEB4541C7}" name="GROSS NET" dataDxfId="69"/>
    <tableColumn id="11" xr3:uid="{5FA1A164-1E8F-4F07-AEE8-35A97BD6C3A2}" name="GROSS PROFIT" dataDxfId="68" dataCellStyle="Percent">
      <calculatedColumnFormula>K3/J3</calculatedColumnFormula>
    </tableColumn>
  </tableColumns>
  <tableStyleInfo name="TableStyleDark2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3D637-835A-44E3-80B2-C7D24409D8BE}" name="Table10" displayName="Table10" ref="C9:F14" totalsRowShown="0">
  <autoFilter ref="C9:F14" xr:uid="{48C2A98B-C30B-4FB9-83C0-9C76B69B42BE}">
    <filterColumn colId="0" hiddenButton="1"/>
    <filterColumn colId="1" hiddenButton="1"/>
    <filterColumn colId="2" hiddenButton="1"/>
    <filterColumn colId="3" hiddenButton="1"/>
  </autoFilter>
  <tableColumns count="4">
    <tableColumn id="1" xr3:uid="{FFBE38A5-34F7-444E-9E6F-9CCE3ED6FC7A}" name="Max" dataDxfId="67"/>
    <tableColumn id="2" xr3:uid="{FA4022D9-D1DC-467C-BA22-0CCA57CB00EF}" name=" $1,113,884.13 "/>
    <tableColumn id="3" xr3:uid="{1ADB9625-0AED-4263-B449-B3DD6998898F}" name=" " dataDxfId="66"/>
    <tableColumn id="4" xr3:uid="{4B0A9ADD-DD1C-4DB9-8357-A7E6FE992D30}" name="  " dataDxfId="65"/>
  </tableColumns>
  <tableStyleInfo name="TableStyleMedium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46C667-7BAA-446E-BD2E-4C698FBD9FC0}" name="Table11" displayName="Table11" ref="M6:O11" totalsRowShown="0" headerRowDxfId="64" headerRowBorderDxfId="63" tableBorderDxfId="62" totalsRowBorderDxfId="61">
  <autoFilter ref="M6:O11" xr:uid="{FC47821E-AE96-4B4B-8BD3-9A8FDB4E9627}">
    <filterColumn colId="0" hiddenButton="1"/>
    <filterColumn colId="1" hiddenButton="1"/>
    <filterColumn colId="2" hiddenButton="1"/>
  </autoFilter>
  <tableColumns count="3">
    <tableColumn id="1" xr3:uid="{099E5A09-825B-4B79-92E5-5C36BFAE1F55}" name=" " dataDxfId="60"/>
    <tableColumn id="2" xr3:uid="{0F379031-DEBF-4187-8895-6688C359DA5C}" name="INCREASE " dataDxfId="59" dataCellStyle="Percent"/>
    <tableColumn id="3" xr3:uid="{17791211-9D7C-4CEA-A22C-E1FFD7D264E0}" name="  "/>
  </tableColumns>
  <tableStyleInfo name="TableStyleDark7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A31E94-B838-413F-95B6-E77167ED7D29}" name="Table12" displayName="Table12" ref="F26:I28" totalsRowShown="0" headerRowBorderDxfId="58" tableBorderDxfId="57" totalsRowBorderDxfId="56">
  <autoFilter ref="F26:I28" xr:uid="{2B054C19-CD03-4EE8-AA8F-492156290189}">
    <filterColumn colId="0" hiddenButton="1"/>
    <filterColumn colId="1" hiddenButton="1"/>
    <filterColumn colId="2" hiddenButton="1"/>
    <filterColumn colId="3" hiddenButton="1"/>
  </autoFilter>
  <tableColumns count="4">
    <tableColumn id="1" xr3:uid="{7215FB01-47F5-4191-AA7F-A9662BAA7AF7}" name=" " dataDxfId="55"/>
    <tableColumn id="2" xr3:uid="{5CADCB6B-F5EA-4B4D-9F64-AD9CEE71F984}" name="Sale" dataDxfId="54"/>
    <tableColumn id="3" xr3:uid="{5C1DA76A-182E-4ED7-912B-877F098F7664}" name="Gross Net" dataDxfId="53"/>
    <tableColumn id="4" xr3:uid="{EF3C67FB-339A-4787-B675-60AC839376EA}" name="Gross profit" dataDxfId="52"/>
  </tableColumns>
  <tableStyleInfo name="TableStyleDark7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E54CD2-6F31-4FEE-8FE5-F892E4550F69}" name="Table7" displayName="Table7" ref="B3:L8" totalsRowShown="0" headerRowDxfId="51" dataDxfId="49" headerRowBorderDxfId="50" tableBorderDxfId="48" totalsRowBorderDxfId="47">
  <autoFilter ref="B3:L8" xr:uid="{E4DEDB1E-45D2-4C25-8BE5-7928B0B1D8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2B574A7-CAE8-41E6-8388-C3B7EA0D92B1}" name="BIT TYPE" dataDxfId="46"/>
    <tableColumn id="2" xr3:uid="{21B968A0-FD82-48F2-93E2-9CE54C593B22}" name="TYPE" dataDxfId="45"/>
    <tableColumn id="3" xr3:uid="{22526232-BA66-4A4A-9648-B4F68F66E552}" name="NAME" dataDxfId="44"/>
    <tableColumn id="4" xr3:uid="{766205AC-0092-4431-AED4-FD03022F4756}" name="SIZE" dataDxfId="43"/>
    <tableColumn id="5" xr3:uid="{F2B4FF0A-F999-4837-A0D1-89C00E4C6509}" name="QTY/Q" dataDxfId="42"/>
    <tableColumn id="6" xr3:uid="{764F63BD-F76C-41DC-B7ED-F4405E21D096}" name="UNIT COST" dataDxfId="41"/>
    <tableColumn id="7" xr3:uid="{CB7DE56E-C4DE-4191-8161-D54FA6A6D750}" name="COST" dataDxfId="40"/>
    <tableColumn id="8" xr3:uid="{8DE26215-B2FD-4177-8ABC-3954A03A9D4D}" name=" AVERAGE SALE" dataDxfId="39"/>
    <tableColumn id="9" xr3:uid="{044B8CFF-06D5-4778-A354-8972448D213B}" name="SALE" dataDxfId="38"/>
    <tableColumn id="10" xr3:uid="{621AC2FB-E6FD-4BBA-88B8-2F1FF00450E6}" name="GROSS NET" dataDxfId="37"/>
    <tableColumn id="11" xr3:uid="{79F92BC5-47A5-486C-B5F4-E5144F7B3C74}" name="GROSS PROFIT" dataDxfId="36" dataCellStyle="Percent">
      <calculatedColumnFormula>K4/J4</calculatedColumnFormula>
    </tableColumn>
  </tableColumns>
  <tableStyleInfo name="TableStyleDark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16BC-FDDA-44B4-9AEF-CEACFC7D8224}">
  <dimension ref="B2:T36"/>
  <sheetViews>
    <sheetView zoomScale="120" zoomScaleNormal="120" workbookViewId="0">
      <selection activeCell="L15" sqref="L15"/>
    </sheetView>
  </sheetViews>
  <sheetFormatPr defaultRowHeight="14.25" x14ac:dyDescent="0.45"/>
  <cols>
    <col min="2" max="2" width="17.59765625" bestFit="1" customWidth="1"/>
    <col min="3" max="3" width="17.6640625" bestFit="1" customWidth="1"/>
    <col min="4" max="4" width="11.1328125" bestFit="1" customWidth="1"/>
    <col min="5" max="5" width="9.3984375" bestFit="1" customWidth="1"/>
    <col min="6" max="7" width="11.86328125" bestFit="1" customWidth="1"/>
    <col min="8" max="9" width="13.3984375" bestFit="1" customWidth="1"/>
    <col min="11" max="11" width="9.3984375" customWidth="1"/>
    <col min="12" max="12" width="30.06640625" bestFit="1" customWidth="1"/>
  </cols>
  <sheetData>
    <row r="2" spans="2:20" x14ac:dyDescent="0.45">
      <c r="B2" s="236" t="s">
        <v>167</v>
      </c>
      <c r="C2" s="237"/>
      <c r="D2" s="192">
        <v>43493</v>
      </c>
      <c r="H2" s="20"/>
    </row>
    <row r="3" spans="2:20" x14ac:dyDescent="0.45">
      <c r="B3" s="59" t="s">
        <v>0</v>
      </c>
      <c r="C3" s="60" t="s">
        <v>2</v>
      </c>
      <c r="D3" s="60" t="s">
        <v>3</v>
      </c>
      <c r="E3" s="60" t="s">
        <v>15</v>
      </c>
      <c r="F3" s="60" t="s">
        <v>16</v>
      </c>
      <c r="G3" s="60" t="s">
        <v>29</v>
      </c>
      <c r="H3" s="60" t="s">
        <v>1</v>
      </c>
      <c r="I3" s="61" t="s">
        <v>4</v>
      </c>
      <c r="K3" s="1"/>
      <c r="O3" s="14"/>
      <c r="P3" s="15"/>
      <c r="Q3" s="15"/>
      <c r="R3" s="15"/>
      <c r="S3" s="14"/>
      <c r="T3" s="15"/>
    </row>
    <row r="4" spans="2:20" x14ac:dyDescent="0.45">
      <c r="B4" s="48" t="s">
        <v>5</v>
      </c>
      <c r="C4" s="43" t="s">
        <v>175</v>
      </c>
      <c r="D4" s="44">
        <v>12.25</v>
      </c>
      <c r="E4" s="43">
        <v>1</v>
      </c>
      <c r="F4" s="45">
        <v>7500</v>
      </c>
      <c r="G4" s="45">
        <v>8500</v>
      </c>
      <c r="H4" s="45">
        <v>15000</v>
      </c>
      <c r="I4" s="50">
        <f>H4-F4</f>
        <v>7500</v>
      </c>
      <c r="K4" s="64" t="s">
        <v>0</v>
      </c>
      <c r="L4" s="65" t="s">
        <v>146</v>
      </c>
      <c r="O4" s="14"/>
      <c r="P4" s="15"/>
      <c r="Q4" s="15"/>
      <c r="R4" s="15"/>
      <c r="S4" s="15"/>
      <c r="T4" s="15"/>
    </row>
    <row r="5" spans="2:20" x14ac:dyDescent="0.45">
      <c r="B5" s="48"/>
      <c r="C5" s="47" t="s">
        <v>176</v>
      </c>
      <c r="D5" s="43">
        <v>16</v>
      </c>
      <c r="E5" s="43">
        <v>2</v>
      </c>
      <c r="F5" s="45">
        <v>15000</v>
      </c>
      <c r="G5" s="45">
        <v>8000</v>
      </c>
      <c r="H5" s="45">
        <v>60000</v>
      </c>
      <c r="I5" s="50">
        <f t="shared" ref="I5:I19" si="0">H5-F5</f>
        <v>45000</v>
      </c>
      <c r="J5" s="21"/>
      <c r="K5" s="66" t="s">
        <v>5</v>
      </c>
      <c r="L5" s="67" t="s">
        <v>10</v>
      </c>
      <c r="M5" s="15"/>
      <c r="N5" s="15"/>
      <c r="O5" s="14"/>
      <c r="P5" s="15"/>
      <c r="Q5" s="15"/>
      <c r="R5" s="15"/>
      <c r="S5" s="15"/>
      <c r="T5" s="15"/>
    </row>
    <row r="6" spans="2:20" x14ac:dyDescent="0.45">
      <c r="B6" s="48"/>
      <c r="C6" s="43" t="s">
        <v>177</v>
      </c>
      <c r="D6" s="43">
        <v>26</v>
      </c>
      <c r="E6" s="43">
        <v>1</v>
      </c>
      <c r="F6" s="45">
        <v>12500</v>
      </c>
      <c r="G6" s="45">
        <v>4000</v>
      </c>
      <c r="H6" s="45">
        <v>25000</v>
      </c>
      <c r="I6" s="50">
        <f t="shared" si="0"/>
        <v>12500</v>
      </c>
      <c r="K6" s="66" t="s">
        <v>6</v>
      </c>
      <c r="L6" s="67" t="s">
        <v>11</v>
      </c>
      <c r="M6" s="15"/>
      <c r="N6" s="15"/>
      <c r="O6" s="14"/>
      <c r="P6" s="15"/>
      <c r="Q6" s="15"/>
      <c r="R6" s="15"/>
      <c r="S6" s="15"/>
      <c r="T6" s="15"/>
    </row>
    <row r="7" spans="2:20" x14ac:dyDescent="0.45">
      <c r="B7" s="48"/>
      <c r="C7" s="43" t="s">
        <v>178</v>
      </c>
      <c r="D7" s="44">
        <v>8.5</v>
      </c>
      <c r="E7" s="43">
        <v>1</v>
      </c>
      <c r="F7" s="45">
        <v>8345</v>
      </c>
      <c r="G7" s="45">
        <v>13020</v>
      </c>
      <c r="H7" s="45">
        <v>25035</v>
      </c>
      <c r="I7" s="50">
        <f t="shared" si="0"/>
        <v>16690</v>
      </c>
      <c r="K7" s="66" t="s">
        <v>8</v>
      </c>
      <c r="L7" s="67" t="s">
        <v>12</v>
      </c>
      <c r="M7" s="15"/>
      <c r="N7" s="15"/>
    </row>
    <row r="8" spans="2:20" x14ac:dyDescent="0.45">
      <c r="B8" s="48" t="s">
        <v>6</v>
      </c>
      <c r="C8" s="47" t="s">
        <v>179</v>
      </c>
      <c r="D8" s="44">
        <v>26</v>
      </c>
      <c r="E8" s="43">
        <v>2</v>
      </c>
      <c r="F8" s="45">
        <v>28267.64</v>
      </c>
      <c r="G8" s="45">
        <v>8000</v>
      </c>
      <c r="H8" s="45">
        <v>141338.20000000001</v>
      </c>
      <c r="I8" s="50">
        <f t="shared" si="0"/>
        <v>113070.56000000001</v>
      </c>
      <c r="K8" s="66" t="s">
        <v>9</v>
      </c>
      <c r="L8" s="67" t="s">
        <v>13</v>
      </c>
      <c r="M8" s="15"/>
      <c r="N8" s="15"/>
    </row>
    <row r="9" spans="2:20" x14ac:dyDescent="0.45">
      <c r="B9" s="48" t="s">
        <v>8</v>
      </c>
      <c r="C9" s="43" t="s">
        <v>180</v>
      </c>
      <c r="D9" s="44">
        <v>6.125</v>
      </c>
      <c r="E9" s="43">
        <v>1</v>
      </c>
      <c r="F9" s="45">
        <v>11234</v>
      </c>
      <c r="G9" s="45">
        <v>12236</v>
      </c>
      <c r="H9" s="45">
        <v>44936</v>
      </c>
      <c r="I9" s="50">
        <f t="shared" si="0"/>
        <v>33702</v>
      </c>
      <c r="K9" s="66" t="s">
        <v>7</v>
      </c>
      <c r="L9" s="67" t="s">
        <v>14</v>
      </c>
      <c r="M9" s="15"/>
      <c r="N9" s="15"/>
    </row>
    <row r="10" spans="2:20" x14ac:dyDescent="0.45">
      <c r="B10" s="48"/>
      <c r="C10" s="47" t="s">
        <v>181</v>
      </c>
      <c r="D10" s="44">
        <v>16</v>
      </c>
      <c r="E10" s="43">
        <v>3</v>
      </c>
      <c r="F10" s="45">
        <v>15027.34</v>
      </c>
      <c r="G10" s="45">
        <f>31500*3</f>
        <v>94500</v>
      </c>
      <c r="H10" s="45">
        <v>60109.36</v>
      </c>
      <c r="I10" s="50">
        <f t="shared" si="0"/>
        <v>45082.020000000004</v>
      </c>
    </row>
    <row r="11" spans="2:20" x14ac:dyDescent="0.45">
      <c r="B11" s="48"/>
      <c r="C11" s="43" t="s">
        <v>182</v>
      </c>
      <c r="D11" s="44">
        <v>8.5</v>
      </c>
      <c r="E11" s="43">
        <v>2</v>
      </c>
      <c r="F11" s="45">
        <v>17913</v>
      </c>
      <c r="G11" s="45">
        <v>48000</v>
      </c>
      <c r="H11" s="45">
        <v>71652</v>
      </c>
      <c r="I11" s="50">
        <f t="shared" si="0"/>
        <v>53739</v>
      </c>
    </row>
    <row r="12" spans="2:20" x14ac:dyDescent="0.45">
      <c r="B12" s="48"/>
      <c r="C12" s="47" t="s">
        <v>183</v>
      </c>
      <c r="D12" s="44">
        <v>12.25</v>
      </c>
      <c r="E12" s="43">
        <v>2</v>
      </c>
      <c r="F12" s="45">
        <v>23854.639999999999</v>
      </c>
      <c r="G12" s="45">
        <v>47986</v>
      </c>
      <c r="H12" s="45">
        <v>119273.2</v>
      </c>
      <c r="I12" s="50">
        <f t="shared" si="0"/>
        <v>95418.559999999998</v>
      </c>
      <c r="J12" s="21"/>
      <c r="K12" s="5"/>
      <c r="L12" s="5"/>
    </row>
    <row r="13" spans="2:20" x14ac:dyDescent="0.45">
      <c r="B13" s="48"/>
      <c r="C13" s="43" t="s">
        <v>184</v>
      </c>
      <c r="D13" s="44">
        <v>12.25</v>
      </c>
      <c r="E13" s="43">
        <v>2</v>
      </c>
      <c r="F13" s="45">
        <v>22577.07</v>
      </c>
      <c r="G13" s="45">
        <f>55250*2</f>
        <v>110500</v>
      </c>
      <c r="H13" s="45">
        <v>67731.209999999992</v>
      </c>
      <c r="I13" s="50">
        <f t="shared" si="0"/>
        <v>45154.139999999992</v>
      </c>
    </row>
    <row r="14" spans="2:20" x14ac:dyDescent="0.45">
      <c r="B14" s="48"/>
      <c r="C14" s="47" t="s">
        <v>185</v>
      </c>
      <c r="D14" s="44">
        <v>8.5</v>
      </c>
      <c r="E14" s="43">
        <v>1</v>
      </c>
      <c r="F14" s="45">
        <v>13334</v>
      </c>
      <c r="G14" s="45">
        <v>44000</v>
      </c>
      <c r="H14" s="45">
        <v>66670</v>
      </c>
      <c r="I14" s="50">
        <f t="shared" si="0"/>
        <v>53336</v>
      </c>
    </row>
    <row r="15" spans="2:20" x14ac:dyDescent="0.45">
      <c r="B15" s="48" t="s">
        <v>9</v>
      </c>
      <c r="C15" s="43" t="s">
        <v>186</v>
      </c>
      <c r="D15" s="44">
        <v>8.5</v>
      </c>
      <c r="E15" s="43">
        <v>2</v>
      </c>
      <c r="F15" s="45">
        <v>14415.49</v>
      </c>
      <c r="G15" s="45">
        <v>41500</v>
      </c>
      <c r="H15" s="45">
        <v>57661.96</v>
      </c>
      <c r="I15" s="50">
        <f t="shared" si="0"/>
        <v>43246.47</v>
      </c>
    </row>
    <row r="16" spans="2:20" x14ac:dyDescent="0.45">
      <c r="B16" s="48"/>
      <c r="C16" s="43" t="s">
        <v>187</v>
      </c>
      <c r="D16" s="44">
        <v>8.5</v>
      </c>
      <c r="E16" s="43">
        <v>1</v>
      </c>
      <c r="F16" s="45">
        <v>15910.68</v>
      </c>
      <c r="G16" s="45">
        <v>16500</v>
      </c>
      <c r="H16" s="45">
        <v>79553.399999999994</v>
      </c>
      <c r="I16" s="50">
        <f t="shared" si="0"/>
        <v>63642.719999999994</v>
      </c>
    </row>
    <row r="17" spans="2:20" x14ac:dyDescent="0.45">
      <c r="B17" s="48"/>
      <c r="C17" s="43" t="s">
        <v>188</v>
      </c>
      <c r="D17" s="44">
        <v>12.25</v>
      </c>
      <c r="E17" s="43">
        <v>5</v>
      </c>
      <c r="F17" s="45">
        <v>25828.01</v>
      </c>
      <c r="G17" s="45">
        <v>312219</v>
      </c>
      <c r="H17" s="45">
        <v>103312.04</v>
      </c>
      <c r="I17" s="50">
        <f t="shared" si="0"/>
        <v>77484.03</v>
      </c>
      <c r="J17" s="21"/>
      <c r="L17" s="5"/>
    </row>
    <row r="18" spans="2:20" x14ac:dyDescent="0.45">
      <c r="B18" s="48"/>
      <c r="C18" s="43" t="s">
        <v>189</v>
      </c>
      <c r="D18" s="44">
        <v>8.5</v>
      </c>
      <c r="E18" s="43">
        <v>1</v>
      </c>
      <c r="F18" s="45">
        <v>16616.66</v>
      </c>
      <c r="G18" s="45">
        <v>23000</v>
      </c>
      <c r="H18" s="45">
        <v>33233.32</v>
      </c>
      <c r="I18" s="50">
        <f t="shared" si="0"/>
        <v>16616.66</v>
      </c>
    </row>
    <row r="19" spans="2:20" x14ac:dyDescent="0.45">
      <c r="B19" s="54"/>
      <c r="C19" s="43" t="s">
        <v>190</v>
      </c>
      <c r="D19" s="56">
        <v>12.25</v>
      </c>
      <c r="E19" s="55">
        <v>1</v>
      </c>
      <c r="F19" s="57">
        <v>24264.34</v>
      </c>
      <c r="G19" s="57">
        <v>29000</v>
      </c>
      <c r="H19" s="57">
        <v>48528.68</v>
      </c>
      <c r="I19" s="58">
        <f t="shared" si="0"/>
        <v>24264.34</v>
      </c>
    </row>
    <row r="20" spans="2:20" x14ac:dyDescent="0.45">
      <c r="B20" s="1"/>
      <c r="C20" s="16"/>
      <c r="D20" s="17"/>
      <c r="F20" s="20"/>
      <c r="G20" s="18"/>
      <c r="H20" s="18"/>
      <c r="I20" s="18"/>
      <c r="J20" s="5"/>
    </row>
    <row r="21" spans="2:20" x14ac:dyDescent="0.45">
      <c r="B21" s="1"/>
    </row>
    <row r="22" spans="2:20" x14ac:dyDescent="0.45">
      <c r="B22" s="2" t="s">
        <v>17</v>
      </c>
    </row>
    <row r="23" spans="2:20" x14ac:dyDescent="0.45">
      <c r="B23" s="19"/>
      <c r="C23" t="s">
        <v>7</v>
      </c>
      <c r="D23" s="3" t="s">
        <v>9</v>
      </c>
    </row>
    <row r="24" spans="2:20" x14ac:dyDescent="0.45">
      <c r="B24" t="s">
        <v>18</v>
      </c>
    </row>
    <row r="25" spans="2:20" x14ac:dyDescent="0.45">
      <c r="B25" s="11" t="s">
        <v>19</v>
      </c>
      <c r="C25" s="12" t="s">
        <v>23</v>
      </c>
      <c r="D25" s="6" t="s">
        <v>26</v>
      </c>
      <c r="E25" s="12" t="s">
        <v>24</v>
      </c>
      <c r="F25" s="6" t="s">
        <v>26</v>
      </c>
      <c r="G25" s="13" t="s">
        <v>27</v>
      </c>
      <c r="H25" s="13"/>
      <c r="I25" t="s">
        <v>28</v>
      </c>
      <c r="O25" s="14" t="s">
        <v>5</v>
      </c>
      <c r="P25" s="15" t="s">
        <v>10</v>
      </c>
      <c r="Q25" s="15"/>
      <c r="R25" s="15"/>
      <c r="S25" s="14"/>
      <c r="T25" s="15"/>
    </row>
    <row r="26" spans="2:20" x14ac:dyDescent="0.45">
      <c r="B26" t="s">
        <v>20</v>
      </c>
      <c r="C26" s="4">
        <v>7319</v>
      </c>
      <c r="D26" s="8">
        <f>C26/C$30</f>
        <v>0.28348439073514603</v>
      </c>
      <c r="E26" s="4">
        <v>6378</v>
      </c>
      <c r="F26" s="8">
        <f>E26/E$30</f>
        <v>0.32662467352895991</v>
      </c>
      <c r="G26" s="9">
        <f>1-(E26/C26)</f>
        <v>0.12856947670446783</v>
      </c>
      <c r="H26" s="9"/>
      <c r="I26" s="5">
        <v>0.16</v>
      </c>
      <c r="O26" s="14" t="s">
        <v>6</v>
      </c>
      <c r="P26" s="15" t="s">
        <v>11</v>
      </c>
      <c r="Q26" s="15"/>
      <c r="R26" s="15"/>
      <c r="S26" s="15"/>
      <c r="T26" s="15"/>
    </row>
    <row r="27" spans="2:20" x14ac:dyDescent="0.45">
      <c r="B27" t="s">
        <v>21</v>
      </c>
      <c r="C27" s="4">
        <f>C30-(C26+C28+C29)</f>
        <v>11799</v>
      </c>
      <c r="D27" s="8">
        <f>C27/C$30</f>
        <v>0.45700673948408088</v>
      </c>
      <c r="E27" s="4">
        <v>8849</v>
      </c>
      <c r="F27" s="8">
        <f>E27/E$30</f>
        <v>0.45316740922824805</v>
      </c>
      <c r="G27" s="9">
        <f>1-(E27/C27)</f>
        <v>0.25002118823629116</v>
      </c>
      <c r="H27" s="9"/>
      <c r="O27" s="14" t="s">
        <v>8</v>
      </c>
      <c r="P27" s="15" t="s">
        <v>12</v>
      </c>
      <c r="Q27" s="15"/>
      <c r="R27" s="15"/>
      <c r="S27" s="15"/>
      <c r="T27" s="15"/>
    </row>
    <row r="28" spans="2:20" x14ac:dyDescent="0.45">
      <c r="B28" t="s">
        <v>22</v>
      </c>
      <c r="C28" s="4">
        <v>3120</v>
      </c>
      <c r="D28" s="8">
        <f>C28/C$30</f>
        <v>0.12084592145015106</v>
      </c>
      <c r="E28" s="4">
        <v>2800</v>
      </c>
      <c r="F28" s="8">
        <f>E28/E$30</f>
        <v>0.143391201925539</v>
      </c>
      <c r="G28" s="9">
        <f>1-(E28/C28)</f>
        <v>0.10256410256410253</v>
      </c>
      <c r="H28" s="9"/>
      <c r="O28" s="14" t="s">
        <v>9</v>
      </c>
      <c r="P28" s="15" t="s">
        <v>13</v>
      </c>
      <c r="Q28" s="15"/>
      <c r="R28" s="15"/>
      <c r="S28" s="15"/>
      <c r="T28" s="15"/>
    </row>
    <row r="29" spans="2:20" x14ac:dyDescent="0.45">
      <c r="B29" t="s">
        <v>25</v>
      </c>
      <c r="C29" s="4">
        <v>3580</v>
      </c>
      <c r="D29" s="8">
        <f>C29/C$30</f>
        <v>0.13866294833062204</v>
      </c>
      <c r="E29" s="4">
        <v>1500</v>
      </c>
      <c r="F29" s="8">
        <f>E29/E$30</f>
        <v>7.6816715317253037E-2</v>
      </c>
      <c r="G29" s="9">
        <f>1-(E29/C29)</f>
        <v>0.58100558659217882</v>
      </c>
      <c r="H29" s="9"/>
      <c r="O29" s="14" t="s">
        <v>7</v>
      </c>
      <c r="P29" s="15" t="s">
        <v>14</v>
      </c>
      <c r="Q29" s="15"/>
      <c r="R29" s="15"/>
      <c r="S29" s="15"/>
      <c r="T29" s="15"/>
    </row>
    <row r="30" spans="2:20" x14ac:dyDescent="0.45">
      <c r="C30" s="4">
        <v>25818</v>
      </c>
      <c r="D30" s="7"/>
      <c r="E30" s="4">
        <f>SUM(E26:E29)</f>
        <v>19527</v>
      </c>
      <c r="F30" s="7"/>
      <c r="G30" s="10">
        <f>1-(E30/C30)</f>
        <v>0.24366720892400651</v>
      </c>
      <c r="H30" s="10"/>
    </row>
    <row r="33" spans="2:8" x14ac:dyDescent="0.45">
      <c r="B33" s="11"/>
      <c r="D33" s="3" t="s">
        <v>8</v>
      </c>
      <c r="G33" s="9">
        <v>0.38</v>
      </c>
      <c r="H33" s="9"/>
    </row>
    <row r="34" spans="2:8" x14ac:dyDescent="0.45">
      <c r="D34" s="3" t="s">
        <v>6</v>
      </c>
      <c r="G34" s="9">
        <v>0.4</v>
      </c>
      <c r="H34" s="9"/>
    </row>
    <row r="35" spans="2:8" x14ac:dyDescent="0.45">
      <c r="D35" s="3" t="s">
        <v>5</v>
      </c>
      <c r="G35" s="9">
        <v>0.45</v>
      </c>
      <c r="H35" s="9"/>
    </row>
    <row r="36" spans="2:8" x14ac:dyDescent="0.45">
      <c r="G36" s="9"/>
      <c r="H36" s="9"/>
    </row>
  </sheetData>
  <scenarios current="1" show="1">
    <scenario name="scenario 1" locked="1" count="4" user="Hernan Patricio Ulloa" comment="Created by Hernan Patricio Ulloa on 11/04/2021">
      <inputCells r="E26" val="6378" numFmtId="164"/>
      <inputCells r="E27" val="8849" numFmtId="164"/>
      <inputCells r="E28" val="2800" numFmtId="164"/>
      <inputCells r="E29" val="1500" numFmtId="164"/>
    </scenario>
    <scenario name="Escenario 2" locked="1" count="4" user="Hernan Patricio Ulloa" comment="Created by Hernan Patricio Ulloa on 11/04/2021">
      <inputCells r="E26" val="7319" numFmtId="164"/>
      <inputCells r="E27" val="11799" numFmtId="164"/>
      <inputCells r="E28" val="3120" numFmtId="164"/>
      <inputCells r="E29" val="3580" numFmtId="164"/>
    </scenario>
  </scenarios>
  <mergeCells count="1">
    <mergeCell ref="B2: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736D-9574-4545-BD7E-D89A6649F908}">
  <dimension ref="B2:O30"/>
  <sheetViews>
    <sheetView topLeftCell="B10" zoomScale="110" zoomScaleNormal="110" workbookViewId="0">
      <selection activeCell="D33" sqref="D33"/>
    </sheetView>
  </sheetViews>
  <sheetFormatPr defaultRowHeight="14.25" x14ac:dyDescent="0.45"/>
  <cols>
    <col min="2" max="2" width="9.46484375" customWidth="1"/>
    <col min="4" max="4" width="13.86328125" bestFit="1" customWidth="1"/>
    <col min="5" max="5" width="13.3984375" bestFit="1" customWidth="1"/>
    <col min="6" max="6" width="12.59765625" bestFit="1" customWidth="1"/>
    <col min="7" max="8" width="11.86328125" bestFit="1" customWidth="1"/>
    <col min="9" max="9" width="15.06640625" customWidth="1"/>
    <col min="10" max="10" width="15.73046875" bestFit="1" customWidth="1"/>
    <col min="11" max="11" width="12.06640625" customWidth="1"/>
    <col min="12" max="12" width="14.6640625" customWidth="1"/>
    <col min="15" max="15" width="5.53125" bestFit="1" customWidth="1"/>
  </cols>
  <sheetData>
    <row r="2" spans="2:15" x14ac:dyDescent="0.45">
      <c r="B2" s="51" t="s">
        <v>0</v>
      </c>
      <c r="C2" s="52" t="s">
        <v>195</v>
      </c>
      <c r="D2" s="52" t="s">
        <v>2</v>
      </c>
      <c r="E2" s="52" t="s">
        <v>3</v>
      </c>
      <c r="F2" s="52" t="s">
        <v>31</v>
      </c>
      <c r="G2" s="52" t="s">
        <v>51</v>
      </c>
      <c r="H2" s="52" t="s">
        <v>16</v>
      </c>
      <c r="I2" s="52" t="s">
        <v>44</v>
      </c>
      <c r="J2" s="52" t="s">
        <v>1</v>
      </c>
      <c r="K2" s="52" t="s">
        <v>155</v>
      </c>
      <c r="L2" s="53" t="s">
        <v>154</v>
      </c>
    </row>
    <row r="3" spans="2:15" x14ac:dyDescent="0.45">
      <c r="B3" s="48" t="s">
        <v>6</v>
      </c>
      <c r="C3" s="121" t="s">
        <v>46</v>
      </c>
      <c r="D3" s="43" t="s">
        <v>6</v>
      </c>
      <c r="E3" s="43">
        <v>26</v>
      </c>
      <c r="F3" s="43">
        <v>5</v>
      </c>
      <c r="G3" s="46">
        <f>AVERAGE(JAN!F8,FEB!F8,MAR!F5)</f>
        <v>28267.64</v>
      </c>
      <c r="H3" s="46">
        <f>G3*F3</f>
        <v>141338.20000000001</v>
      </c>
      <c r="I3" s="46">
        <f>AVERAGE(JAN!H8,FEB!H8,MAR!H5)</f>
        <v>84802.92</v>
      </c>
      <c r="J3" s="46">
        <f>I3*F3</f>
        <v>424014.6</v>
      </c>
      <c r="K3" s="46">
        <f>J3-H3</f>
        <v>282676.39999999997</v>
      </c>
      <c r="L3" s="122">
        <f>K3/J3</f>
        <v>0.66666666666666663</v>
      </c>
    </row>
    <row r="4" spans="2:15" x14ac:dyDescent="0.45">
      <c r="B4" s="123"/>
      <c r="C4" s="43" t="s">
        <v>47</v>
      </c>
      <c r="D4" s="43" t="s">
        <v>6</v>
      </c>
      <c r="E4" s="43">
        <v>16</v>
      </c>
      <c r="F4" s="43">
        <v>1</v>
      </c>
      <c r="G4" s="46">
        <f>AVERAGE(FEB!F9)</f>
        <v>8140</v>
      </c>
      <c r="H4" s="46">
        <f>G4*F4</f>
        <v>8140</v>
      </c>
      <c r="I4" s="46">
        <f>AVERAGE(FEB!H9)</f>
        <v>16280</v>
      </c>
      <c r="J4" s="46">
        <f>I4*F4</f>
        <v>16280</v>
      </c>
      <c r="K4" s="46">
        <f>J4-H4</f>
        <v>8140</v>
      </c>
      <c r="L4" s="122">
        <f t="shared" ref="L4:L5" si="0">K4/J4</f>
        <v>0.5</v>
      </c>
    </row>
    <row r="5" spans="2:15" x14ac:dyDescent="0.45">
      <c r="B5" s="124" t="s">
        <v>147</v>
      </c>
      <c r="C5" s="55"/>
      <c r="D5" s="55"/>
      <c r="E5" s="55"/>
      <c r="F5" s="125">
        <f>SUM(F3:F4)</f>
        <v>6</v>
      </c>
      <c r="G5" s="125"/>
      <c r="H5" s="127">
        <f>SUM(H3:H4)</f>
        <v>149478.20000000001</v>
      </c>
      <c r="I5" s="125"/>
      <c r="J5" s="128">
        <f>SUM(J3:J4)</f>
        <v>440294.6</v>
      </c>
      <c r="K5" s="127">
        <f>SUM(K3:K4)</f>
        <v>290816.39999999997</v>
      </c>
      <c r="L5" s="130">
        <f t="shared" si="0"/>
        <v>0.66050412610102416</v>
      </c>
    </row>
    <row r="6" spans="2:15" x14ac:dyDescent="0.45">
      <c r="L6" s="5"/>
    </row>
    <row r="7" spans="2:15" x14ac:dyDescent="0.45">
      <c r="L7" s="5"/>
      <c r="M7" s="131"/>
      <c r="N7" s="131" t="s">
        <v>49</v>
      </c>
      <c r="O7" s="131"/>
    </row>
    <row r="8" spans="2:15" ht="14.65" thickBot="1" x14ac:dyDescent="0.5">
      <c r="D8" s="155" t="s">
        <v>145</v>
      </c>
      <c r="E8" s="156">
        <v>440294.6</v>
      </c>
      <c r="F8" s="157"/>
      <c r="G8" s="158"/>
      <c r="J8" s="131" t="s">
        <v>154</v>
      </c>
      <c r="K8" s="154">
        <f>H5/J5</f>
        <v>0.33949587389897584</v>
      </c>
      <c r="M8" s="166"/>
      <c r="N8" s="167" t="s">
        <v>26</v>
      </c>
      <c r="O8" s="168" t="s">
        <v>137</v>
      </c>
    </row>
    <row r="9" spans="2:15" ht="14.65" thickTop="1" x14ac:dyDescent="0.45">
      <c r="D9" s="159" t="s">
        <v>39</v>
      </c>
      <c r="E9" s="160" t="s">
        <v>56</v>
      </c>
      <c r="F9" s="161" t="s">
        <v>83</v>
      </c>
      <c r="G9" s="162">
        <v>5</v>
      </c>
      <c r="J9" s="131" t="s">
        <v>155</v>
      </c>
      <c r="K9" s="154">
        <f>J5-H5</f>
        <v>290816.39999999997</v>
      </c>
      <c r="M9" s="169" t="s">
        <v>135</v>
      </c>
      <c r="N9" s="170">
        <f>1-(E8/J5)</f>
        <v>0</v>
      </c>
      <c r="O9" s="171">
        <f>J5-J21</f>
        <v>0</v>
      </c>
    </row>
    <row r="10" spans="2:15" x14ac:dyDescent="0.45">
      <c r="D10" s="163"/>
      <c r="E10" s="164" t="s">
        <v>40</v>
      </c>
      <c r="F10" s="161" t="s">
        <v>83</v>
      </c>
      <c r="G10" s="162">
        <v>1</v>
      </c>
      <c r="M10" s="169" t="s">
        <v>4</v>
      </c>
      <c r="N10" s="170">
        <f>1-(K25/K9)</f>
        <v>0</v>
      </c>
      <c r="O10" s="171">
        <f>K9-K25</f>
        <v>0</v>
      </c>
    </row>
    <row r="11" spans="2:15" x14ac:dyDescent="0.45">
      <c r="D11" s="163"/>
      <c r="E11" s="164" t="s">
        <v>144</v>
      </c>
      <c r="F11" s="161" t="s">
        <v>38</v>
      </c>
      <c r="G11" s="162">
        <v>0</v>
      </c>
      <c r="H11" s="5"/>
      <c r="M11" s="169" t="s">
        <v>15</v>
      </c>
      <c r="N11" s="170">
        <f>1-(F21/F5)</f>
        <v>0</v>
      </c>
      <c r="O11" s="172">
        <f>F5-F21</f>
        <v>0</v>
      </c>
    </row>
    <row r="18" spans="2:12" x14ac:dyDescent="0.45">
      <c r="B18" s="131" t="s">
        <v>0</v>
      </c>
      <c r="C18" s="131" t="s">
        <v>195</v>
      </c>
      <c r="D18" s="131" t="s">
        <v>2</v>
      </c>
      <c r="E18" s="131" t="s">
        <v>3</v>
      </c>
      <c r="F18" s="131" t="s">
        <v>31</v>
      </c>
      <c r="G18" s="131" t="s">
        <v>51</v>
      </c>
      <c r="H18" s="131" t="s">
        <v>16</v>
      </c>
      <c r="I18" s="131" t="s">
        <v>44</v>
      </c>
      <c r="J18" s="131" t="s">
        <v>1</v>
      </c>
      <c r="K18" s="131" t="s">
        <v>55</v>
      </c>
      <c r="L18" s="131" t="s">
        <v>136</v>
      </c>
    </row>
    <row r="19" spans="2:12" x14ac:dyDescent="0.45">
      <c r="B19" s="69" t="s">
        <v>6</v>
      </c>
      <c r="C19" s="70" t="s">
        <v>46</v>
      </c>
      <c r="D19" s="70" t="s">
        <v>6</v>
      </c>
      <c r="E19" s="70">
        <v>26</v>
      </c>
      <c r="F19" s="70">
        <v>5</v>
      </c>
      <c r="G19" s="73">
        <v>28267.64</v>
      </c>
      <c r="H19" s="73">
        <v>141338.20000000001</v>
      </c>
      <c r="I19" s="73">
        <v>84802.92</v>
      </c>
      <c r="J19" s="73">
        <v>424014.6</v>
      </c>
      <c r="K19" s="73">
        <f>J19-H19</f>
        <v>282676.39999999997</v>
      </c>
      <c r="L19" s="132">
        <f>K19/J19</f>
        <v>0.66666666666666663</v>
      </c>
    </row>
    <row r="20" spans="2:12" x14ac:dyDescent="0.45">
      <c r="B20" s="69"/>
      <c r="C20" s="70" t="s">
        <v>47</v>
      </c>
      <c r="D20" s="70" t="s">
        <v>6</v>
      </c>
      <c r="E20" s="70">
        <v>16</v>
      </c>
      <c r="F20" s="70">
        <v>1</v>
      </c>
      <c r="G20" s="73">
        <v>8140</v>
      </c>
      <c r="H20" s="73">
        <v>8140</v>
      </c>
      <c r="I20" s="73">
        <v>16280</v>
      </c>
      <c r="J20" s="73">
        <v>16280</v>
      </c>
      <c r="K20" s="73">
        <f>J20-H20</f>
        <v>8140</v>
      </c>
      <c r="L20" s="132">
        <f t="shared" ref="L20:L21" si="1">K20/J20</f>
        <v>0.5</v>
      </c>
    </row>
    <row r="21" spans="2:12" x14ac:dyDescent="0.45">
      <c r="B21" s="69" t="s">
        <v>147</v>
      </c>
      <c r="C21" s="70"/>
      <c r="D21" s="70"/>
      <c r="E21" s="70"/>
      <c r="F21" s="133">
        <f>SUM(F19:F20)</f>
        <v>6</v>
      </c>
      <c r="G21" s="133"/>
      <c r="H21" s="134">
        <f>SUM(H19:H20)</f>
        <v>149478.20000000001</v>
      </c>
      <c r="I21" s="133"/>
      <c r="J21" s="135">
        <v>440294.6</v>
      </c>
      <c r="K21" s="134">
        <f>SUM(K19:K20)</f>
        <v>290816.39999999997</v>
      </c>
      <c r="L21" s="137">
        <f t="shared" si="1"/>
        <v>0.66050412610102416</v>
      </c>
    </row>
    <row r="24" spans="2:12" x14ac:dyDescent="0.45">
      <c r="J24" s="131" t="s">
        <v>154</v>
      </c>
      <c r="K24" s="154">
        <f>H21/J21</f>
        <v>0.33949587389897584</v>
      </c>
    </row>
    <row r="25" spans="2:12" x14ac:dyDescent="0.45">
      <c r="J25" s="131" t="s">
        <v>155</v>
      </c>
      <c r="K25" s="154">
        <f>J21-H21</f>
        <v>290816.39999999997</v>
      </c>
    </row>
    <row r="28" spans="2:12" x14ac:dyDescent="0.45">
      <c r="F28" s="173"/>
      <c r="G28" s="174" t="s">
        <v>138</v>
      </c>
      <c r="H28" s="107" t="s">
        <v>156</v>
      </c>
      <c r="I28" s="107" t="s">
        <v>153</v>
      </c>
    </row>
    <row r="29" spans="2:12" x14ac:dyDescent="0.45">
      <c r="F29" s="175" t="s">
        <v>140</v>
      </c>
      <c r="G29" s="176">
        <v>440294.6</v>
      </c>
      <c r="H29" s="176">
        <v>290816.39999999997</v>
      </c>
      <c r="I29" s="177">
        <v>0.33949587389897584</v>
      </c>
    </row>
    <row r="30" spans="2:12" x14ac:dyDescent="0.45">
      <c r="F30" s="175" t="s">
        <v>139</v>
      </c>
      <c r="G30" s="176">
        <v>440294.6</v>
      </c>
      <c r="H30" s="176">
        <v>290816.39999999997</v>
      </c>
      <c r="I30" s="177">
        <v>0.33949587389897584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AFF9-50CE-4557-A810-22FFB1764857}">
  <dimension ref="A1:G43"/>
  <sheetViews>
    <sheetView showGridLines="0" workbookViewId="0"/>
  </sheetViews>
  <sheetFormatPr defaultRowHeight="14.25" outlineLevelRow="1" x14ac:dyDescent="0.45"/>
  <cols>
    <col min="1" max="1" width="2.1328125" customWidth="1"/>
    <col min="2" max="2" width="4.59765625" bestFit="1" customWidth="1"/>
    <col min="3" max="3" width="13.265625" bestFit="1" customWidth="1"/>
    <col min="4" max="4" width="12.1328125" bestFit="1" customWidth="1"/>
    <col min="5" max="5" width="11.86328125" bestFit="1" customWidth="1"/>
    <col min="6" max="6" width="10.06640625" bestFit="1" customWidth="1"/>
    <col min="7" max="7" width="4.796875" bestFit="1" customWidth="1"/>
  </cols>
  <sheetData>
    <row r="1" spans="1:5" x14ac:dyDescent="0.45">
      <c r="A1" s="1" t="s">
        <v>57</v>
      </c>
    </row>
    <row r="2" spans="1:5" x14ac:dyDescent="0.45">
      <c r="A2" s="1" t="s">
        <v>123</v>
      </c>
    </row>
    <row r="3" spans="1:5" x14ac:dyDescent="0.45">
      <c r="A3" s="1" t="s">
        <v>124</v>
      </c>
    </row>
    <row r="4" spans="1:5" x14ac:dyDescent="0.45">
      <c r="A4" s="1" t="s">
        <v>59</v>
      </c>
    </row>
    <row r="5" spans="1:5" x14ac:dyDescent="0.45">
      <c r="A5" s="1" t="s">
        <v>60</v>
      </c>
    </row>
    <row r="6" spans="1:5" hidden="1" outlineLevel="1" x14ac:dyDescent="0.45">
      <c r="A6" s="1"/>
      <c r="B6" t="s">
        <v>61</v>
      </c>
    </row>
    <row r="7" spans="1:5" hidden="1" outlineLevel="1" x14ac:dyDescent="0.45">
      <c r="A7" s="1"/>
      <c r="B7" t="s">
        <v>116</v>
      </c>
    </row>
    <row r="8" spans="1:5" hidden="1" outlineLevel="1" x14ac:dyDescent="0.45">
      <c r="A8" s="1"/>
      <c r="B8" t="s">
        <v>62</v>
      </c>
    </row>
    <row r="9" spans="1:5" collapsed="1" x14ac:dyDescent="0.45">
      <c r="A9" s="1" t="s">
        <v>63</v>
      </c>
    </row>
    <row r="10" spans="1:5" hidden="1" outlineLevel="1" x14ac:dyDescent="0.45">
      <c r="B10" t="s">
        <v>64</v>
      </c>
    </row>
    <row r="11" spans="1:5" hidden="1" outlineLevel="1" x14ac:dyDescent="0.45">
      <c r="B11" t="s">
        <v>65</v>
      </c>
    </row>
    <row r="12" spans="1:5" hidden="1" outlineLevel="1" x14ac:dyDescent="0.45">
      <c r="B12" t="s">
        <v>66</v>
      </c>
    </row>
    <row r="13" spans="1:5" collapsed="1" x14ac:dyDescent="0.45"/>
    <row r="14" spans="1:5" ht="14.65" thickBot="1" x14ac:dyDescent="0.5">
      <c r="A14" t="s">
        <v>84</v>
      </c>
    </row>
    <row r="15" spans="1:5" ht="14.65" thickBot="1" x14ac:dyDescent="0.5">
      <c r="B15" s="36" t="s">
        <v>32</v>
      </c>
      <c r="C15" s="36" t="s">
        <v>33</v>
      </c>
      <c r="D15" s="36" t="s">
        <v>67</v>
      </c>
      <c r="E15" s="36" t="s">
        <v>68</v>
      </c>
    </row>
    <row r="16" spans="1:5" ht="14.65" thickBot="1" x14ac:dyDescent="0.5">
      <c r="B16" s="27" t="s">
        <v>93</v>
      </c>
      <c r="C16" s="27" t="s">
        <v>1</v>
      </c>
      <c r="D16" s="30">
        <v>582667</v>
      </c>
      <c r="E16" s="30">
        <v>582667</v>
      </c>
    </row>
    <row r="19" spans="1:7" ht="14.65" thickBot="1" x14ac:dyDescent="0.5">
      <c r="A19" t="s">
        <v>69</v>
      </c>
    </row>
    <row r="20" spans="1:7" ht="14.65" thickBot="1" x14ac:dyDescent="0.5">
      <c r="B20" s="36" t="s">
        <v>32</v>
      </c>
      <c r="C20" s="36" t="s">
        <v>33</v>
      </c>
      <c r="D20" s="36" t="s">
        <v>67</v>
      </c>
      <c r="E20" s="36" t="s">
        <v>68</v>
      </c>
      <c r="F20" s="36" t="s">
        <v>70</v>
      </c>
    </row>
    <row r="21" spans="1:7" x14ac:dyDescent="0.45">
      <c r="B21" s="35" t="s">
        <v>133</v>
      </c>
      <c r="C21" s="37"/>
      <c r="D21" s="37"/>
      <c r="E21" s="37"/>
      <c r="F21" s="37"/>
    </row>
    <row r="22" spans="1:7" hidden="1" outlineLevel="1" x14ac:dyDescent="0.45">
      <c r="B22" s="29" t="s">
        <v>73</v>
      </c>
      <c r="C22" s="29" t="s">
        <v>125</v>
      </c>
      <c r="D22" s="38">
        <v>1</v>
      </c>
      <c r="E22" s="38">
        <v>1</v>
      </c>
      <c r="F22" s="29" t="s">
        <v>75</v>
      </c>
    </row>
    <row r="23" spans="1:7" hidden="1" outlineLevel="1" x14ac:dyDescent="0.45">
      <c r="B23" s="29" t="s">
        <v>76</v>
      </c>
      <c r="C23" s="29" t="s">
        <v>125</v>
      </c>
      <c r="D23" s="38">
        <v>6</v>
      </c>
      <c r="E23" s="38">
        <v>6</v>
      </c>
      <c r="F23" s="29" t="s">
        <v>75</v>
      </c>
    </row>
    <row r="24" spans="1:7" hidden="1" outlineLevel="1" x14ac:dyDescent="0.45">
      <c r="B24" s="29" t="s">
        <v>78</v>
      </c>
      <c r="C24" s="29" t="s">
        <v>126</v>
      </c>
      <c r="D24" s="38">
        <v>2</v>
      </c>
      <c r="E24" s="38">
        <v>2</v>
      </c>
      <c r="F24" s="29" t="s">
        <v>75</v>
      </c>
    </row>
    <row r="25" spans="1:7" hidden="1" outlineLevel="1" x14ac:dyDescent="0.45">
      <c r="B25" s="29" t="s">
        <v>96</v>
      </c>
      <c r="C25" s="29" t="s">
        <v>127</v>
      </c>
      <c r="D25" s="38">
        <v>2</v>
      </c>
      <c r="E25" s="38">
        <v>2</v>
      </c>
      <c r="F25" s="29" t="s">
        <v>75</v>
      </c>
    </row>
    <row r="26" spans="1:7" ht="14.65" hidden="1" outlineLevel="1" thickBot="1" x14ac:dyDescent="0.5">
      <c r="B26" s="27" t="s">
        <v>98</v>
      </c>
      <c r="C26" s="27" t="s">
        <v>128</v>
      </c>
      <c r="D26" s="39">
        <v>6</v>
      </c>
      <c r="E26" s="39">
        <v>6</v>
      </c>
      <c r="F26" s="27" t="s">
        <v>75</v>
      </c>
    </row>
    <row r="27" spans="1:7" collapsed="1" x14ac:dyDescent="0.45">
      <c r="B27" s="28"/>
      <c r="C27" s="28"/>
      <c r="D27" s="40"/>
      <c r="E27" s="40"/>
      <c r="F27" s="28"/>
    </row>
    <row r="30" spans="1:7" ht="14.65" thickBot="1" x14ac:dyDescent="0.5">
      <c r="A30" t="s">
        <v>71</v>
      </c>
    </row>
    <row r="31" spans="1:7" ht="14.65" thickBot="1" x14ac:dyDescent="0.5">
      <c r="B31" s="36" t="s">
        <v>32</v>
      </c>
      <c r="C31" s="36" t="s">
        <v>33</v>
      </c>
      <c r="D31" s="36" t="s">
        <v>34</v>
      </c>
      <c r="E31" s="36" t="s">
        <v>35</v>
      </c>
      <c r="F31" s="36" t="s">
        <v>36</v>
      </c>
      <c r="G31" s="36" t="s">
        <v>37</v>
      </c>
    </row>
    <row r="32" spans="1:7" x14ac:dyDescent="0.45">
      <c r="B32" s="29" t="s">
        <v>73</v>
      </c>
      <c r="C32" s="29" t="s">
        <v>125</v>
      </c>
      <c r="D32" s="38">
        <v>1</v>
      </c>
      <c r="E32" s="29" t="s">
        <v>86</v>
      </c>
      <c r="F32" s="29" t="s">
        <v>80</v>
      </c>
      <c r="G32" s="29">
        <v>0</v>
      </c>
    </row>
    <row r="33" spans="2:7" x14ac:dyDescent="0.45">
      <c r="B33" s="41" t="s">
        <v>134</v>
      </c>
      <c r="C33" s="29"/>
      <c r="D33" s="38"/>
      <c r="E33" s="29"/>
      <c r="F33" s="29"/>
      <c r="G33" s="29"/>
    </row>
    <row r="34" spans="2:7" hidden="1" outlineLevel="1" x14ac:dyDescent="0.45">
      <c r="B34" s="29" t="s">
        <v>73</v>
      </c>
      <c r="C34" s="29" t="s">
        <v>125</v>
      </c>
      <c r="D34" s="38">
        <v>1</v>
      </c>
      <c r="E34" s="29" t="s">
        <v>113</v>
      </c>
      <c r="F34" s="29" t="s">
        <v>81</v>
      </c>
      <c r="G34" s="38">
        <v>1</v>
      </c>
    </row>
    <row r="35" spans="2:7" hidden="1" outlineLevel="1" x14ac:dyDescent="0.45">
      <c r="B35" s="29" t="s">
        <v>76</v>
      </c>
      <c r="C35" s="29" t="s">
        <v>125</v>
      </c>
      <c r="D35" s="38">
        <v>6</v>
      </c>
      <c r="E35" s="29" t="s">
        <v>102</v>
      </c>
      <c r="F35" s="29" t="s">
        <v>81</v>
      </c>
      <c r="G35" s="38">
        <v>6</v>
      </c>
    </row>
    <row r="36" spans="2:7" hidden="1" outlineLevel="1" x14ac:dyDescent="0.45">
      <c r="B36" s="29" t="s">
        <v>78</v>
      </c>
      <c r="C36" s="29" t="s">
        <v>126</v>
      </c>
      <c r="D36" s="38">
        <v>2</v>
      </c>
      <c r="E36" s="29" t="s">
        <v>103</v>
      </c>
      <c r="F36" s="29" t="s">
        <v>81</v>
      </c>
      <c r="G36" s="38">
        <v>2</v>
      </c>
    </row>
    <row r="37" spans="2:7" hidden="1" outlineLevel="1" x14ac:dyDescent="0.45">
      <c r="B37" s="29" t="s">
        <v>96</v>
      </c>
      <c r="C37" s="29" t="s">
        <v>127</v>
      </c>
      <c r="D37" s="38">
        <v>2</v>
      </c>
      <c r="E37" s="29" t="s">
        <v>104</v>
      </c>
      <c r="F37" s="29" t="s">
        <v>81</v>
      </c>
      <c r="G37" s="38">
        <v>2</v>
      </c>
    </row>
    <row r="38" spans="2:7" hidden="1" outlineLevel="1" x14ac:dyDescent="0.45">
      <c r="B38" s="29" t="s">
        <v>98</v>
      </c>
      <c r="C38" s="29" t="s">
        <v>128</v>
      </c>
      <c r="D38" s="38">
        <v>6</v>
      </c>
      <c r="E38" s="29" t="s">
        <v>105</v>
      </c>
      <c r="F38" s="29" t="s">
        <v>81</v>
      </c>
      <c r="G38" s="38">
        <v>6</v>
      </c>
    </row>
    <row r="39" spans="2:7" collapsed="1" x14ac:dyDescent="0.45">
      <c r="B39" s="29"/>
      <c r="C39" s="29"/>
      <c r="D39" s="38"/>
      <c r="E39" s="29"/>
      <c r="F39" s="29"/>
      <c r="G39" s="38"/>
    </row>
    <row r="40" spans="2:7" x14ac:dyDescent="0.45">
      <c r="B40" s="29" t="s">
        <v>76</v>
      </c>
      <c r="C40" s="29" t="s">
        <v>125</v>
      </c>
      <c r="D40" s="38">
        <v>6</v>
      </c>
      <c r="E40" s="29" t="s">
        <v>129</v>
      </c>
      <c r="F40" s="29" t="s">
        <v>80</v>
      </c>
      <c r="G40" s="29">
        <v>0</v>
      </c>
    </row>
    <row r="41" spans="2:7" x14ac:dyDescent="0.45">
      <c r="B41" s="29" t="s">
        <v>78</v>
      </c>
      <c r="C41" s="29" t="s">
        <v>126</v>
      </c>
      <c r="D41" s="38">
        <v>2</v>
      </c>
      <c r="E41" s="29" t="s">
        <v>130</v>
      </c>
      <c r="F41" s="29" t="s">
        <v>80</v>
      </c>
      <c r="G41" s="29">
        <v>0</v>
      </c>
    </row>
    <row r="42" spans="2:7" x14ac:dyDescent="0.45">
      <c r="B42" s="29" t="s">
        <v>96</v>
      </c>
      <c r="C42" s="29" t="s">
        <v>127</v>
      </c>
      <c r="D42" s="38">
        <v>2</v>
      </c>
      <c r="E42" s="29" t="s">
        <v>131</v>
      </c>
      <c r="F42" s="29" t="s">
        <v>80</v>
      </c>
      <c r="G42" s="29">
        <v>0</v>
      </c>
    </row>
    <row r="43" spans="2:7" ht="14.65" thickBot="1" x14ac:dyDescent="0.5">
      <c r="B43" s="27" t="s">
        <v>98</v>
      </c>
      <c r="C43" s="27" t="s">
        <v>128</v>
      </c>
      <c r="D43" s="39">
        <v>6</v>
      </c>
      <c r="E43" s="27" t="s">
        <v>132</v>
      </c>
      <c r="F43" s="27" t="s">
        <v>80</v>
      </c>
      <c r="G43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FD60-ABB9-4D83-9E23-D580F9B46C71}">
  <dimension ref="B2:O35"/>
  <sheetViews>
    <sheetView topLeftCell="A28" workbookViewId="0">
      <selection activeCell="L46" sqref="L46"/>
    </sheetView>
  </sheetViews>
  <sheetFormatPr defaultRowHeight="14.25" x14ac:dyDescent="0.45"/>
  <cols>
    <col min="2" max="2" width="9.46484375" customWidth="1"/>
    <col min="5" max="5" width="14.53125" bestFit="1" customWidth="1"/>
    <col min="7" max="7" width="13.06640625" bestFit="1" customWidth="1"/>
    <col min="8" max="8" width="11.86328125" bestFit="1" customWidth="1"/>
    <col min="9" max="9" width="15.06640625" customWidth="1"/>
    <col min="10" max="10" width="15.73046875" bestFit="1" customWidth="1"/>
    <col min="11" max="11" width="12.06640625" customWidth="1"/>
    <col min="12" max="12" width="14.6640625" customWidth="1"/>
  </cols>
  <sheetData>
    <row r="2" spans="2:15" x14ac:dyDescent="0.45">
      <c r="B2" s="51" t="s">
        <v>0</v>
      </c>
      <c r="C2" s="52" t="s">
        <v>195</v>
      </c>
      <c r="D2" s="52" t="s">
        <v>2</v>
      </c>
      <c r="E2" s="52" t="s">
        <v>3</v>
      </c>
      <c r="F2" s="52" t="s">
        <v>31</v>
      </c>
      <c r="G2" s="52" t="s">
        <v>51</v>
      </c>
      <c r="H2" s="52" t="s">
        <v>16</v>
      </c>
      <c r="I2" s="52" t="s">
        <v>44</v>
      </c>
      <c r="J2" s="52" t="s">
        <v>1</v>
      </c>
      <c r="K2" s="52" t="s">
        <v>155</v>
      </c>
      <c r="L2" s="53" t="s">
        <v>154</v>
      </c>
    </row>
    <row r="3" spans="2:15" x14ac:dyDescent="0.45">
      <c r="B3" s="48" t="s">
        <v>5</v>
      </c>
      <c r="C3" s="121" t="s">
        <v>46</v>
      </c>
      <c r="D3" s="43" t="s">
        <v>5</v>
      </c>
      <c r="E3" s="44">
        <v>26</v>
      </c>
      <c r="F3" s="43">
        <v>1</v>
      </c>
      <c r="G3" s="46">
        <f>AVERAGE(JAN!F6)</f>
        <v>12500</v>
      </c>
      <c r="H3" s="46">
        <f>G3*F3</f>
        <v>12500</v>
      </c>
      <c r="I3" s="46">
        <f>AVERAGE(JAN!H6)</f>
        <v>25000</v>
      </c>
      <c r="J3" s="46">
        <f>I3*F3</f>
        <v>25000</v>
      </c>
      <c r="K3" s="46">
        <f>J3-H3</f>
        <v>12500</v>
      </c>
      <c r="L3" s="122">
        <f>K3/J3</f>
        <v>0.5</v>
      </c>
    </row>
    <row r="4" spans="2:15" x14ac:dyDescent="0.45">
      <c r="B4" s="123"/>
      <c r="C4" s="43" t="s">
        <v>47</v>
      </c>
      <c r="D4" s="43" t="s">
        <v>5</v>
      </c>
      <c r="E4" s="44">
        <v>16</v>
      </c>
      <c r="F4" s="43">
        <v>6</v>
      </c>
      <c r="G4" s="46">
        <f>AVERAGE(JAN!F5,FEB!F6,MAR!F4)</f>
        <v>15000</v>
      </c>
      <c r="H4" s="46">
        <f t="shared" ref="H4:H7" si="0">G4*F4</f>
        <v>90000</v>
      </c>
      <c r="I4" s="46">
        <f>AVERAGE(JAN!H5,FEB!H6,MAR!H4)</f>
        <v>55000</v>
      </c>
      <c r="J4" s="46">
        <f t="shared" ref="J4:J7" si="1">I4*F4</f>
        <v>330000</v>
      </c>
      <c r="K4" s="46">
        <f t="shared" ref="K4:K7" si="2">J4-H4</f>
        <v>240000</v>
      </c>
      <c r="L4" s="122">
        <f t="shared" ref="L4:L8" si="3">K4/J4</f>
        <v>0.72727272727272729</v>
      </c>
    </row>
    <row r="5" spans="2:15" x14ac:dyDescent="0.45">
      <c r="B5" s="123"/>
      <c r="C5" s="43" t="s">
        <v>48</v>
      </c>
      <c r="D5" s="43" t="s">
        <v>5</v>
      </c>
      <c r="E5" s="44">
        <v>12.25</v>
      </c>
      <c r="F5" s="43">
        <v>2</v>
      </c>
      <c r="G5" s="46">
        <f>AVERAGE(JAN!F4,FEB!F5)</f>
        <v>11250</v>
      </c>
      <c r="H5" s="46">
        <f t="shared" si="0"/>
        <v>22500</v>
      </c>
      <c r="I5" s="46">
        <f>AVERAGE(JAN!H4,FEB!H5)</f>
        <v>45000</v>
      </c>
      <c r="J5" s="46">
        <f t="shared" si="1"/>
        <v>90000</v>
      </c>
      <c r="K5" s="46">
        <f t="shared" si="2"/>
        <v>67500</v>
      </c>
      <c r="L5" s="122">
        <f t="shared" si="3"/>
        <v>0.75</v>
      </c>
    </row>
    <row r="6" spans="2:15" x14ac:dyDescent="0.45">
      <c r="B6" s="123"/>
      <c r="C6" s="43" t="s">
        <v>53</v>
      </c>
      <c r="D6" s="43" t="s">
        <v>5</v>
      </c>
      <c r="E6" s="44">
        <v>8.5</v>
      </c>
      <c r="F6" s="43">
        <v>2</v>
      </c>
      <c r="G6" s="46">
        <f>AVERAGE(JAN!F7,FEB!F7)</f>
        <v>7295.5</v>
      </c>
      <c r="H6" s="46">
        <f t="shared" si="0"/>
        <v>14591</v>
      </c>
      <c r="I6" s="46">
        <f>AVERAGE(JAN!H7,FEB!H7)</f>
        <v>18763.5</v>
      </c>
      <c r="J6" s="46">
        <f t="shared" si="1"/>
        <v>37527</v>
      </c>
      <c r="K6" s="46">
        <f t="shared" si="2"/>
        <v>22936</v>
      </c>
      <c r="L6" s="122">
        <f t="shared" si="3"/>
        <v>0.61118661230580651</v>
      </c>
    </row>
    <row r="7" spans="2:15" x14ac:dyDescent="0.45">
      <c r="B7" s="123"/>
      <c r="C7" s="43" t="s">
        <v>54</v>
      </c>
      <c r="D7" s="43" t="s">
        <v>5</v>
      </c>
      <c r="E7" s="44">
        <v>6.125</v>
      </c>
      <c r="F7" s="43">
        <v>6</v>
      </c>
      <c r="G7" s="46">
        <f>AVERAGE(FEB!F4)</f>
        <v>8345</v>
      </c>
      <c r="H7" s="46">
        <f t="shared" si="0"/>
        <v>50070</v>
      </c>
      <c r="I7" s="46">
        <f>AVERAGE(FEB!H4)</f>
        <v>16690</v>
      </c>
      <c r="J7" s="46">
        <f t="shared" si="1"/>
        <v>100140</v>
      </c>
      <c r="K7" s="46">
        <f t="shared" si="2"/>
        <v>50070</v>
      </c>
      <c r="L7" s="122">
        <f t="shared" si="3"/>
        <v>0.5</v>
      </c>
    </row>
    <row r="8" spans="2:15" x14ac:dyDescent="0.45">
      <c r="B8" s="124" t="s">
        <v>147</v>
      </c>
      <c r="C8" s="55"/>
      <c r="D8" s="55"/>
      <c r="E8" s="55"/>
      <c r="F8" s="125">
        <f>SUM(F3:F7)</f>
        <v>17</v>
      </c>
      <c r="G8" s="125"/>
      <c r="H8" s="127">
        <f>SUM(H3:H7)</f>
        <v>189661</v>
      </c>
      <c r="I8" s="127"/>
      <c r="J8" s="128">
        <f>SUM(J3:J7)</f>
        <v>582667</v>
      </c>
      <c r="K8" s="127">
        <f>SUM(K3:K7)</f>
        <v>393006</v>
      </c>
      <c r="L8" s="130">
        <f t="shared" si="3"/>
        <v>0.67449503747423489</v>
      </c>
    </row>
    <row r="9" spans="2:15" x14ac:dyDescent="0.45">
      <c r="M9" s="131"/>
      <c r="N9" s="131" t="s">
        <v>49</v>
      </c>
      <c r="O9" s="131"/>
    </row>
    <row r="10" spans="2:15" ht="14.65" thickBot="1" x14ac:dyDescent="0.5">
      <c r="D10" s="155" t="s">
        <v>145</v>
      </c>
      <c r="E10" s="156">
        <v>582667</v>
      </c>
      <c r="F10" s="157"/>
      <c r="G10" s="158"/>
      <c r="J10" s="131" t="s">
        <v>154</v>
      </c>
      <c r="K10" s="154">
        <f>H8/J8</f>
        <v>0.32550496252576516</v>
      </c>
      <c r="M10" s="166"/>
      <c r="N10" s="167" t="s">
        <v>26</v>
      </c>
      <c r="O10" s="168" t="s">
        <v>137</v>
      </c>
    </row>
    <row r="11" spans="2:15" ht="14.65" thickTop="1" x14ac:dyDescent="0.45">
      <c r="D11" s="159" t="s">
        <v>39</v>
      </c>
      <c r="E11" s="160" t="s">
        <v>56</v>
      </c>
      <c r="F11" s="161" t="s">
        <v>83</v>
      </c>
      <c r="G11" s="162">
        <v>1</v>
      </c>
      <c r="J11" s="131" t="s">
        <v>155</v>
      </c>
      <c r="K11" s="154">
        <f>J8-H8</f>
        <v>393006</v>
      </c>
      <c r="M11" s="169" t="s">
        <v>135</v>
      </c>
      <c r="N11" s="170">
        <f>1-(E10/J8)</f>
        <v>0</v>
      </c>
      <c r="O11" s="171">
        <f>J8-J27</f>
        <v>0</v>
      </c>
    </row>
    <row r="12" spans="2:15" x14ac:dyDescent="0.45">
      <c r="D12" s="163"/>
      <c r="E12" s="164" t="s">
        <v>40</v>
      </c>
      <c r="F12" s="161" t="s">
        <v>83</v>
      </c>
      <c r="G12" s="162">
        <v>6</v>
      </c>
      <c r="M12" s="169" t="s">
        <v>4</v>
      </c>
      <c r="N12" s="170">
        <f>1-(K30/K11)</f>
        <v>0</v>
      </c>
      <c r="O12" s="171">
        <f>K11-K30</f>
        <v>0</v>
      </c>
    </row>
    <row r="13" spans="2:15" x14ac:dyDescent="0.45">
      <c r="D13" s="163"/>
      <c r="E13" s="164">
        <v>12.25</v>
      </c>
      <c r="F13" s="161" t="s">
        <v>83</v>
      </c>
      <c r="G13" s="162">
        <v>2</v>
      </c>
      <c r="M13" s="169" t="s">
        <v>15</v>
      </c>
      <c r="N13" s="170">
        <f>1-(F27/F8)</f>
        <v>0</v>
      </c>
      <c r="O13" s="172">
        <f>F8-F27</f>
        <v>0</v>
      </c>
    </row>
    <row r="14" spans="2:15" x14ac:dyDescent="0.45">
      <c r="D14" s="163"/>
      <c r="E14" s="160">
        <v>8.5</v>
      </c>
      <c r="F14" s="161" t="s">
        <v>83</v>
      </c>
      <c r="G14" s="162">
        <v>2</v>
      </c>
    </row>
    <row r="15" spans="2:15" x14ac:dyDescent="0.45">
      <c r="D15" s="163"/>
      <c r="E15" s="160">
        <v>6.125</v>
      </c>
      <c r="F15" s="163" t="s">
        <v>83</v>
      </c>
      <c r="G15" s="160">
        <v>6</v>
      </c>
    </row>
    <row r="16" spans="2:15" x14ac:dyDescent="0.45">
      <c r="D16" s="163"/>
      <c r="E16" s="165" t="s">
        <v>142</v>
      </c>
      <c r="F16" s="163" t="s">
        <v>38</v>
      </c>
      <c r="G16" s="178">
        <v>0</v>
      </c>
      <c r="H16" s="5"/>
    </row>
    <row r="21" spans="2:12" x14ac:dyDescent="0.45">
      <c r="B21" s="131" t="s">
        <v>0</v>
      </c>
      <c r="C21" s="131" t="s">
        <v>195</v>
      </c>
      <c r="D21" s="131" t="s">
        <v>2</v>
      </c>
      <c r="E21" s="131" t="s">
        <v>3</v>
      </c>
      <c r="F21" s="131" t="s">
        <v>31</v>
      </c>
      <c r="G21" s="131" t="s">
        <v>51</v>
      </c>
      <c r="H21" s="131" t="s">
        <v>16</v>
      </c>
      <c r="I21" s="131" t="s">
        <v>44</v>
      </c>
      <c r="J21" s="131" t="s">
        <v>1</v>
      </c>
      <c r="K21" s="131" t="s">
        <v>155</v>
      </c>
      <c r="L21" s="131" t="s">
        <v>154</v>
      </c>
    </row>
    <row r="22" spans="2:12" x14ac:dyDescent="0.45">
      <c r="B22" s="69" t="s">
        <v>5</v>
      </c>
      <c r="C22" s="70" t="s">
        <v>46</v>
      </c>
      <c r="D22" s="70" t="s">
        <v>5</v>
      </c>
      <c r="E22" s="71">
        <v>26</v>
      </c>
      <c r="F22" s="70">
        <v>1</v>
      </c>
      <c r="G22" s="73">
        <v>12500</v>
      </c>
      <c r="H22" s="73">
        <v>12500</v>
      </c>
      <c r="I22" s="73">
        <v>25000</v>
      </c>
      <c r="J22" s="73">
        <v>25000</v>
      </c>
      <c r="K22" s="73">
        <f>J22-H22</f>
        <v>12500</v>
      </c>
      <c r="L22" s="132">
        <f>K22/J22</f>
        <v>0.5</v>
      </c>
    </row>
    <row r="23" spans="2:12" x14ac:dyDescent="0.45">
      <c r="B23" s="69"/>
      <c r="C23" s="70" t="s">
        <v>47</v>
      </c>
      <c r="D23" s="70" t="s">
        <v>5</v>
      </c>
      <c r="E23" s="71">
        <v>16</v>
      </c>
      <c r="F23" s="70">
        <v>6</v>
      </c>
      <c r="G23" s="73">
        <v>15000</v>
      </c>
      <c r="H23" s="73">
        <v>90000</v>
      </c>
      <c r="I23" s="73">
        <v>55000</v>
      </c>
      <c r="J23" s="73">
        <v>330000</v>
      </c>
      <c r="K23" s="73">
        <f t="shared" ref="K23:K26" si="4">J23-H23</f>
        <v>240000</v>
      </c>
      <c r="L23" s="132">
        <f t="shared" ref="L23:L27" si="5">K23/J23</f>
        <v>0.72727272727272729</v>
      </c>
    </row>
    <row r="24" spans="2:12" x14ac:dyDescent="0.45">
      <c r="B24" s="69"/>
      <c r="C24" s="70" t="s">
        <v>48</v>
      </c>
      <c r="D24" s="70" t="s">
        <v>5</v>
      </c>
      <c r="E24" s="71">
        <v>12.25</v>
      </c>
      <c r="F24" s="70">
        <v>2</v>
      </c>
      <c r="G24" s="73">
        <v>11250</v>
      </c>
      <c r="H24" s="73">
        <v>22500</v>
      </c>
      <c r="I24" s="73">
        <v>45000</v>
      </c>
      <c r="J24" s="73">
        <v>90000</v>
      </c>
      <c r="K24" s="73">
        <f t="shared" si="4"/>
        <v>67500</v>
      </c>
      <c r="L24" s="132">
        <f t="shared" si="5"/>
        <v>0.75</v>
      </c>
    </row>
    <row r="25" spans="2:12" x14ac:dyDescent="0.45">
      <c r="B25" s="69"/>
      <c r="C25" s="70" t="s">
        <v>53</v>
      </c>
      <c r="D25" s="70" t="s">
        <v>5</v>
      </c>
      <c r="E25" s="71">
        <v>8.5</v>
      </c>
      <c r="F25" s="70">
        <v>2</v>
      </c>
      <c r="G25" s="73">
        <v>7295.5</v>
      </c>
      <c r="H25" s="73">
        <v>14591</v>
      </c>
      <c r="I25" s="73">
        <v>18763.5</v>
      </c>
      <c r="J25" s="73">
        <v>37527</v>
      </c>
      <c r="K25" s="73">
        <f t="shared" si="4"/>
        <v>22936</v>
      </c>
      <c r="L25" s="132">
        <f t="shared" si="5"/>
        <v>0.61118661230580651</v>
      </c>
    </row>
    <row r="26" spans="2:12" x14ac:dyDescent="0.45">
      <c r="B26" s="69"/>
      <c r="C26" s="70" t="s">
        <v>54</v>
      </c>
      <c r="D26" s="70" t="s">
        <v>5</v>
      </c>
      <c r="E26" s="71">
        <v>6.125</v>
      </c>
      <c r="F26" s="70">
        <v>6</v>
      </c>
      <c r="G26" s="73">
        <v>8345</v>
      </c>
      <c r="H26" s="73">
        <v>50070</v>
      </c>
      <c r="I26" s="73">
        <v>16690</v>
      </c>
      <c r="J26" s="73">
        <v>100140</v>
      </c>
      <c r="K26" s="73">
        <f t="shared" si="4"/>
        <v>50070</v>
      </c>
      <c r="L26" s="132">
        <f t="shared" si="5"/>
        <v>0.5</v>
      </c>
    </row>
    <row r="27" spans="2:12" x14ac:dyDescent="0.45">
      <c r="B27" s="69" t="s">
        <v>147</v>
      </c>
      <c r="C27" s="70"/>
      <c r="D27" s="70"/>
      <c r="E27" s="70"/>
      <c r="F27" s="133">
        <f>SUM(F22:F26)</f>
        <v>17</v>
      </c>
      <c r="G27" s="133"/>
      <c r="H27" s="134">
        <f>SUM(H22:H26)</f>
        <v>189661</v>
      </c>
      <c r="I27" s="134"/>
      <c r="J27" s="135">
        <v>582667</v>
      </c>
      <c r="K27" s="134">
        <f>SUM(K22:K26)</f>
        <v>393006</v>
      </c>
      <c r="L27" s="137">
        <f t="shared" si="5"/>
        <v>0.67449503747423489</v>
      </c>
    </row>
    <row r="29" spans="2:12" x14ac:dyDescent="0.45">
      <c r="J29" s="131" t="s">
        <v>154</v>
      </c>
      <c r="K29" s="154">
        <f>H27/J27</f>
        <v>0.32550496252576516</v>
      </c>
    </row>
    <row r="30" spans="2:12" x14ac:dyDescent="0.45">
      <c r="J30" s="131" t="s">
        <v>155</v>
      </c>
      <c r="K30" s="154">
        <f>J27-H27</f>
        <v>393006</v>
      </c>
    </row>
    <row r="33" spans="7:10" x14ac:dyDescent="0.45">
      <c r="G33" s="173"/>
      <c r="H33" s="174" t="s">
        <v>138</v>
      </c>
      <c r="I33" s="107" t="s">
        <v>156</v>
      </c>
      <c r="J33" s="107" t="s">
        <v>153</v>
      </c>
    </row>
    <row r="34" spans="7:10" x14ac:dyDescent="0.45">
      <c r="G34" s="175" t="s">
        <v>140</v>
      </c>
      <c r="H34" s="176">
        <v>582667</v>
      </c>
      <c r="I34" s="176">
        <v>393006</v>
      </c>
      <c r="J34" s="177">
        <v>0.32550496252576516</v>
      </c>
    </row>
    <row r="35" spans="7:10" x14ac:dyDescent="0.45">
      <c r="G35" s="175" t="s">
        <v>139</v>
      </c>
      <c r="H35" s="176">
        <v>582667</v>
      </c>
      <c r="I35" s="176">
        <v>393006</v>
      </c>
      <c r="J35" s="177">
        <v>0.32550496252576516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F5E3-5594-47DB-9667-D78B332EA845}">
  <dimension ref="B2:AI35"/>
  <sheetViews>
    <sheetView tabSelected="1" topLeftCell="A22" workbookViewId="0">
      <selection activeCell="Z42" sqref="Z42"/>
    </sheetView>
  </sheetViews>
  <sheetFormatPr defaultRowHeight="14.25" x14ac:dyDescent="0.45"/>
  <cols>
    <col min="3" max="3" width="10" customWidth="1"/>
    <col min="4" max="4" width="13.3984375" bestFit="1" customWidth="1"/>
    <col min="5" max="5" width="13.3984375" customWidth="1"/>
    <col min="6" max="6" width="13.3984375" bestFit="1" customWidth="1"/>
    <col min="7" max="7" width="13.3984375" customWidth="1"/>
    <col min="8" max="8" width="12.3984375" bestFit="1" customWidth="1"/>
    <col min="11" max="12" width="13.3984375" bestFit="1" customWidth="1"/>
    <col min="13" max="13" width="12.06640625" bestFit="1" customWidth="1"/>
    <col min="23" max="23" width="17.73046875" bestFit="1" customWidth="1"/>
    <col min="24" max="24" width="15.59765625" bestFit="1" customWidth="1"/>
    <col min="25" max="25" width="19.9296875" bestFit="1" customWidth="1"/>
    <col min="27" max="27" width="15.59765625" bestFit="1" customWidth="1"/>
    <col min="28" max="28" width="13.3984375" bestFit="1" customWidth="1"/>
    <col min="34" max="34" width="17.73046875" bestFit="1" customWidth="1"/>
    <col min="35" max="35" width="10.59765625" bestFit="1" customWidth="1"/>
  </cols>
  <sheetData>
    <row r="2" spans="2:35" x14ac:dyDescent="0.45">
      <c r="W2" t="s">
        <v>157</v>
      </c>
      <c r="AH2" t="s">
        <v>157</v>
      </c>
    </row>
    <row r="3" spans="2:35" x14ac:dyDescent="0.45">
      <c r="B3" s="246" t="s">
        <v>0</v>
      </c>
      <c r="C3" s="247"/>
      <c r="D3" s="198" t="s">
        <v>1</v>
      </c>
      <c r="E3" s="200" t="s">
        <v>26</v>
      </c>
      <c r="F3" s="200" t="s">
        <v>155</v>
      </c>
      <c r="G3" s="201" t="s">
        <v>26</v>
      </c>
      <c r="H3" s="201" t="s">
        <v>154</v>
      </c>
      <c r="W3" t="s">
        <v>0</v>
      </c>
      <c r="X3" t="s">
        <v>1</v>
      </c>
      <c r="Y3" t="s">
        <v>55</v>
      </c>
      <c r="AA3" t="s">
        <v>163</v>
      </c>
      <c r="AB3" s="20">
        <f>SUM(X4:X7)</f>
        <v>4134949.1300000004</v>
      </c>
      <c r="AH3" t="s">
        <v>0</v>
      </c>
      <c r="AI3" t="s">
        <v>166</v>
      </c>
    </row>
    <row r="4" spans="2:35" x14ac:dyDescent="0.45">
      <c r="B4" s="196" t="s">
        <v>9</v>
      </c>
      <c r="C4" s="197" t="s">
        <v>157</v>
      </c>
      <c r="D4" s="199">
        <v>1113884.1299999999</v>
      </c>
      <c r="E4" s="248">
        <f>1-(D4/D5)</f>
        <v>0.20540336973621953</v>
      </c>
      <c r="F4" s="202">
        <v>775660.63499999989</v>
      </c>
      <c r="G4" s="249">
        <f>1-(F4/F5)</f>
        <v>0.20617840179668034</v>
      </c>
      <c r="H4" s="204">
        <v>0.69635666233973548</v>
      </c>
      <c r="W4" t="s">
        <v>9</v>
      </c>
      <c r="X4" s="20">
        <f>D4</f>
        <v>1113884.1299999999</v>
      </c>
      <c r="Y4" s="20">
        <f>F4</f>
        <v>775660.63499999989</v>
      </c>
      <c r="AA4" t="s">
        <v>164</v>
      </c>
      <c r="AB4" s="20">
        <f>SUM(Y4:Y7)</f>
        <v>2955374.673</v>
      </c>
      <c r="AH4" t="s">
        <v>9</v>
      </c>
      <c r="AI4" s="185">
        <f>D28</f>
        <v>15</v>
      </c>
    </row>
    <row r="5" spans="2:35" x14ac:dyDescent="0.45">
      <c r="B5" s="69"/>
      <c r="C5" s="70" t="s">
        <v>158</v>
      </c>
      <c r="D5" s="195">
        <v>1401823.375</v>
      </c>
      <c r="E5" s="248"/>
      <c r="F5" s="203">
        <v>977122.11</v>
      </c>
      <c r="G5" s="250"/>
      <c r="H5" s="205">
        <v>0.69703653643241603</v>
      </c>
      <c r="W5" t="s">
        <v>8</v>
      </c>
      <c r="X5" s="20">
        <f>D6</f>
        <v>1998103.4000000001</v>
      </c>
      <c r="Y5" s="20">
        <f>F6</f>
        <v>1495891.638</v>
      </c>
      <c r="AH5" t="s">
        <v>8</v>
      </c>
      <c r="AI5" s="185">
        <f>D30</f>
        <v>30</v>
      </c>
    </row>
    <row r="6" spans="2:35" ht="13.5" customHeight="1" x14ac:dyDescent="0.45">
      <c r="B6" s="206" t="s">
        <v>8</v>
      </c>
      <c r="C6" s="207" t="s">
        <v>157</v>
      </c>
      <c r="D6" s="208">
        <v>1998103.4000000001</v>
      </c>
      <c r="E6" s="248">
        <f>1-(D6/D7)</f>
        <v>0.11423625326160891</v>
      </c>
      <c r="F6" s="209">
        <v>1495891.638</v>
      </c>
      <c r="G6" s="249">
        <f t="shared" ref="G6:G10" si="0">1-(F6/F7)</f>
        <v>0.11403790916190981</v>
      </c>
      <c r="H6" s="210">
        <v>0.25134423073400508</v>
      </c>
      <c r="W6" t="s">
        <v>6</v>
      </c>
      <c r="X6" s="20">
        <f>D8</f>
        <v>440294.6</v>
      </c>
      <c r="Y6" s="20">
        <f>F8</f>
        <v>290816.39999999997</v>
      </c>
      <c r="AH6" t="s">
        <v>6</v>
      </c>
      <c r="AI6" s="185">
        <f>D32</f>
        <v>6</v>
      </c>
    </row>
    <row r="7" spans="2:35" ht="13.5" customHeight="1" x14ac:dyDescent="0.45">
      <c r="B7" s="206"/>
      <c r="C7" s="207" t="s">
        <v>158</v>
      </c>
      <c r="D7" s="208">
        <v>2255797.2228571428</v>
      </c>
      <c r="E7" s="248"/>
      <c r="F7" s="209">
        <v>1688437.5228571428</v>
      </c>
      <c r="G7" s="250"/>
      <c r="H7" s="210">
        <v>0.25151183548377398</v>
      </c>
      <c r="W7" t="s">
        <v>5</v>
      </c>
      <c r="X7" s="20">
        <f>D10</f>
        <v>582667</v>
      </c>
      <c r="Y7" s="20">
        <f>F10</f>
        <v>393006</v>
      </c>
      <c r="AH7" t="s">
        <v>5</v>
      </c>
      <c r="AI7" s="185">
        <f>D34</f>
        <v>17</v>
      </c>
    </row>
    <row r="8" spans="2:35" x14ac:dyDescent="0.45">
      <c r="B8" s="69" t="s">
        <v>6</v>
      </c>
      <c r="C8" s="70" t="s">
        <v>157</v>
      </c>
      <c r="D8" s="195">
        <v>440294.6</v>
      </c>
      <c r="E8" s="248">
        <f>1-(D8/D9)</f>
        <v>0</v>
      </c>
      <c r="F8" s="203">
        <v>290816.39999999997</v>
      </c>
      <c r="G8" s="249">
        <f t="shared" si="0"/>
        <v>0</v>
      </c>
      <c r="H8" s="205">
        <v>0.33949587389897584</v>
      </c>
    </row>
    <row r="9" spans="2:35" x14ac:dyDescent="0.45">
      <c r="B9" s="69"/>
      <c r="C9" s="70" t="s">
        <v>158</v>
      </c>
      <c r="D9" s="195">
        <v>440294.6</v>
      </c>
      <c r="E9" s="248"/>
      <c r="F9" s="203">
        <v>290816.39999999997</v>
      </c>
      <c r="G9" s="250"/>
      <c r="H9" s="205">
        <v>0.33949587389897584</v>
      </c>
      <c r="AH9" t="s">
        <v>162</v>
      </c>
    </row>
    <row r="10" spans="2:35" x14ac:dyDescent="0.45">
      <c r="B10" s="206" t="s">
        <v>5</v>
      </c>
      <c r="C10" s="207" t="s">
        <v>157</v>
      </c>
      <c r="D10" s="208">
        <v>582667</v>
      </c>
      <c r="E10" s="248">
        <f>1-(D10/D11)</f>
        <v>0</v>
      </c>
      <c r="F10" s="209">
        <v>393006</v>
      </c>
      <c r="G10" s="249">
        <f t="shared" si="0"/>
        <v>0</v>
      </c>
      <c r="H10" s="210">
        <v>0.32550496252576516</v>
      </c>
      <c r="W10" t="s">
        <v>162</v>
      </c>
      <c r="AH10" t="s">
        <v>0</v>
      </c>
      <c r="AI10" t="s">
        <v>166</v>
      </c>
    </row>
    <row r="11" spans="2:35" x14ac:dyDescent="0.45">
      <c r="B11" s="206"/>
      <c r="C11" s="207" t="s">
        <v>158</v>
      </c>
      <c r="D11" s="208">
        <v>582667</v>
      </c>
      <c r="E11" s="248"/>
      <c r="F11" s="209">
        <v>393006</v>
      </c>
      <c r="G11" s="250"/>
      <c r="H11" s="210">
        <v>0.32550496252576516</v>
      </c>
      <c r="W11" t="s">
        <v>0</v>
      </c>
      <c r="X11" t="s">
        <v>1</v>
      </c>
      <c r="Y11" t="s">
        <v>55</v>
      </c>
      <c r="AA11" t="s">
        <v>163</v>
      </c>
      <c r="AB11" s="20">
        <f>SUM(X12:X15)</f>
        <v>4680582.1978571434</v>
      </c>
      <c r="AH11" t="s">
        <v>9</v>
      </c>
      <c r="AI11" s="185">
        <f>D29</f>
        <v>19</v>
      </c>
    </row>
    <row r="12" spans="2:35" x14ac:dyDescent="0.45">
      <c r="W12" t="s">
        <v>9</v>
      </c>
      <c r="X12" s="20">
        <f>D5</f>
        <v>1401823.375</v>
      </c>
      <c r="Y12" s="20">
        <f>F5</f>
        <v>977122.11</v>
      </c>
      <c r="AA12" t="s">
        <v>164</v>
      </c>
      <c r="AB12" s="20">
        <f>SUM(Y12:Y15)</f>
        <v>3349382.0328571429</v>
      </c>
      <c r="AH12" t="s">
        <v>8</v>
      </c>
      <c r="AI12" s="185">
        <f>D31</f>
        <v>34</v>
      </c>
    </row>
    <row r="13" spans="2:35" x14ac:dyDescent="0.45">
      <c r="W13" t="s">
        <v>8</v>
      </c>
      <c r="X13" s="20">
        <f>D7</f>
        <v>2255797.2228571428</v>
      </c>
      <c r="Y13" s="20">
        <f>F7</f>
        <v>1688437.5228571428</v>
      </c>
      <c r="AH13" t="s">
        <v>6</v>
      </c>
      <c r="AI13" s="185">
        <f>D33</f>
        <v>6</v>
      </c>
    </row>
    <row r="14" spans="2:35" x14ac:dyDescent="0.45">
      <c r="C14" s="191"/>
      <c r="D14" s="191"/>
      <c r="E14" s="191"/>
      <c r="W14" t="s">
        <v>6</v>
      </c>
      <c r="X14" s="20">
        <f>D9</f>
        <v>440294.6</v>
      </c>
      <c r="Y14" s="20">
        <f>F9</f>
        <v>290816.39999999997</v>
      </c>
      <c r="AH14" t="s">
        <v>5</v>
      </c>
      <c r="AI14" s="185">
        <f>D35</f>
        <v>17</v>
      </c>
    </row>
    <row r="15" spans="2:35" x14ac:dyDescent="0.45">
      <c r="C15" s="191"/>
      <c r="D15" s="191"/>
      <c r="E15" s="191"/>
      <c r="W15" t="s">
        <v>5</v>
      </c>
      <c r="X15" s="20">
        <f>D11</f>
        <v>582667</v>
      </c>
      <c r="Y15" s="20">
        <f>F11</f>
        <v>393006</v>
      </c>
    </row>
    <row r="16" spans="2:35" x14ac:dyDescent="0.45">
      <c r="C16" s="191"/>
      <c r="D16" s="191"/>
      <c r="E16" s="191"/>
    </row>
    <row r="17" spans="2:35" x14ac:dyDescent="0.45">
      <c r="C17" s="191"/>
      <c r="D17" s="191"/>
      <c r="E17" s="191"/>
    </row>
    <row r="18" spans="2:35" x14ac:dyDescent="0.45">
      <c r="C18" s="191"/>
      <c r="D18" s="191"/>
      <c r="E18" s="191"/>
      <c r="W18" s="182"/>
      <c r="X18" s="183" t="s">
        <v>196</v>
      </c>
      <c r="Y18" s="68" t="s">
        <v>197</v>
      </c>
      <c r="AH18" s="182"/>
      <c r="AI18" s="184" t="s">
        <v>166</v>
      </c>
    </row>
    <row r="19" spans="2:35" x14ac:dyDescent="0.45">
      <c r="W19" s="211" t="s">
        <v>173</v>
      </c>
      <c r="X19" s="212">
        <v>4.0999999999999996</v>
      </c>
      <c r="Y19" s="212">
        <v>3</v>
      </c>
      <c r="Z19" s="191"/>
      <c r="AH19" s="69" t="s">
        <v>157</v>
      </c>
      <c r="AI19" s="70">
        <f>SUM(AI4:AI7)</f>
        <v>68</v>
      </c>
    </row>
    <row r="20" spans="2:35" x14ac:dyDescent="0.45">
      <c r="W20" s="213" t="s">
        <v>174</v>
      </c>
      <c r="X20" s="214">
        <v>4.7</v>
      </c>
      <c r="Y20" s="214">
        <v>3.3</v>
      </c>
      <c r="Z20" s="191"/>
      <c r="AH20" s="69" t="s">
        <v>162</v>
      </c>
      <c r="AI20" s="70">
        <f>SUM(AI11:AI14)</f>
        <v>76</v>
      </c>
    </row>
    <row r="22" spans="2:35" x14ac:dyDescent="0.45">
      <c r="W22" s="187" t="s">
        <v>150</v>
      </c>
      <c r="X22" s="189" t="s">
        <v>165</v>
      </c>
    </row>
    <row r="23" spans="2:35" x14ac:dyDescent="0.45">
      <c r="E23" s="62"/>
      <c r="W23" s="96" t="s">
        <v>163</v>
      </c>
      <c r="X23" s="186">
        <f>1-(AB3/AB11)</f>
        <v>0.11657376044094336</v>
      </c>
      <c r="AH23" s="26"/>
    </row>
    <row r="24" spans="2:35" x14ac:dyDescent="0.45">
      <c r="W24" s="96" t="s">
        <v>164</v>
      </c>
      <c r="X24" s="186">
        <f>1-(AB4/AB12)</f>
        <v>0.11763583729534743</v>
      </c>
    </row>
    <row r="25" spans="2:35" x14ac:dyDescent="0.45">
      <c r="W25" s="188" t="s">
        <v>159</v>
      </c>
      <c r="X25" s="190">
        <f>1-(AI19/AI20)</f>
        <v>0.10526315789473684</v>
      </c>
    </row>
    <row r="27" spans="2:35" x14ac:dyDescent="0.45">
      <c r="B27" s="68" t="s">
        <v>0</v>
      </c>
      <c r="C27" s="68"/>
      <c r="D27" s="68" t="s">
        <v>159</v>
      </c>
      <c r="E27" s="68" t="s">
        <v>26</v>
      </c>
    </row>
    <row r="28" spans="2:35" x14ac:dyDescent="0.45">
      <c r="B28" s="69" t="s">
        <v>9</v>
      </c>
      <c r="C28" s="70" t="s">
        <v>173</v>
      </c>
      <c r="D28" s="181">
        <v>15</v>
      </c>
      <c r="E28" s="241">
        <f>1-(D28/D29)</f>
        <v>0.21052631578947367</v>
      </c>
    </row>
    <row r="29" spans="2:35" x14ac:dyDescent="0.45">
      <c r="B29" s="69"/>
      <c r="C29" s="70" t="s">
        <v>174</v>
      </c>
      <c r="D29" s="181">
        <v>19</v>
      </c>
      <c r="E29" s="241"/>
    </row>
    <row r="30" spans="2:35" x14ac:dyDescent="0.45">
      <c r="B30" s="206" t="s">
        <v>8</v>
      </c>
      <c r="C30" s="207" t="s">
        <v>173</v>
      </c>
      <c r="D30" s="235">
        <v>30</v>
      </c>
      <c r="E30" s="242">
        <f>1-(D30/D31)</f>
        <v>0.11764705882352944</v>
      </c>
    </row>
    <row r="31" spans="2:35" x14ac:dyDescent="0.45">
      <c r="B31" s="206"/>
      <c r="C31" s="207" t="s">
        <v>174</v>
      </c>
      <c r="D31" s="235">
        <v>34</v>
      </c>
      <c r="E31" s="243"/>
    </row>
    <row r="32" spans="2:35" x14ac:dyDescent="0.45">
      <c r="B32" s="69" t="s">
        <v>6</v>
      </c>
      <c r="C32" s="70" t="s">
        <v>173</v>
      </c>
      <c r="D32" s="181">
        <v>6</v>
      </c>
      <c r="E32" s="244">
        <f>1-(D32/D33)</f>
        <v>0</v>
      </c>
    </row>
    <row r="33" spans="2:5" x14ac:dyDescent="0.45">
      <c r="B33" s="69"/>
      <c r="C33" s="70" t="s">
        <v>174</v>
      </c>
      <c r="D33" s="181">
        <v>6</v>
      </c>
      <c r="E33" s="245"/>
    </row>
    <row r="34" spans="2:5" x14ac:dyDescent="0.45">
      <c r="B34" s="206" t="s">
        <v>5</v>
      </c>
      <c r="C34" s="207" t="s">
        <v>173</v>
      </c>
      <c r="D34" s="235">
        <v>17</v>
      </c>
      <c r="E34" s="242">
        <f>1-(D34/D35)</f>
        <v>0</v>
      </c>
    </row>
    <row r="35" spans="2:5" x14ac:dyDescent="0.45">
      <c r="B35" s="206"/>
      <c r="C35" s="207" t="s">
        <v>174</v>
      </c>
      <c r="D35" s="235">
        <v>17</v>
      </c>
      <c r="E35" s="243"/>
    </row>
  </sheetData>
  <mergeCells count="13">
    <mergeCell ref="G4:G5"/>
    <mergeCell ref="G6:G7"/>
    <mergeCell ref="G8:G9"/>
    <mergeCell ref="G10:G11"/>
    <mergeCell ref="E28:E29"/>
    <mergeCell ref="E30:E31"/>
    <mergeCell ref="E32:E33"/>
    <mergeCell ref="E34:E35"/>
    <mergeCell ref="B3:C3"/>
    <mergeCell ref="E4:E5"/>
    <mergeCell ref="E6:E7"/>
    <mergeCell ref="E8:E9"/>
    <mergeCell ref="E10:E1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3207-6838-4AB3-8A00-2D6FBECD540D}">
  <dimension ref="B2:I15"/>
  <sheetViews>
    <sheetView zoomScale="130" zoomScaleNormal="130" workbookViewId="0">
      <selection activeCell="E19" sqref="E19"/>
    </sheetView>
  </sheetViews>
  <sheetFormatPr defaultRowHeight="14.25" x14ac:dyDescent="0.45"/>
  <cols>
    <col min="3" max="3" width="16.3984375" bestFit="1" customWidth="1"/>
    <col min="4" max="4" width="11.1328125" bestFit="1" customWidth="1"/>
    <col min="6" max="6" width="10.86328125" bestFit="1" customWidth="1"/>
    <col min="7" max="7" width="11.86328125" bestFit="1" customWidth="1"/>
    <col min="8" max="8" width="11.86328125" customWidth="1"/>
    <col min="9" max="9" width="11.86328125" bestFit="1" customWidth="1"/>
  </cols>
  <sheetData>
    <row r="2" spans="2:9" x14ac:dyDescent="0.45">
      <c r="B2" s="236" t="s">
        <v>167</v>
      </c>
      <c r="C2" s="237"/>
      <c r="D2" s="192">
        <v>43524</v>
      </c>
      <c r="E2" s="22"/>
    </row>
    <row r="3" spans="2:9" x14ac:dyDescent="0.45">
      <c r="B3" s="68" t="s">
        <v>0</v>
      </c>
      <c r="C3" s="68" t="s">
        <v>2</v>
      </c>
      <c r="D3" s="68" t="s">
        <v>3</v>
      </c>
      <c r="E3" s="68" t="s">
        <v>15</v>
      </c>
      <c r="F3" s="68" t="s">
        <v>16</v>
      </c>
      <c r="G3" s="68" t="s">
        <v>29</v>
      </c>
      <c r="H3" s="68" t="s">
        <v>1</v>
      </c>
      <c r="I3" s="68" t="s">
        <v>4</v>
      </c>
    </row>
    <row r="4" spans="2:9" x14ac:dyDescent="0.45">
      <c r="B4" s="69" t="s">
        <v>5</v>
      </c>
      <c r="C4" s="70" t="s">
        <v>175</v>
      </c>
      <c r="D4" s="71">
        <v>6.125</v>
      </c>
      <c r="E4" s="70">
        <v>6</v>
      </c>
      <c r="F4" s="72">
        <v>8345</v>
      </c>
      <c r="G4" s="72">
        <v>55200</v>
      </c>
      <c r="H4" s="72">
        <v>16690</v>
      </c>
      <c r="I4" s="73">
        <f>H4-F4</f>
        <v>8345</v>
      </c>
    </row>
    <row r="5" spans="2:9" x14ac:dyDescent="0.45">
      <c r="B5" s="69"/>
      <c r="C5" s="70" t="s">
        <v>176</v>
      </c>
      <c r="D5" s="70">
        <v>12.25</v>
      </c>
      <c r="E5" s="70">
        <v>1</v>
      </c>
      <c r="F5" s="72">
        <v>15000</v>
      </c>
      <c r="G5" s="72">
        <v>55400</v>
      </c>
      <c r="H5" s="72">
        <v>75000</v>
      </c>
      <c r="I5" s="73">
        <f t="shared" ref="I5:I15" si="0">H5-F5</f>
        <v>60000</v>
      </c>
    </row>
    <row r="6" spans="2:9" x14ac:dyDescent="0.45">
      <c r="B6" s="69"/>
      <c r="C6" s="70" t="s">
        <v>177</v>
      </c>
      <c r="D6" s="70">
        <v>16</v>
      </c>
      <c r="E6" s="70">
        <v>1</v>
      </c>
      <c r="F6" s="72">
        <v>15000</v>
      </c>
      <c r="G6" s="72">
        <v>15000</v>
      </c>
      <c r="H6" s="72">
        <v>60000</v>
      </c>
      <c r="I6" s="73">
        <f t="shared" si="0"/>
        <v>45000</v>
      </c>
    </row>
    <row r="7" spans="2:9" x14ac:dyDescent="0.45">
      <c r="B7" s="69"/>
      <c r="C7" s="70" t="s">
        <v>178</v>
      </c>
      <c r="D7" s="71">
        <v>8.5</v>
      </c>
      <c r="E7" s="70">
        <v>1</v>
      </c>
      <c r="F7" s="72">
        <v>6246</v>
      </c>
      <c r="G7" s="72">
        <v>10250</v>
      </c>
      <c r="H7" s="72">
        <v>12492</v>
      </c>
      <c r="I7" s="73">
        <f t="shared" si="0"/>
        <v>6246</v>
      </c>
    </row>
    <row r="8" spans="2:9" x14ac:dyDescent="0.45">
      <c r="B8" s="69" t="s">
        <v>6</v>
      </c>
      <c r="C8" s="70" t="s">
        <v>179</v>
      </c>
      <c r="D8" s="71">
        <v>26</v>
      </c>
      <c r="E8" s="70">
        <v>1</v>
      </c>
      <c r="F8" s="72">
        <v>28267.64</v>
      </c>
      <c r="G8" s="72">
        <v>8000</v>
      </c>
      <c r="H8" s="72">
        <v>56535.28</v>
      </c>
      <c r="I8" s="73">
        <f t="shared" si="0"/>
        <v>28267.64</v>
      </c>
    </row>
    <row r="9" spans="2:9" x14ac:dyDescent="0.45">
      <c r="B9" s="69"/>
      <c r="C9" s="70" t="s">
        <v>191</v>
      </c>
      <c r="D9" s="71">
        <v>6</v>
      </c>
      <c r="E9" s="70">
        <v>1</v>
      </c>
      <c r="F9" s="72">
        <v>8140</v>
      </c>
      <c r="G9" s="72">
        <v>10017</v>
      </c>
      <c r="H9" s="72">
        <v>16280</v>
      </c>
      <c r="I9" s="73">
        <f t="shared" si="0"/>
        <v>8140</v>
      </c>
    </row>
    <row r="10" spans="2:9" x14ac:dyDescent="0.45">
      <c r="B10" s="69" t="s">
        <v>8</v>
      </c>
      <c r="C10" s="70" t="s">
        <v>180</v>
      </c>
      <c r="D10" s="71">
        <v>16</v>
      </c>
      <c r="E10" s="70">
        <v>3</v>
      </c>
      <c r="F10" s="72">
        <v>15027.34</v>
      </c>
      <c r="G10" s="72">
        <v>97500</v>
      </c>
      <c r="H10" s="72">
        <v>45082.020000000004</v>
      </c>
      <c r="I10" s="73">
        <f t="shared" si="0"/>
        <v>30054.680000000004</v>
      </c>
    </row>
    <row r="11" spans="2:9" x14ac:dyDescent="0.45">
      <c r="B11" s="69"/>
      <c r="C11" s="70" t="s">
        <v>181</v>
      </c>
      <c r="D11" s="71">
        <v>12.25</v>
      </c>
      <c r="E11" s="70">
        <v>1</v>
      </c>
      <c r="F11" s="72">
        <v>22577.07</v>
      </c>
      <c r="G11" s="72">
        <v>50000</v>
      </c>
      <c r="H11" s="72">
        <v>112885.35</v>
      </c>
      <c r="I11" s="73">
        <f t="shared" si="0"/>
        <v>90308.28</v>
      </c>
    </row>
    <row r="12" spans="2:9" x14ac:dyDescent="0.45">
      <c r="B12" s="69"/>
      <c r="C12" s="70" t="s">
        <v>182</v>
      </c>
      <c r="D12" s="71">
        <v>8.5</v>
      </c>
      <c r="E12" s="70">
        <v>1</v>
      </c>
      <c r="F12" s="72">
        <v>17913</v>
      </c>
      <c r="G12" s="72">
        <v>18000</v>
      </c>
      <c r="H12" s="72">
        <v>89565</v>
      </c>
      <c r="I12" s="73">
        <f t="shared" si="0"/>
        <v>71652</v>
      </c>
    </row>
    <row r="13" spans="2:9" x14ac:dyDescent="0.45">
      <c r="B13" s="69"/>
      <c r="C13" s="70" t="s">
        <v>183</v>
      </c>
      <c r="D13" s="71">
        <v>6.125</v>
      </c>
      <c r="E13" s="70">
        <v>2</v>
      </c>
      <c r="F13" s="72">
        <v>11234</v>
      </c>
      <c r="G13" s="72">
        <v>15400</v>
      </c>
      <c r="H13" s="72">
        <v>44936</v>
      </c>
      <c r="I13" s="73">
        <f t="shared" si="0"/>
        <v>33702</v>
      </c>
    </row>
    <row r="14" spans="2:9" x14ac:dyDescent="0.45">
      <c r="B14" s="69" t="s">
        <v>9</v>
      </c>
      <c r="C14" s="70" t="s">
        <v>186</v>
      </c>
      <c r="D14" s="71">
        <v>12.25</v>
      </c>
      <c r="E14" s="70">
        <v>1</v>
      </c>
      <c r="F14" s="72">
        <v>25828.01</v>
      </c>
      <c r="G14" s="72">
        <v>36400</v>
      </c>
      <c r="H14" s="72">
        <v>77484.03</v>
      </c>
      <c r="I14" s="73">
        <f t="shared" si="0"/>
        <v>51656.020000000004</v>
      </c>
    </row>
    <row r="15" spans="2:9" x14ac:dyDescent="0.45">
      <c r="B15" s="69"/>
      <c r="C15" s="70" t="s">
        <v>187</v>
      </c>
      <c r="D15" s="71">
        <v>8.5</v>
      </c>
      <c r="E15" s="70">
        <v>2</v>
      </c>
      <c r="F15" s="72">
        <v>24264.34</v>
      </c>
      <c r="G15" s="72">
        <v>33236</v>
      </c>
      <c r="H15" s="72">
        <v>72793.02</v>
      </c>
      <c r="I15" s="73">
        <f t="shared" si="0"/>
        <v>48528.680000000008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184F-AD80-48BA-A5AA-80312942B8E9}">
  <dimension ref="B2:I19"/>
  <sheetViews>
    <sheetView workbookViewId="0">
      <selection activeCell="I24" sqref="I24"/>
    </sheetView>
  </sheetViews>
  <sheetFormatPr defaultRowHeight="14.25" x14ac:dyDescent="0.45"/>
  <cols>
    <col min="3" max="3" width="15.3984375" bestFit="1" customWidth="1"/>
    <col min="6" max="6" width="10.86328125" bestFit="1" customWidth="1"/>
    <col min="7" max="7" width="11.86328125" bestFit="1" customWidth="1"/>
    <col min="8" max="8" width="11.86328125" customWidth="1"/>
    <col min="9" max="9" width="11.86328125" bestFit="1" customWidth="1"/>
    <col min="11" max="11" width="10.86328125" bestFit="1" customWidth="1"/>
    <col min="14" max="14" width="6.19921875" bestFit="1" customWidth="1"/>
  </cols>
  <sheetData>
    <row r="2" spans="2:9" x14ac:dyDescent="0.45">
      <c r="B2" s="236" t="s">
        <v>167</v>
      </c>
      <c r="C2" s="237"/>
      <c r="D2" s="192">
        <v>43552</v>
      </c>
    </row>
    <row r="3" spans="2:9" x14ac:dyDescent="0.45">
      <c r="B3" s="68" t="s">
        <v>0</v>
      </c>
      <c r="C3" s="68" t="s">
        <v>2</v>
      </c>
      <c r="D3" s="68" t="s">
        <v>3</v>
      </c>
      <c r="E3" s="68" t="s">
        <v>15</v>
      </c>
      <c r="F3" s="68" t="s">
        <v>16</v>
      </c>
      <c r="G3" s="68" t="s">
        <v>29</v>
      </c>
      <c r="H3" s="68" t="s">
        <v>1</v>
      </c>
      <c r="I3" s="68" t="s">
        <v>4</v>
      </c>
    </row>
    <row r="4" spans="2:9" x14ac:dyDescent="0.45">
      <c r="B4" s="69" t="s">
        <v>5</v>
      </c>
      <c r="C4" s="70" t="s">
        <v>175</v>
      </c>
      <c r="D4" s="71">
        <v>16</v>
      </c>
      <c r="E4" s="70">
        <v>3</v>
      </c>
      <c r="F4" s="72">
        <v>15000</v>
      </c>
      <c r="G4" s="72">
        <v>81967</v>
      </c>
      <c r="H4" s="72">
        <v>45000</v>
      </c>
      <c r="I4" s="73">
        <f>H4-F4</f>
        <v>30000</v>
      </c>
    </row>
    <row r="5" spans="2:9" x14ac:dyDescent="0.45">
      <c r="B5" s="69" t="s">
        <v>6</v>
      </c>
      <c r="C5" s="70" t="s">
        <v>179</v>
      </c>
      <c r="D5" s="70">
        <v>26</v>
      </c>
      <c r="E5" s="70">
        <v>2</v>
      </c>
      <c r="F5" s="72">
        <v>28267.64</v>
      </c>
      <c r="G5" s="72">
        <v>8000</v>
      </c>
      <c r="H5" s="72">
        <v>56535.28</v>
      </c>
      <c r="I5" s="73">
        <f t="shared" ref="I5:I16" si="0">H5-F5</f>
        <v>28267.64</v>
      </c>
    </row>
    <row r="6" spans="2:9" x14ac:dyDescent="0.45">
      <c r="B6" s="69" t="s">
        <v>8</v>
      </c>
      <c r="C6" s="70" t="s">
        <v>180</v>
      </c>
      <c r="D6" s="70">
        <v>8.5</v>
      </c>
      <c r="E6" s="70">
        <v>1</v>
      </c>
      <c r="F6" s="72">
        <v>13334</v>
      </c>
      <c r="G6" s="72">
        <v>8000</v>
      </c>
      <c r="H6" s="72">
        <v>40002</v>
      </c>
      <c r="I6" s="73">
        <f t="shared" si="0"/>
        <v>26668</v>
      </c>
    </row>
    <row r="7" spans="2:9" x14ac:dyDescent="0.45">
      <c r="B7" s="69"/>
      <c r="C7" s="70" t="s">
        <v>181</v>
      </c>
      <c r="D7" s="71">
        <v>16</v>
      </c>
      <c r="E7" s="70">
        <v>1</v>
      </c>
      <c r="F7" s="72">
        <v>15027.34</v>
      </c>
      <c r="G7" s="72">
        <v>6000</v>
      </c>
      <c r="H7" s="72">
        <v>75136.7</v>
      </c>
      <c r="I7" s="73">
        <f t="shared" si="0"/>
        <v>60109.36</v>
      </c>
    </row>
    <row r="8" spans="2:9" x14ac:dyDescent="0.45">
      <c r="B8" s="69"/>
      <c r="C8" s="70" t="s">
        <v>182</v>
      </c>
      <c r="D8" s="71">
        <v>12.25</v>
      </c>
      <c r="E8" s="70">
        <v>3</v>
      </c>
      <c r="F8" s="72">
        <v>22577.07</v>
      </c>
      <c r="G8" s="72">
        <v>88650</v>
      </c>
      <c r="H8" s="72">
        <v>90308.28</v>
      </c>
      <c r="I8" s="73">
        <f t="shared" si="0"/>
        <v>67731.209999999992</v>
      </c>
    </row>
    <row r="9" spans="2:9" x14ac:dyDescent="0.45">
      <c r="B9" s="69"/>
      <c r="C9" s="70" t="s">
        <v>183</v>
      </c>
      <c r="D9" s="71">
        <v>12.25</v>
      </c>
      <c r="E9" s="70">
        <v>1</v>
      </c>
      <c r="F9" s="72">
        <v>23854.639999999999</v>
      </c>
      <c r="G9" s="72">
        <v>15000</v>
      </c>
      <c r="H9" s="72">
        <v>95418.559999999998</v>
      </c>
      <c r="I9" s="73">
        <f t="shared" si="0"/>
        <v>71563.92</v>
      </c>
    </row>
    <row r="10" spans="2:9" x14ac:dyDescent="0.45">
      <c r="B10" s="69"/>
      <c r="C10" s="70" t="s">
        <v>184</v>
      </c>
      <c r="D10" s="71">
        <v>8.5</v>
      </c>
      <c r="E10" s="70">
        <v>1</v>
      </c>
      <c r="F10" s="72">
        <v>18084</v>
      </c>
      <c r="G10" s="72">
        <v>20000</v>
      </c>
      <c r="H10" s="72">
        <v>36168</v>
      </c>
      <c r="I10" s="73">
        <f t="shared" si="0"/>
        <v>18084</v>
      </c>
    </row>
    <row r="11" spans="2:9" x14ac:dyDescent="0.45">
      <c r="B11" s="69"/>
      <c r="C11" s="70" t="s">
        <v>185</v>
      </c>
      <c r="D11" s="71">
        <v>8.5</v>
      </c>
      <c r="E11" s="70">
        <v>1</v>
      </c>
      <c r="F11" s="72">
        <v>17913</v>
      </c>
      <c r="G11" s="72">
        <v>12000</v>
      </c>
      <c r="H11" s="72">
        <v>71652</v>
      </c>
      <c r="I11" s="73">
        <f t="shared" si="0"/>
        <v>53739</v>
      </c>
    </row>
    <row r="12" spans="2:9" x14ac:dyDescent="0.45">
      <c r="B12" s="69"/>
      <c r="C12" s="70" t="s">
        <v>192</v>
      </c>
      <c r="D12" s="71">
        <v>8.5</v>
      </c>
      <c r="E12" s="70">
        <v>2</v>
      </c>
      <c r="F12" s="72">
        <v>11234</v>
      </c>
      <c r="G12" s="72">
        <f>52000*E12</f>
        <v>104000</v>
      </c>
      <c r="H12" s="72">
        <v>44936</v>
      </c>
      <c r="I12" s="73">
        <f t="shared" si="0"/>
        <v>33702</v>
      </c>
    </row>
    <row r="13" spans="2:9" x14ac:dyDescent="0.45">
      <c r="B13" s="69"/>
      <c r="C13" s="70" t="s">
        <v>193</v>
      </c>
      <c r="D13" s="71">
        <v>6.125</v>
      </c>
      <c r="E13" s="70">
        <v>2</v>
      </c>
      <c r="F13" s="72">
        <v>13334</v>
      </c>
      <c r="G13" s="72">
        <f>15928.56*E13</f>
        <v>31857.119999999999</v>
      </c>
      <c r="H13" s="72">
        <v>26668</v>
      </c>
      <c r="I13" s="73">
        <f t="shared" si="0"/>
        <v>13334</v>
      </c>
    </row>
    <row r="14" spans="2:9" x14ac:dyDescent="0.45">
      <c r="B14" s="69"/>
      <c r="C14" s="70" t="s">
        <v>194</v>
      </c>
      <c r="D14" s="71">
        <v>6.125</v>
      </c>
      <c r="E14" s="70">
        <v>2</v>
      </c>
      <c r="F14" s="72">
        <v>11234</v>
      </c>
      <c r="G14" s="72">
        <f>12740.76*2</f>
        <v>25481.52</v>
      </c>
      <c r="H14" s="72">
        <v>44936</v>
      </c>
      <c r="I14" s="73">
        <f t="shared" si="0"/>
        <v>33702</v>
      </c>
    </row>
    <row r="15" spans="2:9" x14ac:dyDescent="0.45">
      <c r="B15" s="69" t="s">
        <v>9</v>
      </c>
      <c r="C15" s="70" t="s">
        <v>186</v>
      </c>
      <c r="D15" s="71">
        <v>12.25</v>
      </c>
      <c r="E15" s="70">
        <v>1</v>
      </c>
      <c r="F15" s="72">
        <v>25828.01</v>
      </c>
      <c r="G15" s="72">
        <v>90000</v>
      </c>
      <c r="H15" s="72">
        <v>103312.04</v>
      </c>
      <c r="I15" s="73">
        <f t="shared" si="0"/>
        <v>77484.03</v>
      </c>
    </row>
    <row r="16" spans="2:9" x14ac:dyDescent="0.45">
      <c r="B16" s="69"/>
      <c r="C16" s="70" t="s">
        <v>187</v>
      </c>
      <c r="D16" s="71">
        <v>16</v>
      </c>
      <c r="E16" s="70">
        <v>1</v>
      </c>
      <c r="F16" s="72">
        <v>27916</v>
      </c>
      <c r="G16" s="72">
        <v>15200</v>
      </c>
      <c r="H16" s="72">
        <v>83748</v>
      </c>
      <c r="I16" s="73">
        <f t="shared" si="0"/>
        <v>55832</v>
      </c>
    </row>
    <row r="18" spans="6:6" x14ac:dyDescent="0.45">
      <c r="F18" s="20"/>
    </row>
    <row r="19" spans="6:6" x14ac:dyDescent="0.45">
      <c r="F19" s="20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3113-6C1A-4AC4-A995-E7C39ED8AB38}">
  <dimension ref="B2:G18"/>
  <sheetViews>
    <sheetView zoomScaleNormal="100" workbookViewId="0">
      <selection activeCell="E22" sqref="E22"/>
    </sheetView>
  </sheetViews>
  <sheetFormatPr defaultRowHeight="14.25" x14ac:dyDescent="0.45"/>
  <cols>
    <col min="1" max="1" width="13.73046875" customWidth="1"/>
    <col min="2" max="2" width="8" customWidth="1"/>
    <col min="3" max="3" width="13.3984375" bestFit="1" customWidth="1"/>
    <col min="4" max="4" width="17.1328125" customWidth="1"/>
    <col min="5" max="5" width="12.9296875" bestFit="1" customWidth="1"/>
    <col min="6" max="6" width="14.9296875" customWidth="1"/>
    <col min="7" max="7" width="13.3984375" bestFit="1" customWidth="1"/>
  </cols>
  <sheetData>
    <row r="2" spans="2:7" x14ac:dyDescent="0.45">
      <c r="B2" s="51" t="s">
        <v>0</v>
      </c>
      <c r="C2" s="194" t="s">
        <v>171</v>
      </c>
      <c r="D2" s="194" t="s">
        <v>172</v>
      </c>
    </row>
    <row r="3" spans="2:7" ht="94.5" x14ac:dyDescent="0.45">
      <c r="B3" s="48" t="s">
        <v>9</v>
      </c>
      <c r="C3" s="87">
        <v>0.12</v>
      </c>
      <c r="D3" s="193" t="s">
        <v>168</v>
      </c>
    </row>
    <row r="4" spans="2:7" ht="126" x14ac:dyDescent="0.45">
      <c r="B4" s="48" t="s">
        <v>8</v>
      </c>
      <c r="C4" s="87">
        <v>0.08</v>
      </c>
      <c r="D4" s="193" t="s">
        <v>169</v>
      </c>
    </row>
    <row r="5" spans="2:7" ht="47.25" x14ac:dyDescent="0.45">
      <c r="B5" s="48" t="s">
        <v>5</v>
      </c>
      <c r="C5" s="87">
        <v>0.03</v>
      </c>
      <c r="D5" s="193" t="s">
        <v>170</v>
      </c>
    </row>
    <row r="6" spans="2:7" ht="47.25" x14ac:dyDescent="0.45">
      <c r="B6" s="54" t="s">
        <v>6</v>
      </c>
      <c r="C6" s="88">
        <v>0.01</v>
      </c>
      <c r="D6" s="193" t="s">
        <v>170</v>
      </c>
    </row>
    <row r="13" spans="2:7" x14ac:dyDescent="0.45">
      <c r="B13" s="74" t="s">
        <v>0</v>
      </c>
      <c r="C13" s="75" t="s">
        <v>1</v>
      </c>
      <c r="D13" s="194" t="s">
        <v>171</v>
      </c>
      <c r="E13" s="75" t="s">
        <v>49</v>
      </c>
      <c r="F13" s="76" t="s">
        <v>45</v>
      </c>
    </row>
    <row r="14" spans="2:7" x14ac:dyDescent="0.45">
      <c r="B14" s="77" t="s">
        <v>9</v>
      </c>
      <c r="C14" s="78">
        <v>1113884.1299999999</v>
      </c>
      <c r="D14" s="79">
        <v>0.12</v>
      </c>
      <c r="E14" s="80">
        <f>(C14*D14)</f>
        <v>133666.09559999997</v>
      </c>
      <c r="F14" s="81">
        <f>C14+E14</f>
        <v>1247550.2255999998</v>
      </c>
      <c r="G14" s="20"/>
    </row>
    <row r="15" spans="2:7" ht="15.75" x14ac:dyDescent="0.5">
      <c r="B15" s="82" t="s">
        <v>8</v>
      </c>
      <c r="C15" s="80">
        <v>1998103.4000000001</v>
      </c>
      <c r="D15" s="79">
        <v>0.08</v>
      </c>
      <c r="E15" s="80">
        <f t="shared" ref="E15:E17" si="0">(C15*D15)</f>
        <v>159848.27200000003</v>
      </c>
      <c r="F15" s="81">
        <f t="shared" ref="F15:F17" si="1">C15+E15</f>
        <v>2157951.6720000003</v>
      </c>
    </row>
    <row r="16" spans="2:7" x14ac:dyDescent="0.45">
      <c r="B16" s="77" t="s">
        <v>5</v>
      </c>
      <c r="C16" s="80">
        <v>582667</v>
      </c>
      <c r="D16" s="79">
        <v>0.03</v>
      </c>
      <c r="E16" s="80">
        <f t="shared" si="0"/>
        <v>17480.009999999998</v>
      </c>
      <c r="F16" s="81">
        <f t="shared" si="1"/>
        <v>600147.01</v>
      </c>
    </row>
    <row r="17" spans="2:6" x14ac:dyDescent="0.45">
      <c r="B17" s="83" t="s">
        <v>6</v>
      </c>
      <c r="C17" s="84">
        <v>440294.6</v>
      </c>
      <c r="D17" s="85">
        <v>0.01</v>
      </c>
      <c r="E17" s="84">
        <f t="shared" si="0"/>
        <v>4402.9459999999999</v>
      </c>
      <c r="F17" s="86">
        <f t="shared" si="1"/>
        <v>444697.54599999997</v>
      </c>
    </row>
    <row r="18" spans="2:6" x14ac:dyDescent="0.45">
      <c r="E18" s="20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C994-93E1-41D3-9D93-E711676EAE64}">
  <dimension ref="A1:G38"/>
  <sheetViews>
    <sheetView showGridLines="0" workbookViewId="0">
      <selection activeCell="F44" sqref="F44"/>
    </sheetView>
  </sheetViews>
  <sheetFormatPr defaultRowHeight="14.25" outlineLevelRow="1" x14ac:dyDescent="0.45"/>
  <cols>
    <col min="1" max="1" width="2.1328125" customWidth="1"/>
    <col min="2" max="2" width="4.59765625" bestFit="1" customWidth="1"/>
    <col min="3" max="3" width="11.3984375" bestFit="1" customWidth="1"/>
    <col min="4" max="4" width="13.3984375" bestFit="1" customWidth="1"/>
    <col min="5" max="5" width="15.73046875" bestFit="1" customWidth="1"/>
    <col min="6" max="6" width="10.06640625" bestFit="1" customWidth="1"/>
    <col min="7" max="7" width="11.86328125" bestFit="1" customWidth="1"/>
  </cols>
  <sheetData>
    <row r="1" spans="1:5" x14ac:dyDescent="0.45">
      <c r="A1" s="1" t="s">
        <v>57</v>
      </c>
    </row>
    <row r="2" spans="1:5" x14ac:dyDescent="0.45">
      <c r="A2" s="1" t="s">
        <v>58</v>
      </c>
    </row>
    <row r="3" spans="1:5" x14ac:dyDescent="0.45">
      <c r="A3" s="1" t="s">
        <v>111</v>
      </c>
    </row>
    <row r="4" spans="1:5" x14ac:dyDescent="0.45">
      <c r="A4" s="1" t="s">
        <v>59</v>
      </c>
    </row>
    <row r="5" spans="1:5" x14ac:dyDescent="0.45">
      <c r="A5" s="1" t="s">
        <v>60</v>
      </c>
    </row>
    <row r="6" spans="1:5" hidden="1" outlineLevel="1" x14ac:dyDescent="0.45">
      <c r="A6" s="1"/>
      <c r="B6" t="s">
        <v>61</v>
      </c>
    </row>
    <row r="7" spans="1:5" hidden="1" outlineLevel="1" x14ac:dyDescent="0.45">
      <c r="A7" s="1"/>
      <c r="B7" t="s">
        <v>112</v>
      </c>
    </row>
    <row r="8" spans="1:5" hidden="1" outlineLevel="1" x14ac:dyDescent="0.45">
      <c r="A8" s="1"/>
      <c r="B8" t="s">
        <v>62</v>
      </c>
    </row>
    <row r="9" spans="1:5" collapsed="1" x14ac:dyDescent="0.45">
      <c r="A9" s="1" t="s">
        <v>63</v>
      </c>
    </row>
    <row r="10" spans="1:5" hidden="1" outlineLevel="1" x14ac:dyDescent="0.45">
      <c r="B10" t="s">
        <v>64</v>
      </c>
    </row>
    <row r="11" spans="1:5" hidden="1" outlineLevel="1" x14ac:dyDescent="0.45">
      <c r="B11" t="s">
        <v>65</v>
      </c>
    </row>
    <row r="12" spans="1:5" hidden="1" outlineLevel="1" x14ac:dyDescent="0.45">
      <c r="B12" t="s">
        <v>66</v>
      </c>
    </row>
    <row r="13" spans="1:5" collapsed="1" x14ac:dyDescent="0.45"/>
    <row r="14" spans="1:5" ht="14.65" thickBot="1" x14ac:dyDescent="0.5">
      <c r="A14" t="s">
        <v>84</v>
      </c>
    </row>
    <row r="15" spans="1:5" ht="14.65" thickBot="1" x14ac:dyDescent="0.5">
      <c r="B15" s="36" t="s">
        <v>32</v>
      </c>
      <c r="C15" s="36" t="s">
        <v>33</v>
      </c>
      <c r="D15" s="36" t="s">
        <v>67</v>
      </c>
      <c r="E15" s="36" t="s">
        <v>68</v>
      </c>
    </row>
    <row r="16" spans="1:5" ht="14.65" thickBot="1" x14ac:dyDescent="0.5">
      <c r="B16" s="27" t="s">
        <v>72</v>
      </c>
      <c r="C16" s="27" t="s">
        <v>1</v>
      </c>
      <c r="D16" s="30">
        <v>1401823.375</v>
      </c>
      <c r="E16" s="30">
        <v>1401823.375</v>
      </c>
    </row>
    <row r="19" spans="1:7" ht="14.65" thickBot="1" x14ac:dyDescent="0.5">
      <c r="A19" t="s">
        <v>69</v>
      </c>
    </row>
    <row r="20" spans="1:7" ht="14.65" thickBot="1" x14ac:dyDescent="0.5">
      <c r="B20" s="36" t="s">
        <v>32</v>
      </c>
      <c r="C20" s="36" t="s">
        <v>33</v>
      </c>
      <c r="D20" s="36" t="s">
        <v>67</v>
      </c>
      <c r="E20" s="36" t="s">
        <v>68</v>
      </c>
      <c r="F20" s="36" t="s">
        <v>70</v>
      </c>
    </row>
    <row r="21" spans="1:7" x14ac:dyDescent="0.45">
      <c r="B21" s="35" t="s">
        <v>82</v>
      </c>
      <c r="C21" s="37"/>
      <c r="D21" s="37"/>
      <c r="E21" s="37"/>
      <c r="F21" s="37"/>
    </row>
    <row r="22" spans="1:7" hidden="1" outlineLevel="1" x14ac:dyDescent="0.45">
      <c r="B22" s="29" t="s">
        <v>73</v>
      </c>
      <c r="C22" s="29" t="s">
        <v>74</v>
      </c>
      <c r="D22" s="31">
        <v>1</v>
      </c>
      <c r="E22" s="31">
        <v>1</v>
      </c>
      <c r="F22" s="29" t="s">
        <v>75</v>
      </c>
    </row>
    <row r="23" spans="1:7" hidden="1" outlineLevel="1" x14ac:dyDescent="0.45">
      <c r="B23" s="29" t="s">
        <v>76</v>
      </c>
      <c r="C23" s="29" t="s">
        <v>77</v>
      </c>
      <c r="D23" s="31">
        <v>10</v>
      </c>
      <c r="E23" s="31">
        <v>10</v>
      </c>
      <c r="F23" s="29" t="s">
        <v>75</v>
      </c>
    </row>
    <row r="24" spans="1:7" ht="14.65" hidden="1" outlineLevel="1" thickBot="1" x14ac:dyDescent="0.5">
      <c r="B24" s="27" t="s">
        <v>78</v>
      </c>
      <c r="C24" s="27" t="s">
        <v>79</v>
      </c>
      <c r="D24" s="32">
        <v>8</v>
      </c>
      <c r="E24" s="32">
        <v>8</v>
      </c>
      <c r="F24" s="27" t="s">
        <v>75</v>
      </c>
    </row>
    <row r="25" spans="1:7" collapsed="1" x14ac:dyDescent="0.45">
      <c r="B25" s="28"/>
      <c r="C25" s="28"/>
      <c r="D25" s="33"/>
      <c r="E25" s="33"/>
      <c r="F25" s="28"/>
    </row>
    <row r="28" spans="1:7" ht="14.65" thickBot="1" x14ac:dyDescent="0.5">
      <c r="A28" t="s">
        <v>71</v>
      </c>
    </row>
    <row r="29" spans="1:7" ht="14.65" thickBot="1" x14ac:dyDescent="0.5">
      <c r="B29" s="36" t="s">
        <v>32</v>
      </c>
      <c r="C29" s="36" t="s">
        <v>33</v>
      </c>
      <c r="D29" s="36" t="s">
        <v>34</v>
      </c>
      <c r="E29" s="36" t="s">
        <v>35</v>
      </c>
      <c r="F29" s="36" t="s">
        <v>36</v>
      </c>
      <c r="G29" s="36" t="s">
        <v>37</v>
      </c>
    </row>
    <row r="30" spans="1:7" x14ac:dyDescent="0.45">
      <c r="B30" s="29" t="s">
        <v>72</v>
      </c>
      <c r="C30" s="29" t="s">
        <v>1</v>
      </c>
      <c r="D30" s="34">
        <v>1401823.38</v>
      </c>
      <c r="E30" s="29" t="s">
        <v>85</v>
      </c>
      <c r="F30" s="29" t="s">
        <v>81</v>
      </c>
      <c r="G30" s="34">
        <v>154273.14500000002</v>
      </c>
    </row>
    <row r="31" spans="1:7" x14ac:dyDescent="0.45">
      <c r="B31" s="29" t="s">
        <v>73</v>
      </c>
      <c r="C31" s="29" t="s">
        <v>74</v>
      </c>
      <c r="D31" s="31">
        <v>1</v>
      </c>
      <c r="E31" s="29" t="s">
        <v>86</v>
      </c>
      <c r="F31" s="29" t="s">
        <v>80</v>
      </c>
      <c r="G31" s="29">
        <v>0</v>
      </c>
    </row>
    <row r="32" spans="1:7" x14ac:dyDescent="0.45">
      <c r="B32" s="41" t="s">
        <v>114</v>
      </c>
      <c r="C32" s="29"/>
      <c r="D32" s="31"/>
      <c r="E32" s="29"/>
      <c r="F32" s="29"/>
      <c r="G32" s="29"/>
    </row>
    <row r="33" spans="2:7" hidden="1" outlineLevel="1" x14ac:dyDescent="0.45">
      <c r="B33" s="29" t="s">
        <v>73</v>
      </c>
      <c r="C33" s="29" t="s">
        <v>74</v>
      </c>
      <c r="D33" s="31">
        <v>1</v>
      </c>
      <c r="E33" s="29" t="s">
        <v>113</v>
      </c>
      <c r="F33" s="29" t="s">
        <v>81</v>
      </c>
      <c r="G33" s="31">
        <v>1</v>
      </c>
    </row>
    <row r="34" spans="2:7" hidden="1" outlineLevel="1" x14ac:dyDescent="0.45">
      <c r="B34" s="29" t="s">
        <v>76</v>
      </c>
      <c r="C34" s="29" t="s">
        <v>77</v>
      </c>
      <c r="D34" s="31">
        <v>10</v>
      </c>
      <c r="E34" s="29" t="s">
        <v>102</v>
      </c>
      <c r="F34" s="29" t="s">
        <v>81</v>
      </c>
      <c r="G34" s="31">
        <v>10</v>
      </c>
    </row>
    <row r="35" spans="2:7" hidden="1" outlineLevel="1" x14ac:dyDescent="0.45">
      <c r="B35" s="29" t="s">
        <v>78</v>
      </c>
      <c r="C35" s="29" t="s">
        <v>79</v>
      </c>
      <c r="D35" s="31">
        <v>8</v>
      </c>
      <c r="E35" s="29" t="s">
        <v>103</v>
      </c>
      <c r="F35" s="29" t="s">
        <v>81</v>
      </c>
      <c r="G35" s="31">
        <v>8</v>
      </c>
    </row>
    <row r="36" spans="2:7" collapsed="1" x14ac:dyDescent="0.45">
      <c r="B36" s="29"/>
      <c r="C36" s="29"/>
      <c r="D36" s="31"/>
      <c r="E36" s="29"/>
      <c r="F36" s="29"/>
      <c r="G36" s="31"/>
    </row>
    <row r="37" spans="2:7" x14ac:dyDescent="0.45">
      <c r="B37" s="29" t="s">
        <v>76</v>
      </c>
      <c r="C37" s="29" t="s">
        <v>77</v>
      </c>
      <c r="D37" s="31">
        <v>10</v>
      </c>
      <c r="E37" s="29" t="s">
        <v>87</v>
      </c>
      <c r="F37" s="29" t="s">
        <v>80</v>
      </c>
      <c r="G37" s="29">
        <v>0</v>
      </c>
    </row>
    <row r="38" spans="2:7" ht="14.65" thickBot="1" x14ac:dyDescent="0.5">
      <c r="B38" s="27" t="s">
        <v>78</v>
      </c>
      <c r="C38" s="27" t="s">
        <v>79</v>
      </c>
      <c r="D38" s="32">
        <v>8</v>
      </c>
      <c r="E38" s="27" t="s">
        <v>88</v>
      </c>
      <c r="F38" s="27" t="s">
        <v>80</v>
      </c>
      <c r="G38" s="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0143-BC25-42AA-85FF-E8DCAE02EB4A}">
  <dimension ref="B2:O28"/>
  <sheetViews>
    <sheetView topLeftCell="A22" zoomScale="110" zoomScaleNormal="110" workbookViewId="0">
      <selection activeCell="L32" sqref="L32"/>
    </sheetView>
  </sheetViews>
  <sheetFormatPr defaultRowHeight="14.25" x14ac:dyDescent="0.45"/>
  <cols>
    <col min="2" max="2" width="9.19921875" customWidth="1"/>
    <col min="4" max="4" width="15.59765625" customWidth="1"/>
    <col min="5" max="5" width="9.46484375" customWidth="1"/>
    <col min="6" max="7" width="13.3984375" bestFit="1" customWidth="1"/>
    <col min="8" max="8" width="11.86328125" bestFit="1" customWidth="1"/>
    <col min="9" max="9" width="14.46484375" customWidth="1"/>
    <col min="10" max="10" width="16.1328125" bestFit="1" customWidth="1"/>
    <col min="11" max="11" width="13.3984375" bestFit="1" customWidth="1"/>
    <col min="12" max="12" width="14.46484375" customWidth="1"/>
    <col min="13" max="13" width="10.86328125" bestFit="1" customWidth="1"/>
    <col min="14" max="14" width="13.3984375" bestFit="1" customWidth="1"/>
    <col min="15" max="15" width="12.9296875" bestFit="1" customWidth="1"/>
  </cols>
  <sheetData>
    <row r="2" spans="2:15" x14ac:dyDescent="0.45">
      <c r="B2" s="74" t="s">
        <v>30</v>
      </c>
      <c r="C2" s="75" t="s">
        <v>195</v>
      </c>
      <c r="D2" s="215" t="s">
        <v>148</v>
      </c>
      <c r="E2" s="75" t="s">
        <v>3</v>
      </c>
      <c r="F2" s="75" t="s">
        <v>31</v>
      </c>
      <c r="G2" s="75" t="s">
        <v>51</v>
      </c>
      <c r="H2" s="75" t="s">
        <v>52</v>
      </c>
      <c r="I2" s="89" t="s">
        <v>43</v>
      </c>
      <c r="J2" s="75" t="s">
        <v>1</v>
      </c>
      <c r="K2" s="153" t="s">
        <v>155</v>
      </c>
      <c r="L2" s="152" t="s">
        <v>154</v>
      </c>
    </row>
    <row r="3" spans="2:15" x14ac:dyDescent="0.45">
      <c r="B3" s="77" t="s">
        <v>9</v>
      </c>
      <c r="C3" s="90" t="s">
        <v>46</v>
      </c>
      <c r="D3" s="63" t="s">
        <v>9</v>
      </c>
      <c r="E3" s="91">
        <v>16</v>
      </c>
      <c r="F3" s="92">
        <v>1</v>
      </c>
      <c r="G3" s="93">
        <v>27916</v>
      </c>
      <c r="H3" s="93">
        <f>G3*F3</f>
        <v>27916</v>
      </c>
      <c r="I3" s="93">
        <f>AVERAGE(MAR!H16)</f>
        <v>83748</v>
      </c>
      <c r="J3" s="93">
        <f>I3*F3</f>
        <v>83748</v>
      </c>
      <c r="K3" s="94">
        <f>J3-H3</f>
        <v>55832</v>
      </c>
      <c r="L3" s="95">
        <f>K3/J3</f>
        <v>0.66666666666666663</v>
      </c>
      <c r="M3" s="20"/>
    </row>
    <row r="4" spans="2:15" x14ac:dyDescent="0.45">
      <c r="B4" s="96"/>
      <c r="C4" s="63" t="s">
        <v>47</v>
      </c>
      <c r="D4" s="63" t="s">
        <v>9</v>
      </c>
      <c r="E4" s="91">
        <v>12.25</v>
      </c>
      <c r="F4" s="97">
        <v>10</v>
      </c>
      <c r="G4" s="98">
        <f>AVERAGE(JAN!F17,JAN!F19,FEB!F14,MAR!F15)</f>
        <v>25437.092499999999</v>
      </c>
      <c r="H4" s="93">
        <f t="shared" ref="H4:H5" si="0">G4*F4</f>
        <v>254370.92499999999</v>
      </c>
      <c r="I4" s="93">
        <f>AVERAGE(JAN!H17,JAN!H19,FEB!H14,MAR!H15)</f>
        <v>83159.197499999995</v>
      </c>
      <c r="J4" s="93">
        <f>I4*F4</f>
        <v>831591.97499999998</v>
      </c>
      <c r="K4" s="94">
        <f t="shared" ref="K4:K5" si="1">J4-H4</f>
        <v>577221.05000000005</v>
      </c>
      <c r="L4" s="95">
        <f t="shared" ref="L4:L6" si="2">K4/J4</f>
        <v>0.69411570500064057</v>
      </c>
      <c r="N4" s="25"/>
      <c r="O4" s="25"/>
    </row>
    <row r="5" spans="2:15" x14ac:dyDescent="0.45">
      <c r="B5" s="96"/>
      <c r="C5" s="63" t="s">
        <v>48</v>
      </c>
      <c r="D5" s="63" t="s">
        <v>9</v>
      </c>
      <c r="E5" s="91">
        <v>8.5</v>
      </c>
      <c r="F5" s="97">
        <v>8</v>
      </c>
      <c r="G5" s="93">
        <f>AVERAGE(JAN!F15,JAN!F16,JAN!F18,FEB!F15)</f>
        <v>17801.7925</v>
      </c>
      <c r="H5" s="93">
        <f t="shared" si="0"/>
        <v>142414.34</v>
      </c>
      <c r="I5" s="93">
        <f>AVERAGE(JAN!H15,JAN!H16,JAN!H18,FEB!H15)</f>
        <v>60810.425000000003</v>
      </c>
      <c r="J5" s="93">
        <f>I5*F5</f>
        <v>486483.4</v>
      </c>
      <c r="K5" s="94">
        <f t="shared" si="1"/>
        <v>344069.06000000006</v>
      </c>
      <c r="L5" s="95">
        <f t="shared" si="2"/>
        <v>0.70725755493404308</v>
      </c>
      <c r="N5" s="5"/>
    </row>
    <row r="6" spans="2:15" x14ac:dyDescent="0.45">
      <c r="B6" s="83" t="s">
        <v>147</v>
      </c>
      <c r="C6" s="99"/>
      <c r="D6" s="99"/>
      <c r="E6" s="99"/>
      <c r="F6" s="104">
        <f>SUM(F3:F5)</f>
        <v>19</v>
      </c>
      <c r="G6" s="100"/>
      <c r="H6" s="103">
        <f>SUM(H3:H5)</f>
        <v>424701.26500000001</v>
      </c>
      <c r="I6" s="101"/>
      <c r="J6" s="102">
        <f>SUM(J3:J5)</f>
        <v>1401823.375</v>
      </c>
      <c r="K6" s="105">
        <f>SUM(K3:K5)</f>
        <v>977122.1100000001</v>
      </c>
      <c r="L6" s="106">
        <f t="shared" si="2"/>
        <v>0.69703653643241614</v>
      </c>
      <c r="M6" s="141" t="s">
        <v>150</v>
      </c>
      <c r="N6" s="141" t="s">
        <v>152</v>
      </c>
      <c r="O6" s="142" t="s">
        <v>151</v>
      </c>
    </row>
    <row r="7" spans="2:15" x14ac:dyDescent="0.45">
      <c r="B7" s="225"/>
      <c r="C7" s="226"/>
      <c r="D7" s="226"/>
      <c r="E7" s="226"/>
      <c r="F7" s="227"/>
      <c r="G7" s="228"/>
      <c r="H7" s="229"/>
      <c r="I7" s="230"/>
      <c r="J7" s="231"/>
      <c r="K7" s="232"/>
      <c r="L7" s="233"/>
      <c r="M7" s="123"/>
      <c r="N7" s="139"/>
      <c r="O7" s="142"/>
    </row>
    <row r="8" spans="2:15" x14ac:dyDescent="0.45">
      <c r="I8" s="23"/>
      <c r="J8" s="240" t="s">
        <v>161</v>
      </c>
      <c r="K8" s="240"/>
      <c r="L8" s="5"/>
      <c r="M8" s="140"/>
      <c r="N8" s="145" t="s">
        <v>26</v>
      </c>
      <c r="O8" s="49" t="s">
        <v>137</v>
      </c>
    </row>
    <row r="9" spans="2:15" x14ac:dyDescent="0.45">
      <c r="C9" s="42" t="s">
        <v>145</v>
      </c>
      <c r="D9" s="18" t="s">
        <v>149</v>
      </c>
      <c r="E9" s="24" t="s">
        <v>150</v>
      </c>
      <c r="F9" s="18" t="s">
        <v>151</v>
      </c>
      <c r="I9" s="23"/>
      <c r="J9" s="224" t="s">
        <v>154</v>
      </c>
      <c r="K9" s="234">
        <f>1-(H6/J6)</f>
        <v>0.69703653643241603</v>
      </c>
      <c r="L9" s="5"/>
      <c r="M9" s="123" t="s">
        <v>135</v>
      </c>
      <c r="N9" s="139">
        <f>1-(J20/J6)</f>
        <v>0.20540336973621953</v>
      </c>
      <c r="O9" s="50">
        <f>J6-J20</f>
        <v>287939.24500000011</v>
      </c>
    </row>
    <row r="10" spans="2:15" x14ac:dyDescent="0.45">
      <c r="C10" s="138" t="s">
        <v>39</v>
      </c>
      <c r="D10" s="42" t="s">
        <v>40</v>
      </c>
      <c r="E10" s="24" t="s">
        <v>83</v>
      </c>
      <c r="F10" s="42">
        <v>1</v>
      </c>
      <c r="J10" s="222" t="s">
        <v>155</v>
      </c>
      <c r="K10" s="223">
        <f>J6-H6</f>
        <v>977122.11</v>
      </c>
      <c r="L10" s="5"/>
      <c r="M10" s="123" t="s">
        <v>4</v>
      </c>
      <c r="N10" s="139">
        <f>1-(K24/K10)</f>
        <v>0.20617840179668034</v>
      </c>
      <c r="O10" s="50">
        <f>K10-K24</f>
        <v>201461.47500000009</v>
      </c>
    </row>
    <row r="11" spans="2:15" x14ac:dyDescent="0.45">
      <c r="C11" s="42"/>
      <c r="D11" s="17" t="s">
        <v>41</v>
      </c>
      <c r="E11" s="24" t="s">
        <v>83</v>
      </c>
      <c r="F11" s="42">
        <v>10</v>
      </c>
      <c r="J11" s="16"/>
      <c r="L11" s="5"/>
      <c r="M11" s="124" t="s">
        <v>15</v>
      </c>
      <c r="N11" s="143">
        <f>1-(F20/F6)</f>
        <v>0.21052631578947367</v>
      </c>
      <c r="O11" s="144">
        <f>F6-F20</f>
        <v>4</v>
      </c>
    </row>
    <row r="12" spans="2:15" x14ac:dyDescent="0.45">
      <c r="C12" s="42"/>
      <c r="D12" s="17" t="s">
        <v>42</v>
      </c>
      <c r="E12" s="24" t="s">
        <v>83</v>
      </c>
      <c r="F12" s="42">
        <v>8</v>
      </c>
      <c r="H12" s="180"/>
      <c r="I12" s="20"/>
      <c r="L12" s="5"/>
    </row>
    <row r="13" spans="2:15" x14ac:dyDescent="0.45">
      <c r="C13" s="42"/>
      <c r="D13" s="42" t="s">
        <v>141</v>
      </c>
      <c r="E13" s="24" t="s">
        <v>38</v>
      </c>
      <c r="F13" s="42">
        <v>0</v>
      </c>
      <c r="G13" s="5"/>
    </row>
    <row r="14" spans="2:15" x14ac:dyDescent="0.45">
      <c r="C14" s="42"/>
      <c r="D14" s="18">
        <v>1113884.1299999999</v>
      </c>
      <c r="E14" s="24" t="s">
        <v>38</v>
      </c>
      <c r="F14" s="18">
        <v>1247550.2255999998</v>
      </c>
      <c r="G14" s="5"/>
    </row>
    <row r="16" spans="2:15" x14ac:dyDescent="0.45">
      <c r="B16" s="107" t="s">
        <v>30</v>
      </c>
      <c r="C16" s="107" t="s">
        <v>195</v>
      </c>
      <c r="D16" s="107" t="s">
        <v>2</v>
      </c>
      <c r="E16" s="107" t="s">
        <v>3</v>
      </c>
      <c r="F16" s="107" t="s">
        <v>31</v>
      </c>
      <c r="G16" s="107" t="s">
        <v>51</v>
      </c>
      <c r="H16" s="107" t="s">
        <v>52</v>
      </c>
      <c r="I16" s="107" t="s">
        <v>43</v>
      </c>
      <c r="J16" s="107" t="s">
        <v>1</v>
      </c>
      <c r="K16" s="153" t="s">
        <v>155</v>
      </c>
      <c r="L16" s="179" t="s">
        <v>154</v>
      </c>
    </row>
    <row r="17" spans="2:12" x14ac:dyDescent="0.45">
      <c r="B17" s="108" t="s">
        <v>9</v>
      </c>
      <c r="C17" s="109" t="s">
        <v>46</v>
      </c>
      <c r="D17" s="109" t="s">
        <v>9</v>
      </c>
      <c r="E17" s="110">
        <v>16</v>
      </c>
      <c r="F17" s="111">
        <v>1</v>
      </c>
      <c r="G17" s="112">
        <v>27916</v>
      </c>
      <c r="H17" s="112">
        <v>27916</v>
      </c>
      <c r="I17" s="112">
        <v>83748</v>
      </c>
      <c r="J17" s="112">
        <f>I17*F17</f>
        <v>83748</v>
      </c>
      <c r="K17" s="113">
        <f>J17-H17</f>
        <v>55832</v>
      </c>
      <c r="L17" s="114">
        <f>K17/J17</f>
        <v>0.66666666666666663</v>
      </c>
    </row>
    <row r="18" spans="2:12" x14ac:dyDescent="0.45">
      <c r="B18" s="108"/>
      <c r="C18" s="109" t="s">
        <v>47</v>
      </c>
      <c r="D18" s="109" t="s">
        <v>9</v>
      </c>
      <c r="E18" s="110">
        <v>12.25</v>
      </c>
      <c r="F18" s="111">
        <v>8</v>
      </c>
      <c r="G18" s="115">
        <v>25437.092499999999</v>
      </c>
      <c r="H18" s="112">
        <v>203496.74</v>
      </c>
      <c r="I18" s="112">
        <v>83159.197499999995</v>
      </c>
      <c r="J18" s="112">
        <f>I18*F18</f>
        <v>665273.57999999996</v>
      </c>
      <c r="K18" s="113">
        <f t="shared" ref="K18:K19" si="3">J18-H18</f>
        <v>461776.83999999997</v>
      </c>
      <c r="L18" s="114">
        <f t="shared" ref="L18:L20" si="4">K18/J18</f>
        <v>0.69411570500064046</v>
      </c>
    </row>
    <row r="19" spans="2:12" x14ac:dyDescent="0.45">
      <c r="B19" s="108"/>
      <c r="C19" s="109" t="s">
        <v>48</v>
      </c>
      <c r="D19" s="109" t="s">
        <v>9</v>
      </c>
      <c r="E19" s="110">
        <v>8.5</v>
      </c>
      <c r="F19" s="111">
        <v>6</v>
      </c>
      <c r="G19" s="112">
        <v>17801.7925</v>
      </c>
      <c r="H19" s="112">
        <v>106810.755</v>
      </c>
      <c r="I19" s="112">
        <v>60810.425000000003</v>
      </c>
      <c r="J19" s="112">
        <f>I19*F19</f>
        <v>364862.55000000005</v>
      </c>
      <c r="K19" s="113">
        <f t="shared" si="3"/>
        <v>258051.79500000004</v>
      </c>
      <c r="L19" s="114">
        <f t="shared" si="4"/>
        <v>0.70725755493404296</v>
      </c>
    </row>
    <row r="20" spans="2:12" x14ac:dyDescent="0.45">
      <c r="B20" s="108" t="s">
        <v>147</v>
      </c>
      <c r="C20" s="109"/>
      <c r="D20" s="109"/>
      <c r="E20" s="109"/>
      <c r="F20" s="116">
        <f>SUM(F17:F19)</f>
        <v>15</v>
      </c>
      <c r="G20" s="113"/>
      <c r="H20" s="117">
        <f>SUM(H17:H19)</f>
        <v>338223.495</v>
      </c>
      <c r="I20" s="112"/>
      <c r="J20" s="220">
        <f>SUM(J17:J19)</f>
        <v>1113884.1299999999</v>
      </c>
      <c r="K20" s="118">
        <f>SUM(K17:K19)</f>
        <v>775660.63500000001</v>
      </c>
      <c r="L20" s="119">
        <f t="shared" si="4"/>
        <v>0.69635666233973559</v>
      </c>
    </row>
    <row r="21" spans="2:12" x14ac:dyDescent="0.45">
      <c r="J21" s="221"/>
    </row>
    <row r="22" spans="2:12" x14ac:dyDescent="0.45">
      <c r="D22" s="23"/>
      <c r="E22" s="24"/>
      <c r="F22" s="23"/>
      <c r="J22" s="238" t="s">
        <v>160</v>
      </c>
      <c r="K22" s="239"/>
    </row>
    <row r="23" spans="2:12" x14ac:dyDescent="0.45">
      <c r="D23" s="16"/>
      <c r="E23" s="24"/>
      <c r="H23" s="180"/>
      <c r="I23" s="20"/>
      <c r="J23" s="218" t="s">
        <v>154</v>
      </c>
      <c r="K23" s="219">
        <f>1-(H20/J20)</f>
        <v>0.69635666233973548</v>
      </c>
    </row>
    <row r="24" spans="2:12" x14ac:dyDescent="0.45">
      <c r="D24" s="17"/>
      <c r="E24" s="24"/>
      <c r="J24" s="216" t="s">
        <v>155</v>
      </c>
      <c r="K24" s="217">
        <f>J20-H20</f>
        <v>775660.63499999989</v>
      </c>
    </row>
    <row r="25" spans="2:12" x14ac:dyDescent="0.45">
      <c r="D25" s="17"/>
      <c r="E25" s="24"/>
      <c r="J25" s="16"/>
    </row>
    <row r="26" spans="2:12" x14ac:dyDescent="0.45">
      <c r="F26" s="147" t="s">
        <v>150</v>
      </c>
      <c r="G26" s="148" t="s">
        <v>138</v>
      </c>
      <c r="H26" s="149" t="s">
        <v>156</v>
      </c>
      <c r="I26" s="150" t="s">
        <v>153</v>
      </c>
    </row>
    <row r="27" spans="2:12" x14ac:dyDescent="0.45">
      <c r="F27" s="96" t="s">
        <v>140</v>
      </c>
      <c r="G27" s="94">
        <v>1113884.1299999999</v>
      </c>
      <c r="H27" s="94">
        <v>775660.63499999989</v>
      </c>
      <c r="I27" s="146">
        <v>0.69635666233973548</v>
      </c>
    </row>
    <row r="28" spans="2:12" x14ac:dyDescent="0.45">
      <c r="F28" s="120" t="s">
        <v>139</v>
      </c>
      <c r="G28" s="100">
        <v>1401823.375</v>
      </c>
      <c r="H28" s="100">
        <v>977122.11</v>
      </c>
      <c r="I28" s="151">
        <v>0.69703653643241603</v>
      </c>
    </row>
  </sheetData>
  <mergeCells count="2">
    <mergeCell ref="J22:K22"/>
    <mergeCell ref="J8:K8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B9AD-F44D-46EF-ACF8-202E86D356A5}">
  <dimension ref="A1:G41"/>
  <sheetViews>
    <sheetView showGridLines="0" workbookViewId="0"/>
  </sheetViews>
  <sheetFormatPr defaultRowHeight="14.25" outlineLevelRow="1" x14ac:dyDescent="0.45"/>
  <cols>
    <col min="1" max="1" width="2.1328125" customWidth="1"/>
    <col min="2" max="2" width="4.59765625" bestFit="1" customWidth="1"/>
    <col min="3" max="3" width="18.9296875" bestFit="1" customWidth="1"/>
    <col min="4" max="4" width="13.3984375" bestFit="1" customWidth="1"/>
    <col min="5" max="5" width="15.73046875" bestFit="1" customWidth="1"/>
    <col min="6" max="6" width="10.06640625" bestFit="1" customWidth="1"/>
    <col min="7" max="7" width="10.86328125" bestFit="1" customWidth="1"/>
  </cols>
  <sheetData>
    <row r="1" spans="1:5" x14ac:dyDescent="0.45">
      <c r="A1" s="1" t="s">
        <v>57</v>
      </c>
    </row>
    <row r="2" spans="1:5" x14ac:dyDescent="0.45">
      <c r="A2" s="1" t="s">
        <v>89</v>
      </c>
    </row>
    <row r="3" spans="1:5" x14ac:dyDescent="0.45">
      <c r="A3" s="1" t="s">
        <v>90</v>
      </c>
    </row>
    <row r="4" spans="1:5" x14ac:dyDescent="0.45">
      <c r="A4" s="1" t="s">
        <v>59</v>
      </c>
    </row>
    <row r="5" spans="1:5" x14ac:dyDescent="0.45">
      <c r="A5" s="1" t="s">
        <v>60</v>
      </c>
    </row>
    <row r="6" spans="1:5" hidden="1" outlineLevel="1" x14ac:dyDescent="0.45">
      <c r="A6" s="1"/>
      <c r="B6" t="s">
        <v>61</v>
      </c>
    </row>
    <row r="7" spans="1:5" hidden="1" outlineLevel="1" x14ac:dyDescent="0.45">
      <c r="A7" s="1"/>
      <c r="B7" t="s">
        <v>91</v>
      </c>
    </row>
    <row r="8" spans="1:5" hidden="1" outlineLevel="1" x14ac:dyDescent="0.45">
      <c r="A8" s="1"/>
      <c r="B8" t="s">
        <v>92</v>
      </c>
    </row>
    <row r="9" spans="1:5" collapsed="1" x14ac:dyDescent="0.45">
      <c r="A9" s="1" t="s">
        <v>63</v>
      </c>
    </row>
    <row r="10" spans="1:5" hidden="1" outlineLevel="1" x14ac:dyDescent="0.45">
      <c r="B10" t="s">
        <v>64</v>
      </c>
    </row>
    <row r="11" spans="1:5" hidden="1" outlineLevel="1" x14ac:dyDescent="0.45">
      <c r="B11" t="s">
        <v>65</v>
      </c>
    </row>
    <row r="12" spans="1:5" hidden="1" outlineLevel="1" x14ac:dyDescent="0.45">
      <c r="B12" t="s">
        <v>66</v>
      </c>
    </row>
    <row r="13" spans="1:5" collapsed="1" x14ac:dyDescent="0.45"/>
    <row r="14" spans="1:5" ht="14.65" thickBot="1" x14ac:dyDescent="0.5">
      <c r="A14" t="s">
        <v>84</v>
      </c>
    </row>
    <row r="15" spans="1:5" ht="14.65" thickBot="1" x14ac:dyDescent="0.5">
      <c r="B15" s="36" t="s">
        <v>32</v>
      </c>
      <c r="C15" s="36" t="s">
        <v>33</v>
      </c>
      <c r="D15" s="36" t="s">
        <v>67</v>
      </c>
      <c r="E15" s="36" t="s">
        <v>68</v>
      </c>
    </row>
    <row r="16" spans="1:5" ht="14.65" thickBot="1" x14ac:dyDescent="0.5">
      <c r="B16" s="27" t="s">
        <v>93</v>
      </c>
      <c r="C16" s="27" t="s">
        <v>1</v>
      </c>
      <c r="D16" s="30">
        <v>1998103.4</v>
      </c>
      <c r="E16" s="30">
        <v>2255797.2228999999</v>
      </c>
    </row>
    <row r="19" spans="1:7" ht="14.65" thickBot="1" x14ac:dyDescent="0.5">
      <c r="A19" t="s">
        <v>69</v>
      </c>
    </row>
    <row r="20" spans="1:7" ht="14.65" thickBot="1" x14ac:dyDescent="0.5">
      <c r="B20" s="36" t="s">
        <v>32</v>
      </c>
      <c r="C20" s="36" t="s">
        <v>33</v>
      </c>
      <c r="D20" s="36" t="s">
        <v>67</v>
      </c>
      <c r="E20" s="36" t="s">
        <v>68</v>
      </c>
      <c r="F20" s="36" t="s">
        <v>70</v>
      </c>
    </row>
    <row r="21" spans="1:7" x14ac:dyDescent="0.45">
      <c r="B21" s="35" t="s">
        <v>109</v>
      </c>
      <c r="C21" s="37"/>
      <c r="D21" s="37"/>
      <c r="E21" s="37"/>
      <c r="F21" s="37"/>
    </row>
    <row r="22" spans="1:7" hidden="1" outlineLevel="1" x14ac:dyDescent="0.45">
      <c r="B22" s="29" t="s">
        <v>76</v>
      </c>
      <c r="C22" s="29" t="s">
        <v>94</v>
      </c>
      <c r="D22" s="38">
        <v>7</v>
      </c>
      <c r="E22" s="38">
        <v>8</v>
      </c>
      <c r="F22" s="29" t="s">
        <v>75</v>
      </c>
    </row>
    <row r="23" spans="1:7" hidden="1" outlineLevel="1" x14ac:dyDescent="0.45">
      <c r="B23" s="29" t="s">
        <v>78</v>
      </c>
      <c r="C23" s="29" t="s">
        <v>95</v>
      </c>
      <c r="D23" s="38">
        <v>9</v>
      </c>
      <c r="E23" s="38">
        <v>10</v>
      </c>
      <c r="F23" s="29" t="s">
        <v>75</v>
      </c>
    </row>
    <row r="24" spans="1:7" hidden="1" outlineLevel="1" x14ac:dyDescent="0.45">
      <c r="B24" s="29" t="s">
        <v>96</v>
      </c>
      <c r="C24" s="29" t="s">
        <v>97</v>
      </c>
      <c r="D24" s="38">
        <v>7</v>
      </c>
      <c r="E24" s="38">
        <v>8</v>
      </c>
      <c r="F24" s="29" t="s">
        <v>75</v>
      </c>
    </row>
    <row r="25" spans="1:7" ht="14.65" hidden="1" outlineLevel="1" thickBot="1" x14ac:dyDescent="0.5">
      <c r="B25" s="27" t="s">
        <v>98</v>
      </c>
      <c r="C25" s="27" t="s">
        <v>99</v>
      </c>
      <c r="D25" s="39">
        <v>7</v>
      </c>
      <c r="E25" s="39">
        <v>8</v>
      </c>
      <c r="F25" s="27" t="s">
        <v>75</v>
      </c>
    </row>
    <row r="26" spans="1:7" collapsed="1" x14ac:dyDescent="0.45">
      <c r="B26" s="28"/>
      <c r="C26" s="28"/>
      <c r="D26" s="40"/>
      <c r="E26" s="40"/>
      <c r="F26" s="28"/>
    </row>
    <row r="29" spans="1:7" ht="14.65" thickBot="1" x14ac:dyDescent="0.5">
      <c r="A29" t="s">
        <v>71</v>
      </c>
    </row>
    <row r="30" spans="1:7" ht="14.65" thickBot="1" x14ac:dyDescent="0.5">
      <c r="B30" s="36" t="s">
        <v>32</v>
      </c>
      <c r="C30" s="36" t="s">
        <v>33</v>
      </c>
      <c r="D30" s="36" t="s">
        <v>34</v>
      </c>
      <c r="E30" s="36" t="s">
        <v>35</v>
      </c>
      <c r="F30" s="36" t="s">
        <v>36</v>
      </c>
      <c r="G30" s="36" t="s">
        <v>37</v>
      </c>
    </row>
    <row r="31" spans="1:7" x14ac:dyDescent="0.45">
      <c r="B31" s="29" t="s">
        <v>93</v>
      </c>
      <c r="C31" s="29" t="s">
        <v>1</v>
      </c>
      <c r="D31" s="34">
        <v>2255797.2200000002</v>
      </c>
      <c r="E31" s="29" t="s">
        <v>100</v>
      </c>
      <c r="F31" s="29" t="s">
        <v>81</v>
      </c>
      <c r="G31" s="34">
        <v>97845.552857142873</v>
      </c>
    </row>
    <row r="32" spans="1:7" x14ac:dyDescent="0.45">
      <c r="B32" s="29" t="s">
        <v>76</v>
      </c>
      <c r="C32" s="29" t="s">
        <v>94</v>
      </c>
      <c r="D32" s="38">
        <v>8</v>
      </c>
      <c r="E32" s="29" t="s">
        <v>101</v>
      </c>
      <c r="F32" s="29" t="s">
        <v>80</v>
      </c>
      <c r="G32" s="29">
        <v>0</v>
      </c>
    </row>
    <row r="33" spans="2:7" x14ac:dyDescent="0.45">
      <c r="B33" s="41" t="s">
        <v>110</v>
      </c>
      <c r="C33" s="29"/>
      <c r="D33" s="38"/>
      <c r="E33" s="29"/>
      <c r="F33" s="29"/>
      <c r="G33" s="29"/>
    </row>
    <row r="34" spans="2:7" hidden="1" outlineLevel="1" x14ac:dyDescent="0.45">
      <c r="B34" s="29" t="s">
        <v>76</v>
      </c>
      <c r="C34" s="29" t="s">
        <v>94</v>
      </c>
      <c r="D34" s="38">
        <v>8</v>
      </c>
      <c r="E34" s="29" t="s">
        <v>102</v>
      </c>
      <c r="F34" s="29" t="s">
        <v>81</v>
      </c>
      <c r="G34" s="38">
        <v>8</v>
      </c>
    </row>
    <row r="35" spans="2:7" hidden="1" outlineLevel="1" x14ac:dyDescent="0.45">
      <c r="B35" s="29" t="s">
        <v>78</v>
      </c>
      <c r="C35" s="29" t="s">
        <v>95</v>
      </c>
      <c r="D35" s="38">
        <v>10</v>
      </c>
      <c r="E35" s="29" t="s">
        <v>103</v>
      </c>
      <c r="F35" s="29" t="s">
        <v>81</v>
      </c>
      <c r="G35" s="38">
        <v>10</v>
      </c>
    </row>
    <row r="36" spans="2:7" hidden="1" outlineLevel="1" x14ac:dyDescent="0.45">
      <c r="B36" s="29" t="s">
        <v>96</v>
      </c>
      <c r="C36" s="29" t="s">
        <v>97</v>
      </c>
      <c r="D36" s="38">
        <v>8</v>
      </c>
      <c r="E36" s="29" t="s">
        <v>104</v>
      </c>
      <c r="F36" s="29" t="s">
        <v>81</v>
      </c>
      <c r="G36" s="38">
        <v>8</v>
      </c>
    </row>
    <row r="37" spans="2:7" hidden="1" outlineLevel="1" x14ac:dyDescent="0.45">
      <c r="B37" s="29" t="s">
        <v>98</v>
      </c>
      <c r="C37" s="29" t="s">
        <v>99</v>
      </c>
      <c r="D37" s="38">
        <v>8</v>
      </c>
      <c r="E37" s="29" t="s">
        <v>105</v>
      </c>
      <c r="F37" s="29" t="s">
        <v>81</v>
      </c>
      <c r="G37" s="38">
        <v>8</v>
      </c>
    </row>
    <row r="38" spans="2:7" collapsed="1" x14ac:dyDescent="0.45">
      <c r="B38" s="29"/>
      <c r="C38" s="29"/>
      <c r="D38" s="38"/>
      <c r="E38" s="29"/>
      <c r="F38" s="29"/>
      <c r="G38" s="38"/>
    </row>
    <row r="39" spans="2:7" x14ac:dyDescent="0.45">
      <c r="B39" s="29" t="s">
        <v>78</v>
      </c>
      <c r="C39" s="29" t="s">
        <v>95</v>
      </c>
      <c r="D39" s="38">
        <v>10</v>
      </c>
      <c r="E39" s="29" t="s">
        <v>106</v>
      </c>
      <c r="F39" s="29" t="s">
        <v>80</v>
      </c>
      <c r="G39" s="29">
        <v>0</v>
      </c>
    </row>
    <row r="40" spans="2:7" x14ac:dyDescent="0.45">
      <c r="B40" s="29" t="s">
        <v>96</v>
      </c>
      <c r="C40" s="29" t="s">
        <v>97</v>
      </c>
      <c r="D40" s="38">
        <v>8</v>
      </c>
      <c r="E40" s="29" t="s">
        <v>107</v>
      </c>
      <c r="F40" s="29" t="s">
        <v>80</v>
      </c>
      <c r="G40" s="29">
        <v>0</v>
      </c>
    </row>
    <row r="41" spans="2:7" ht="14.65" thickBot="1" x14ac:dyDescent="0.5">
      <c r="B41" s="27" t="s">
        <v>98</v>
      </c>
      <c r="C41" s="27" t="s">
        <v>99</v>
      </c>
      <c r="D41" s="39">
        <v>8</v>
      </c>
      <c r="E41" s="27" t="s">
        <v>108</v>
      </c>
      <c r="F41" s="27" t="s">
        <v>80</v>
      </c>
      <c r="G41" s="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62B8-684E-41D6-8996-58375810790A}">
  <dimension ref="B3:O33"/>
  <sheetViews>
    <sheetView topLeftCell="A28" workbookViewId="0">
      <selection activeCell="K48" sqref="K48"/>
    </sheetView>
  </sheetViews>
  <sheetFormatPr defaultRowHeight="14.25" x14ac:dyDescent="0.45"/>
  <cols>
    <col min="2" max="2" width="9.46484375" customWidth="1"/>
    <col min="4" max="4" width="13.1328125" bestFit="1" customWidth="1"/>
    <col min="5" max="5" width="13.3984375" bestFit="1" customWidth="1"/>
    <col min="6" max="6" width="12.59765625" bestFit="1" customWidth="1"/>
    <col min="7" max="8" width="13.3984375" bestFit="1" customWidth="1"/>
    <col min="9" max="9" width="15.06640625" customWidth="1"/>
    <col min="10" max="11" width="13.3984375" bestFit="1" customWidth="1"/>
    <col min="12" max="12" width="14.6640625" customWidth="1"/>
    <col min="15" max="15" width="11.86328125" bestFit="1" customWidth="1"/>
  </cols>
  <sheetData>
    <row r="3" spans="2:15" x14ac:dyDescent="0.45">
      <c r="B3" s="51" t="s">
        <v>0</v>
      </c>
      <c r="C3" s="52" t="s">
        <v>195</v>
      </c>
      <c r="D3" s="52" t="s">
        <v>2</v>
      </c>
      <c r="E3" s="52" t="s">
        <v>3</v>
      </c>
      <c r="F3" s="52" t="s">
        <v>31</v>
      </c>
      <c r="G3" s="52" t="s">
        <v>50</v>
      </c>
      <c r="H3" s="52" t="s">
        <v>52</v>
      </c>
      <c r="I3" s="52" t="s">
        <v>44</v>
      </c>
      <c r="J3" s="52" t="s">
        <v>1</v>
      </c>
      <c r="K3" s="52" t="s">
        <v>155</v>
      </c>
      <c r="L3" s="53" t="s">
        <v>154</v>
      </c>
    </row>
    <row r="4" spans="2:15" x14ac:dyDescent="0.45">
      <c r="B4" s="48" t="s">
        <v>8</v>
      </c>
      <c r="C4" s="121" t="s">
        <v>46</v>
      </c>
      <c r="D4" s="43" t="s">
        <v>8</v>
      </c>
      <c r="E4" s="44">
        <v>16</v>
      </c>
      <c r="F4" s="43">
        <v>8</v>
      </c>
      <c r="G4" s="46">
        <f>AVERAGE(JAN!$F10,FEB!$F10,MAR!$F7)</f>
        <v>15027.340000000002</v>
      </c>
      <c r="H4" s="46">
        <f>F4*G4</f>
        <v>120218.72000000002</v>
      </c>
      <c r="I4" s="46">
        <f>AVERAGE(JAN!H10,FEB!H10,MAR!H7)</f>
        <v>60109.360000000008</v>
      </c>
      <c r="J4" s="46">
        <f>I4*F4</f>
        <v>480874.88000000006</v>
      </c>
      <c r="K4" s="46">
        <f>J4-H4</f>
        <v>360656.16000000003</v>
      </c>
      <c r="L4" s="122">
        <f>K4/J4</f>
        <v>0.75</v>
      </c>
    </row>
    <row r="5" spans="2:15" x14ac:dyDescent="0.45">
      <c r="B5" s="123"/>
      <c r="C5" s="43" t="s">
        <v>47</v>
      </c>
      <c r="D5" s="43" t="s">
        <v>8</v>
      </c>
      <c r="E5" s="44">
        <v>12.25</v>
      </c>
      <c r="F5" s="43">
        <v>10</v>
      </c>
      <c r="G5" s="46">
        <f>AVERAGE(JAN!F12,JAN!F13,FEB!F11,MAR!F8,MAR!F9)</f>
        <v>23088.098000000002</v>
      </c>
      <c r="H5" s="46">
        <f t="shared" ref="H5:H7" si="0">F5*G5</f>
        <v>230880.98</v>
      </c>
      <c r="I5" s="46">
        <f>AVERAGE(JAN!H12,JAN!H13,FEB!H11,MAR!H8,MAR!H9)</f>
        <v>97123.32</v>
      </c>
      <c r="J5" s="46">
        <f t="shared" ref="J5:J7" si="1">I5*F5</f>
        <v>971233.20000000007</v>
      </c>
      <c r="K5" s="46">
        <f t="shared" ref="K5:K7" si="2">J5-H5</f>
        <v>740352.22000000009</v>
      </c>
      <c r="L5" s="122">
        <f t="shared" ref="L5:L8" si="3">K5/J5</f>
        <v>0.76228059337345555</v>
      </c>
    </row>
    <row r="6" spans="2:15" x14ac:dyDescent="0.45">
      <c r="B6" s="123"/>
      <c r="C6" s="43" t="s">
        <v>48</v>
      </c>
      <c r="D6" s="43" t="s">
        <v>8</v>
      </c>
      <c r="E6" s="44">
        <v>8.5</v>
      </c>
      <c r="F6" s="43">
        <v>8</v>
      </c>
      <c r="G6" s="46">
        <f>AVERAGE(JAN!F11,JAN!F14,FEB!F12,MAR!F6,MAR!F11,MAR!F12)</f>
        <v>15273.5</v>
      </c>
      <c r="H6" s="46">
        <f t="shared" si="0"/>
        <v>122188</v>
      </c>
      <c r="I6" s="46">
        <f>AVERAGE(JAN!H11,JAN!H14,FEB!H12,MAR!H6,MAR!H10,MAR!H11,MAR!H12)</f>
        <v>60092.142857142855</v>
      </c>
      <c r="J6" s="46">
        <f t="shared" si="1"/>
        <v>480737.14285714284</v>
      </c>
      <c r="K6" s="46">
        <f t="shared" si="2"/>
        <v>358549.14285714284</v>
      </c>
      <c r="L6" s="122">
        <f t="shared" si="3"/>
        <v>0.74583199610122553</v>
      </c>
    </row>
    <row r="7" spans="2:15" x14ac:dyDescent="0.45">
      <c r="B7" s="123"/>
      <c r="C7" s="43" t="s">
        <v>53</v>
      </c>
      <c r="D7" s="43" t="s">
        <v>8</v>
      </c>
      <c r="E7" s="44">
        <v>6.125</v>
      </c>
      <c r="F7" s="43">
        <v>8</v>
      </c>
      <c r="G7" s="46">
        <f>AVERAGE(JAN!F9,FEB!F13,MAR!F13,MAR!F14)</f>
        <v>11759</v>
      </c>
      <c r="H7" s="46">
        <f t="shared" si="0"/>
        <v>94072</v>
      </c>
      <c r="I7" s="46">
        <f>AVERAGE(JAN!H9,FEB!H13,MAR!H13,MAR!H14)</f>
        <v>40369</v>
      </c>
      <c r="J7" s="46">
        <f t="shared" si="1"/>
        <v>322952</v>
      </c>
      <c r="K7" s="46">
        <f t="shared" si="2"/>
        <v>228880</v>
      </c>
      <c r="L7" s="122">
        <f t="shared" si="3"/>
        <v>0.70871213059525873</v>
      </c>
    </row>
    <row r="8" spans="2:15" x14ac:dyDescent="0.45">
      <c r="B8" s="124" t="s">
        <v>147</v>
      </c>
      <c r="C8" s="55"/>
      <c r="D8" s="55"/>
      <c r="E8" s="55"/>
      <c r="F8" s="125">
        <f>SUM(F4:F7)</f>
        <v>34</v>
      </c>
      <c r="G8" s="126"/>
      <c r="H8" s="127">
        <f>SUM(H4:H7)</f>
        <v>567359.69999999995</v>
      </c>
      <c r="I8" s="55"/>
      <c r="J8" s="128">
        <f>SUM(J4:J7)</f>
        <v>2255797.2228571428</v>
      </c>
      <c r="K8" s="129">
        <f>SUM(K4:K7)</f>
        <v>1688437.5228571431</v>
      </c>
      <c r="L8" s="130">
        <f t="shared" si="3"/>
        <v>0.74848816451622613</v>
      </c>
    </row>
    <row r="9" spans="2:15" x14ac:dyDescent="0.45">
      <c r="M9" s="131"/>
      <c r="N9" s="131" t="s">
        <v>49</v>
      </c>
      <c r="O9" s="131"/>
    </row>
    <row r="10" spans="2:15" x14ac:dyDescent="0.45">
      <c r="M10" s="166"/>
      <c r="N10" s="167" t="s">
        <v>26</v>
      </c>
      <c r="O10" s="168" t="s">
        <v>137</v>
      </c>
    </row>
    <row r="11" spans="2:15" ht="14.65" thickBot="1" x14ac:dyDescent="0.5">
      <c r="D11" s="155" t="s">
        <v>145</v>
      </c>
      <c r="E11" s="156">
        <v>1998103.4000000001</v>
      </c>
      <c r="F11" s="157"/>
      <c r="G11" s="158"/>
      <c r="J11" s="131" t="s">
        <v>154</v>
      </c>
      <c r="K11" s="154">
        <f>H8/J8</f>
        <v>0.25151183548377398</v>
      </c>
      <c r="M11" s="169" t="s">
        <v>135</v>
      </c>
      <c r="N11" s="170">
        <f>1-(E11/J8)</f>
        <v>0.11423625326160891</v>
      </c>
      <c r="O11" s="171">
        <f>J8-J24</f>
        <v>257693.82285714266</v>
      </c>
    </row>
    <row r="12" spans="2:15" ht="14.65" thickTop="1" x14ac:dyDescent="0.45">
      <c r="D12" s="159" t="s">
        <v>39</v>
      </c>
      <c r="E12" s="160">
        <v>16</v>
      </c>
      <c r="F12" s="161" t="s">
        <v>83</v>
      </c>
      <c r="G12" s="162">
        <v>8</v>
      </c>
      <c r="J12" s="131" t="s">
        <v>155</v>
      </c>
      <c r="K12" s="154">
        <f>J8-H8</f>
        <v>1688437.5228571428</v>
      </c>
      <c r="M12" s="169" t="s">
        <v>4</v>
      </c>
      <c r="N12" s="170">
        <f>1-(K28/K12)</f>
        <v>0.11403790916190981</v>
      </c>
      <c r="O12" s="171">
        <f>K12-K28</f>
        <v>192545.88485714281</v>
      </c>
    </row>
    <row r="13" spans="2:15" x14ac:dyDescent="0.45">
      <c r="D13" s="163"/>
      <c r="E13" s="164">
        <v>12.25</v>
      </c>
      <c r="F13" s="161" t="s">
        <v>83</v>
      </c>
      <c r="G13" s="162">
        <v>10</v>
      </c>
      <c r="M13" s="169" t="s">
        <v>15</v>
      </c>
      <c r="N13" s="170">
        <f>1-(F24/F8)</f>
        <v>0.11764705882352944</v>
      </c>
      <c r="O13" s="172">
        <f>F8-F24</f>
        <v>4</v>
      </c>
    </row>
    <row r="14" spans="2:15" x14ac:dyDescent="0.45">
      <c r="D14" s="163"/>
      <c r="E14" s="164">
        <v>8.5</v>
      </c>
      <c r="F14" s="161" t="s">
        <v>83</v>
      </c>
      <c r="G14" s="162">
        <v>8</v>
      </c>
    </row>
    <row r="15" spans="2:15" x14ac:dyDescent="0.45">
      <c r="D15" s="163"/>
      <c r="E15" s="160">
        <v>6.125</v>
      </c>
      <c r="F15" s="161" t="s">
        <v>83</v>
      </c>
      <c r="G15" s="162">
        <v>8</v>
      </c>
    </row>
    <row r="16" spans="2:15" x14ac:dyDescent="0.45">
      <c r="D16" s="163"/>
      <c r="E16" s="160" t="s">
        <v>143</v>
      </c>
      <c r="F16" s="163" t="s">
        <v>38</v>
      </c>
      <c r="G16" s="160">
        <v>0</v>
      </c>
      <c r="H16" s="5"/>
    </row>
    <row r="17" spans="2:12" x14ac:dyDescent="0.45">
      <c r="D17" s="163"/>
      <c r="E17" s="165">
        <v>1998103.4000000001</v>
      </c>
      <c r="F17" s="163" t="s">
        <v>38</v>
      </c>
      <c r="G17" s="165">
        <v>2157951.6720000003</v>
      </c>
    </row>
    <row r="19" spans="2:12" x14ac:dyDescent="0.45">
      <c r="B19" s="131" t="s">
        <v>0</v>
      </c>
      <c r="C19" s="131" t="s">
        <v>195</v>
      </c>
      <c r="D19" s="131" t="s">
        <v>2</v>
      </c>
      <c r="E19" s="131" t="s">
        <v>3</v>
      </c>
      <c r="F19" s="131" t="s">
        <v>31</v>
      </c>
      <c r="G19" s="131" t="s">
        <v>50</v>
      </c>
      <c r="H19" s="131" t="s">
        <v>52</v>
      </c>
      <c r="I19" s="131" t="s">
        <v>44</v>
      </c>
      <c r="J19" s="131" t="s">
        <v>1</v>
      </c>
      <c r="K19" s="131" t="s">
        <v>155</v>
      </c>
      <c r="L19" s="131" t="s">
        <v>154</v>
      </c>
    </row>
    <row r="20" spans="2:12" x14ac:dyDescent="0.45">
      <c r="B20" s="69" t="s">
        <v>8</v>
      </c>
      <c r="C20" s="70" t="s">
        <v>46</v>
      </c>
      <c r="D20" s="70" t="s">
        <v>8</v>
      </c>
      <c r="E20" s="71">
        <v>16</v>
      </c>
      <c r="F20" s="70">
        <v>7</v>
      </c>
      <c r="G20" s="73">
        <v>15027.340000000002</v>
      </c>
      <c r="H20" s="73">
        <v>105191.38000000002</v>
      </c>
      <c r="I20" s="73">
        <v>60109.360000000008</v>
      </c>
      <c r="J20" s="73">
        <v>420765.52000000008</v>
      </c>
      <c r="K20" s="73">
        <f>J20-H20</f>
        <v>315574.14000000007</v>
      </c>
      <c r="L20" s="132">
        <f>K20/J20</f>
        <v>0.75</v>
      </c>
    </row>
    <row r="21" spans="2:12" x14ac:dyDescent="0.45">
      <c r="B21" s="69"/>
      <c r="C21" s="70" t="s">
        <v>47</v>
      </c>
      <c r="D21" s="70" t="s">
        <v>8</v>
      </c>
      <c r="E21" s="71">
        <v>12.25</v>
      </c>
      <c r="F21" s="70">
        <v>9</v>
      </c>
      <c r="G21" s="73">
        <v>23088.098000000002</v>
      </c>
      <c r="H21" s="73">
        <v>207792.88200000001</v>
      </c>
      <c r="I21" s="73">
        <v>97123.32</v>
      </c>
      <c r="J21" s="73">
        <v>874109.88000000012</v>
      </c>
      <c r="K21" s="73">
        <f t="shared" ref="K21:K23" si="4">J21-H21</f>
        <v>666316.99800000014</v>
      </c>
      <c r="L21" s="132">
        <f t="shared" ref="L21:L24" si="5">K21/J21</f>
        <v>0.76228059337345555</v>
      </c>
    </row>
    <row r="22" spans="2:12" x14ac:dyDescent="0.45">
      <c r="B22" s="69"/>
      <c r="C22" s="70" t="s">
        <v>48</v>
      </c>
      <c r="D22" s="70" t="s">
        <v>8</v>
      </c>
      <c r="E22" s="71">
        <v>8.5</v>
      </c>
      <c r="F22" s="70">
        <v>7</v>
      </c>
      <c r="G22" s="73">
        <v>15273.5</v>
      </c>
      <c r="H22" s="73">
        <v>106914.5</v>
      </c>
      <c r="I22" s="73">
        <v>60092.142857142855</v>
      </c>
      <c r="J22" s="73">
        <v>420645</v>
      </c>
      <c r="K22" s="73">
        <f t="shared" si="4"/>
        <v>313730.5</v>
      </c>
      <c r="L22" s="132">
        <f t="shared" si="5"/>
        <v>0.74583199610122553</v>
      </c>
    </row>
    <row r="23" spans="2:12" x14ac:dyDescent="0.45">
      <c r="B23" s="69"/>
      <c r="C23" s="70" t="s">
        <v>53</v>
      </c>
      <c r="D23" s="70" t="s">
        <v>8</v>
      </c>
      <c r="E23" s="71">
        <v>6.125</v>
      </c>
      <c r="F23" s="70">
        <v>7</v>
      </c>
      <c r="G23" s="73">
        <v>11759</v>
      </c>
      <c r="H23" s="73">
        <v>82313</v>
      </c>
      <c r="I23" s="73">
        <v>40369</v>
      </c>
      <c r="J23" s="73">
        <v>282583</v>
      </c>
      <c r="K23" s="73">
        <f t="shared" si="4"/>
        <v>200270</v>
      </c>
      <c r="L23" s="132">
        <f t="shared" si="5"/>
        <v>0.70871213059525873</v>
      </c>
    </row>
    <row r="24" spans="2:12" x14ac:dyDescent="0.45">
      <c r="B24" s="69" t="s">
        <v>147</v>
      </c>
      <c r="C24" s="70"/>
      <c r="D24" s="70"/>
      <c r="E24" s="70"/>
      <c r="F24" s="133">
        <f>SUM(F20:F23)</f>
        <v>30</v>
      </c>
      <c r="G24" s="73"/>
      <c r="H24" s="134">
        <f>SUM(H20:H23)</f>
        <v>502211.76200000005</v>
      </c>
      <c r="I24" s="70"/>
      <c r="J24" s="135">
        <v>1998103.4000000001</v>
      </c>
      <c r="K24" s="136">
        <f>SUM(K20:K23)</f>
        <v>1495891.6380000003</v>
      </c>
      <c r="L24" s="137">
        <f t="shared" si="5"/>
        <v>0.74865576926599497</v>
      </c>
    </row>
    <row r="27" spans="2:12" x14ac:dyDescent="0.45">
      <c r="J27" s="131" t="s">
        <v>154</v>
      </c>
      <c r="K27" s="154">
        <f>H24/J24</f>
        <v>0.25134423073400508</v>
      </c>
    </row>
    <row r="28" spans="2:12" x14ac:dyDescent="0.45">
      <c r="J28" s="131" t="s">
        <v>155</v>
      </c>
      <c r="K28" s="154">
        <f>J24-H24</f>
        <v>1495891.638</v>
      </c>
    </row>
    <row r="31" spans="2:12" x14ac:dyDescent="0.45">
      <c r="F31" s="173"/>
      <c r="G31" s="174" t="s">
        <v>138</v>
      </c>
      <c r="H31" s="107" t="s">
        <v>156</v>
      </c>
      <c r="I31" s="107" t="s">
        <v>153</v>
      </c>
    </row>
    <row r="32" spans="2:12" x14ac:dyDescent="0.45">
      <c r="F32" s="175" t="s">
        <v>140</v>
      </c>
      <c r="G32" s="176">
        <v>1998103.4000000001</v>
      </c>
      <c r="H32" s="176">
        <v>1495891.638</v>
      </c>
      <c r="I32" s="177">
        <v>0.25134423073400508</v>
      </c>
    </row>
    <row r="33" spans="6:9" x14ac:dyDescent="0.45">
      <c r="F33" s="175" t="s">
        <v>139</v>
      </c>
      <c r="G33" s="176">
        <v>2255797.2228571428</v>
      </c>
      <c r="H33" s="176">
        <v>1688437.5228571428</v>
      </c>
      <c r="I33" s="177">
        <v>0.25151183548377398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1559-902D-49CF-835D-ACB198ED471A}">
  <dimension ref="A1:G30"/>
  <sheetViews>
    <sheetView showGridLines="0" workbookViewId="0"/>
  </sheetViews>
  <sheetFormatPr defaultRowHeight="14.25" outlineLevelRow="1" x14ac:dyDescent="0.45"/>
  <cols>
    <col min="1" max="1" width="2.1328125" customWidth="1"/>
    <col min="2" max="2" width="4.59765625" bestFit="1" customWidth="1"/>
    <col min="3" max="3" width="19.6640625" bestFit="1" customWidth="1"/>
    <col min="4" max="4" width="12.1328125" bestFit="1" customWidth="1"/>
    <col min="5" max="5" width="11.86328125" bestFit="1" customWidth="1"/>
    <col min="6" max="6" width="10.06640625" bestFit="1" customWidth="1"/>
    <col min="7" max="7" width="4.796875" bestFit="1" customWidth="1"/>
  </cols>
  <sheetData>
    <row r="1" spans="1:5" x14ac:dyDescent="0.45">
      <c r="A1" s="1" t="s">
        <v>57</v>
      </c>
    </row>
    <row r="2" spans="1:5" x14ac:dyDescent="0.45">
      <c r="A2" s="1" t="s">
        <v>115</v>
      </c>
    </row>
    <row r="3" spans="1:5" x14ac:dyDescent="0.45">
      <c r="A3" s="1" t="s">
        <v>120</v>
      </c>
    </row>
    <row r="4" spans="1:5" x14ac:dyDescent="0.45">
      <c r="A4" s="1" t="s">
        <v>59</v>
      </c>
    </row>
    <row r="5" spans="1:5" x14ac:dyDescent="0.45">
      <c r="A5" s="1" t="s">
        <v>60</v>
      </c>
    </row>
    <row r="6" spans="1:5" hidden="1" outlineLevel="1" x14ac:dyDescent="0.45">
      <c r="A6" s="1"/>
      <c r="B6" t="s">
        <v>61</v>
      </c>
    </row>
    <row r="7" spans="1:5" hidden="1" outlineLevel="1" x14ac:dyDescent="0.45">
      <c r="A7" s="1"/>
      <c r="B7" t="s">
        <v>112</v>
      </c>
    </row>
    <row r="8" spans="1:5" hidden="1" outlineLevel="1" x14ac:dyDescent="0.45">
      <c r="A8" s="1"/>
      <c r="B8" t="s">
        <v>62</v>
      </c>
    </row>
    <row r="9" spans="1:5" collapsed="1" x14ac:dyDescent="0.45">
      <c r="A9" s="1" t="s">
        <v>63</v>
      </c>
    </row>
    <row r="10" spans="1:5" hidden="1" outlineLevel="1" x14ac:dyDescent="0.45">
      <c r="B10" t="s">
        <v>64</v>
      </c>
    </row>
    <row r="11" spans="1:5" hidden="1" outlineLevel="1" x14ac:dyDescent="0.45">
      <c r="B11" t="s">
        <v>65</v>
      </c>
    </row>
    <row r="12" spans="1:5" hidden="1" outlineLevel="1" x14ac:dyDescent="0.45">
      <c r="B12" t="s">
        <v>66</v>
      </c>
    </row>
    <row r="13" spans="1:5" collapsed="1" x14ac:dyDescent="0.45"/>
    <row r="14" spans="1:5" ht="14.65" thickBot="1" x14ac:dyDescent="0.5">
      <c r="A14" t="s">
        <v>84</v>
      </c>
    </row>
    <row r="15" spans="1:5" ht="14.65" thickBot="1" x14ac:dyDescent="0.5">
      <c r="B15" s="36" t="s">
        <v>32</v>
      </c>
      <c r="C15" s="36" t="s">
        <v>33</v>
      </c>
      <c r="D15" s="36" t="s">
        <v>67</v>
      </c>
      <c r="E15" s="36" t="s">
        <v>68</v>
      </c>
    </row>
    <row r="16" spans="1:5" ht="14.65" thickBot="1" x14ac:dyDescent="0.5">
      <c r="B16" s="27" t="s">
        <v>117</v>
      </c>
      <c r="C16" s="27" t="s">
        <v>1</v>
      </c>
      <c r="D16" s="30">
        <v>541377.52</v>
      </c>
      <c r="E16" s="30">
        <v>440294.6</v>
      </c>
    </row>
    <row r="19" spans="1:7" ht="14.65" thickBot="1" x14ac:dyDescent="0.5">
      <c r="A19" t="s">
        <v>69</v>
      </c>
    </row>
    <row r="20" spans="1:7" ht="14.65" thickBot="1" x14ac:dyDescent="0.5">
      <c r="B20" s="36" t="s">
        <v>32</v>
      </c>
      <c r="C20" s="36" t="s">
        <v>33</v>
      </c>
      <c r="D20" s="36" t="s">
        <v>67</v>
      </c>
      <c r="E20" s="36" t="s">
        <v>68</v>
      </c>
      <c r="F20" s="36" t="s">
        <v>70</v>
      </c>
    </row>
    <row r="21" spans="1:7" x14ac:dyDescent="0.45">
      <c r="B21" s="29" t="s">
        <v>73</v>
      </c>
      <c r="C21" s="29" t="s">
        <v>118</v>
      </c>
      <c r="D21" s="38">
        <v>6</v>
      </c>
      <c r="E21" s="38">
        <v>5</v>
      </c>
      <c r="F21" s="29" t="s">
        <v>75</v>
      </c>
    </row>
    <row r="22" spans="1:7" ht="14.65" thickBot="1" x14ac:dyDescent="0.5">
      <c r="B22" s="27" t="s">
        <v>76</v>
      </c>
      <c r="C22" s="27" t="s">
        <v>119</v>
      </c>
      <c r="D22" s="39">
        <v>2</v>
      </c>
      <c r="E22" s="39">
        <v>1</v>
      </c>
      <c r="F22" s="27" t="s">
        <v>75</v>
      </c>
    </row>
    <row r="25" spans="1:7" ht="14.65" thickBot="1" x14ac:dyDescent="0.5">
      <c r="A25" t="s">
        <v>71</v>
      </c>
    </row>
    <row r="26" spans="1:7" ht="14.65" thickBot="1" x14ac:dyDescent="0.5">
      <c r="B26" s="36" t="s">
        <v>32</v>
      </c>
      <c r="C26" s="36" t="s">
        <v>33</v>
      </c>
      <c r="D26" s="36" t="s">
        <v>34</v>
      </c>
      <c r="E26" s="36" t="s">
        <v>35</v>
      </c>
      <c r="F26" s="36" t="s">
        <v>36</v>
      </c>
      <c r="G26" s="36" t="s">
        <v>37</v>
      </c>
    </row>
    <row r="27" spans="1:7" x14ac:dyDescent="0.45">
      <c r="B27" s="29" t="s">
        <v>73</v>
      </c>
      <c r="C27" s="29" t="s">
        <v>118</v>
      </c>
      <c r="D27" s="38">
        <v>5</v>
      </c>
      <c r="E27" s="29" t="s">
        <v>121</v>
      </c>
      <c r="F27" s="29" t="s">
        <v>80</v>
      </c>
      <c r="G27" s="29">
        <v>0</v>
      </c>
    </row>
    <row r="28" spans="1:7" x14ac:dyDescent="0.45">
      <c r="B28" s="29" t="s">
        <v>73</v>
      </c>
      <c r="C28" s="29" t="s">
        <v>118</v>
      </c>
      <c r="D28" s="38">
        <v>5</v>
      </c>
      <c r="E28" s="29" t="s">
        <v>113</v>
      </c>
      <c r="F28" s="29" t="s">
        <v>81</v>
      </c>
      <c r="G28" s="38">
        <v>5</v>
      </c>
    </row>
    <row r="29" spans="1:7" x14ac:dyDescent="0.45">
      <c r="B29" s="29" t="s">
        <v>76</v>
      </c>
      <c r="C29" s="29" t="s">
        <v>119</v>
      </c>
      <c r="D29" s="38">
        <v>1</v>
      </c>
      <c r="E29" s="29" t="s">
        <v>102</v>
      </c>
      <c r="F29" s="29" t="s">
        <v>81</v>
      </c>
      <c r="G29" s="38">
        <v>1</v>
      </c>
    </row>
    <row r="30" spans="1:7" ht="14.65" thickBot="1" x14ac:dyDescent="0.5">
      <c r="B30" s="27" t="s">
        <v>76</v>
      </c>
      <c r="C30" s="27" t="s">
        <v>119</v>
      </c>
      <c r="D30" s="39">
        <v>1</v>
      </c>
      <c r="E30" s="27" t="s">
        <v>122</v>
      </c>
      <c r="F30" s="27" t="s">
        <v>80</v>
      </c>
      <c r="G30" s="2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26E51C292D034AB84268BA994A2A8C" ma:contentTypeVersion="10" ma:contentTypeDescription="Crear nuevo documento." ma:contentTypeScope="" ma:versionID="a34df6d9aa60d7c23631758dc6cd968b">
  <xsd:schema xmlns:xsd="http://www.w3.org/2001/XMLSchema" xmlns:xs="http://www.w3.org/2001/XMLSchema" xmlns:p="http://schemas.microsoft.com/office/2006/metadata/properties" xmlns:ns3="fe0bb20e-be68-49a1-ba00-93114872cdf8" targetNamespace="http://schemas.microsoft.com/office/2006/metadata/properties" ma:root="true" ma:fieldsID="91ce543cbac93ecf23a75b6bd64db54e" ns3:_="">
    <xsd:import namespace="fe0bb20e-be68-49a1-ba00-93114872c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bb20e-be68-49a1-ba00-93114872c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FD8C3-1B52-4F4B-85CD-9F5339C52C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B8AEC4-3E06-4EF2-A1AE-6DEBCC48B0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0bb20e-be68-49a1-ba00-93114872c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EAF2C5-5E63-4CAE-93B3-248FA2090E7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e0bb20e-be68-49a1-ba00-93114872cdf8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EXPECTATIONS</vt:lpstr>
      <vt:lpstr>Answer PDC NT</vt:lpstr>
      <vt:lpstr>PDC NT</vt:lpstr>
      <vt:lpstr>Answer PDC R</vt:lpstr>
      <vt:lpstr>PDC R</vt:lpstr>
      <vt:lpstr>Answer RI</vt:lpstr>
      <vt:lpstr>RI</vt:lpstr>
      <vt:lpstr>Answer RT</vt:lpstr>
      <vt:lpstr>RT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Patricio Ulloa</dc:creator>
  <cp:lastModifiedBy>patricioulloa</cp:lastModifiedBy>
  <dcterms:created xsi:type="dcterms:W3CDTF">2021-04-11T12:56:41Z</dcterms:created>
  <dcterms:modified xsi:type="dcterms:W3CDTF">2021-04-20T17:49:11Z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0x0101001526E51C292D034AB84268BA994A2A8C</vt:lpwstr>
  </property>
</Properties>
</file>