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fmtcur-my.sharepoint.com/personal/camily_nunes_aluno_ufr_edu_br/Documents/LadyCamilyN/Produto_8/Dados/"/>
    </mc:Choice>
  </mc:AlternateContent>
  <xr:revisionPtr revIDLastSave="79" documentId="8_{16638564-1BDE-4A95-9AC5-92C004AED5B1}" xr6:coauthVersionLast="47" xr6:coauthVersionMax="47" xr10:uidLastSave="{27827B3C-F676-4F63-AE21-7CDD7F2CAA33}"/>
  <bookViews>
    <workbookView xWindow="-108" yWindow="-108" windowWidth="23256" windowHeight="12456" firstSheet="1" activeTab="2" xr2:uid="{B1D21F9F-790D-4FFB-8294-B9DDF52333A0}"/>
  </bookViews>
  <sheets>
    <sheet name="Desagregado_tratados" sheetId="1" r:id="rId1"/>
    <sheet name="Desempenho_Financeiro" sheetId="2" r:id="rId2"/>
    <sheet name="Investimento_Totais" sheetId="4" r:id="rId3"/>
    <sheet name="Categorias" sheetId="3" r:id="rId4"/>
  </sheets>
  <calcPr calcId="191029"/>
  <pivotCaches>
    <pivotCache cacheId="6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6" i="1" l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FD26" i="1"/>
  <c r="FE26" i="1"/>
  <c r="FF26" i="1"/>
  <c r="FG26" i="1"/>
  <c r="FH26" i="1"/>
  <c r="FI26" i="1"/>
  <c r="FJ26" i="1"/>
  <c r="FK26" i="1"/>
  <c r="FL26" i="1"/>
  <c r="FM26" i="1"/>
  <c r="FN26" i="1"/>
  <c r="FO26" i="1"/>
  <c r="FP26" i="1"/>
  <c r="FQ26" i="1"/>
  <c r="FR26" i="1"/>
  <c r="FS26" i="1"/>
  <c r="FT26" i="1"/>
  <c r="FU26" i="1"/>
  <c r="FV26" i="1"/>
  <c r="FW26" i="1"/>
  <c r="FX26" i="1"/>
  <c r="FY26" i="1"/>
  <c r="FZ26" i="1"/>
  <c r="GA26" i="1"/>
  <c r="GB26" i="1"/>
  <c r="GC26" i="1"/>
  <c r="GD26" i="1"/>
  <c r="GE26" i="1"/>
  <c r="GF26" i="1"/>
  <c r="GG26" i="1"/>
  <c r="GH26" i="1"/>
  <c r="GI26" i="1"/>
  <c r="GJ26" i="1"/>
  <c r="GK26" i="1"/>
  <c r="GL26" i="1"/>
  <c r="GM26" i="1"/>
  <c r="GN26" i="1"/>
  <c r="GO26" i="1"/>
  <c r="GP26" i="1"/>
  <c r="GQ26" i="1"/>
  <c r="GR26" i="1"/>
  <c r="GS26" i="1"/>
  <c r="GT26" i="1"/>
  <c r="GU26" i="1"/>
  <c r="GV26" i="1"/>
  <c r="GW26" i="1"/>
  <c r="GX26" i="1"/>
  <c r="GY26" i="1"/>
  <c r="GZ26" i="1"/>
  <c r="HA26" i="1"/>
  <c r="HB26" i="1"/>
  <c r="HC26" i="1"/>
  <c r="HD26" i="1"/>
  <c r="HE26" i="1"/>
  <c r="HF26" i="1"/>
  <c r="HG26" i="1"/>
  <c r="HH26" i="1"/>
  <c r="HI26" i="1"/>
  <c r="HJ26" i="1"/>
  <c r="HK26" i="1"/>
  <c r="HL26" i="1"/>
  <c r="HM26" i="1"/>
  <c r="HN26" i="1"/>
  <c r="HO26" i="1"/>
  <c r="HP26" i="1"/>
  <c r="HQ26" i="1"/>
  <c r="HR26" i="1"/>
  <c r="HS26" i="1"/>
  <c r="HT26" i="1"/>
  <c r="HU26" i="1"/>
  <c r="HV26" i="1"/>
  <c r="HW26" i="1"/>
  <c r="HX26" i="1"/>
  <c r="HY26" i="1"/>
  <c r="HZ26" i="1"/>
  <c r="IA26" i="1"/>
  <c r="B26" i="1"/>
</calcChain>
</file>

<file path=xl/sharedStrings.xml><?xml version="1.0" encoding="utf-8"?>
<sst xmlns="http://schemas.openxmlformats.org/spreadsheetml/2006/main" count="690" uniqueCount="251">
  <si>
    <t>Código do Município</t>
  </si>
  <si>
    <t>Município</t>
  </si>
  <si>
    <t>Estado</t>
  </si>
  <si>
    <t>Ano de Referência</t>
  </si>
  <si>
    <t>Código do Prestador</t>
  </si>
  <si>
    <t>Prestador</t>
  </si>
  <si>
    <t>Sigla do Prestador</t>
  </si>
  <si>
    <t>Abrangência</t>
  </si>
  <si>
    <t>Tipo de serviço</t>
  </si>
  <si>
    <t>Natureza jurídica</t>
  </si>
  <si>
    <t>GE001 - Quantidade de municípios atendidos com abastecimento de água com delegação em vigor</t>
  </si>
  <si>
    <t>GE002 - Quantidade de municípios atendidos com abastecimento de água com delegação vencida</t>
  </si>
  <si>
    <t>GE003 - Quantidade de municípios atendidos com abastecimento de água sem delegação</t>
  </si>
  <si>
    <t>GE008 - Quantidade de Sedes municipais atendidas com abastecimento de água</t>
  </si>
  <si>
    <t>GE009 - Quantidade de Sedes municipais atendidas com esgotamento sanitário</t>
  </si>
  <si>
    <t>GE010 - Quantidade de Localidades (excluídas as sedes) atendidas com abastecimento de água</t>
  </si>
  <si>
    <t>GE011 - Quantidade de Localidades (excluídas as sedes) atendidas com esgotamento sanitário</t>
  </si>
  <si>
    <t>GE014 - Quantidade de municípios atendidos com esgotamento sanitário com delegação em vigor</t>
  </si>
  <si>
    <t>GE015 - Quantidade de municípios atendidos com esgotamento sanitário com delegação vencida</t>
  </si>
  <si>
    <t>GE016 - Quantidade de municípios atendidos com esgotamento sanitário sem delegação</t>
  </si>
  <si>
    <t>GE017 - Ano de vencimento da delegação de abastecimento de água</t>
  </si>
  <si>
    <t>GE018 - Ano de vencimento da delegação de esgotamento sanitário</t>
  </si>
  <si>
    <t>GE019 - Onde atende com abastecimento de água</t>
  </si>
  <si>
    <t>GE020 - Onde atende com esgotamento sanitário</t>
  </si>
  <si>
    <t>GE030 - Quantidade de municípios não atendidos com esgotamento sanitário e sem delegação para prestar esse serviço</t>
  </si>
  <si>
    <t>POP_TOT - População total do município do ano de referência (Fonte: IBGE):</t>
  </si>
  <si>
    <t>POP_URB - População urbana do município do ano de referência (Fonte: IBGE):</t>
  </si>
  <si>
    <t>AG001 - População total atendida com abastecimento de água</t>
  </si>
  <si>
    <t>AG001A - População total atendida com abastecimento de água no ano anterior ao de referência.</t>
  </si>
  <si>
    <t>AG002 - Quantidade de ligações ativas de água</t>
  </si>
  <si>
    <t>AG002A - Quantidade de ligações ativas de água no ano anterior ao de referência.</t>
  </si>
  <si>
    <t>AG003 - Quantidade de economias ativas de água</t>
  </si>
  <si>
    <t>AG003A - Quantidade de economias ativas de água no ano anterior ao de referência.</t>
  </si>
  <si>
    <t>AG004 - Quantidade de ligações ativas de água micromedidas</t>
  </si>
  <si>
    <t>AG004A - Quantidade de ligações ativas de água micromedidas no ano anterior ao de referência.</t>
  </si>
  <si>
    <t>AG005 - Extensão da rede de água</t>
  </si>
  <si>
    <t>AG005A - Extensão da rede de água no ano anterior ao de referência.</t>
  </si>
  <si>
    <t>AG006 - Volume de água produzido</t>
  </si>
  <si>
    <t>AG007 - Volume de água tratada em ETAs</t>
  </si>
  <si>
    <t>AG008 - Volume de água micromedido</t>
  </si>
  <si>
    <t>AG010 - Volume de água consumido</t>
  </si>
  <si>
    <t>AG011 - Volume de água faturado</t>
  </si>
  <si>
    <t>AG012 - Volume de água macromedido</t>
  </si>
  <si>
    <t>AG013 - Quantidade de economias residenciais ativas de água</t>
  </si>
  <si>
    <t>AG013A - Quantidade de economias residenciais ativas de água no ano anterior ao de referência.</t>
  </si>
  <si>
    <t>AG014 - Quantidade de economias ativas de água micromedidas</t>
  </si>
  <si>
    <t>AG014A - Quantidade de economias ativas de água micromedidas no ano anterior ao de referência.</t>
  </si>
  <si>
    <t>AG015 - Volume de água tratada por simples desinfecção</t>
  </si>
  <si>
    <t>AG017 - Volume de água bruta exportado</t>
  </si>
  <si>
    <t>AG018 - Volume de água tratada importado</t>
  </si>
  <si>
    <t>AG019 - Volume de água tratada exportado</t>
  </si>
  <si>
    <t>AG020 - Volume micromedido nas economias residenciais ativas de água</t>
  </si>
  <si>
    <t>AG021 - Quantidade de ligações totais de água</t>
  </si>
  <si>
    <t>AG021A - Quantidade de ligações totais de água no ano anterior ao de referência.</t>
  </si>
  <si>
    <t>AG022 - Quantidade de economias residenciais ativas de água micromedidas</t>
  </si>
  <si>
    <t>AG022A - Quantidade de economias residenciais ativas de água micromedidas no ano anterior ao de referência.</t>
  </si>
  <si>
    <t>AG024 - Volume de serviço</t>
  </si>
  <si>
    <t>AG025A - População rural atendida com abastecimento de água no ano anterior ao de referência.</t>
  </si>
  <si>
    <t>AG026 - População urbana atendida com abastecimento de água</t>
  </si>
  <si>
    <t>AG026A - População urbana atendida com abastecimento de água no ano anterior ao de referência.</t>
  </si>
  <si>
    <t>AG027 - Volume de água fluoretada</t>
  </si>
  <si>
    <t>AG028 - Consumo total de energia elétrica nos sistemas de água</t>
  </si>
  <si>
    <t>ES001 - População total atendida com esgotamento sanitário</t>
  </si>
  <si>
    <t>ES001A - População total atendida com esgotamento sanitário no ano anterior ao de referência.</t>
  </si>
  <si>
    <t>ES002 - Quantidade de ligações ativas de esgotos</t>
  </si>
  <si>
    <t>ES002A - Quantidade de ligações ativas de esgoto no ano anterior ao de referência.</t>
  </si>
  <si>
    <t>ES003 - Quantidade de economias ativas de esgotos</t>
  </si>
  <si>
    <t>ES003A - Quantidade de economias ativas de esgoto no ano anterior ao de referência.</t>
  </si>
  <si>
    <t>ES004 - Extensão da rede de esgotos</t>
  </si>
  <si>
    <t>ES004A - Extensão da rede de esgoto no ano anterior ao de referência.</t>
  </si>
  <si>
    <t>ES005 - Volume de esgotos coletado</t>
  </si>
  <si>
    <t>ES006 - Volume de esgotos tratado</t>
  </si>
  <si>
    <t>ES007 - Volume de esgotos faturado</t>
  </si>
  <si>
    <t>ES008 - Quantidade de economias residenciais ativas de esgotos</t>
  </si>
  <si>
    <t>ES008A - Quantidade de economias residenciais ativas de esgoto no ano anterior ao de referência.</t>
  </si>
  <si>
    <t>ES009 - Quantidade de ligações totais de esgotos</t>
  </si>
  <si>
    <t>ES009A - Quantidade de ligações totais de esgoto no ano anterior ao de referência.</t>
  </si>
  <si>
    <t>ES012 - Volume de esgoto bruto exportado</t>
  </si>
  <si>
    <t>ES013 - Volume de esgotos bruto importado</t>
  </si>
  <si>
    <t>ES014 - Volume de esgoto importado tratado nas instalações do importador</t>
  </si>
  <si>
    <t>ES015 - Volume de esgoto bruto exportado tratado nas instalações do importador</t>
  </si>
  <si>
    <t>ES025A - População rural atendida com esgotamento sanitário no ano anterior ao de referência.</t>
  </si>
  <si>
    <t>ES026 - População urbana atendida com esgotamento sanitário</t>
  </si>
  <si>
    <t>ES026A - População urbana atendida com esgotamento sanitário no ano anterior ao de referência.</t>
  </si>
  <si>
    <t>ES028 - Consumo total de energia elétrica nos sistemas de esgotos</t>
  </si>
  <si>
    <t>FN001 - Receita operacional direta total</t>
  </si>
  <si>
    <t>FN002 - Receita operacional direta de água</t>
  </si>
  <si>
    <t>FN003 - Receita operacional direta de esgoto</t>
  </si>
  <si>
    <t>FN004 - Receita operacional indireta</t>
  </si>
  <si>
    <t>FN005 - Receita operacional total (direta + indireta)</t>
  </si>
  <si>
    <t>FN006 - Arrecadação total</t>
  </si>
  <si>
    <t>FN007 - Receita operacional direta de água exportada (bruta ou tratada)</t>
  </si>
  <si>
    <t>FN008 - Créditos de contas a receber</t>
  </si>
  <si>
    <t>FN008A - Crédito de contas a receber no ano anterior ao de referência.</t>
  </si>
  <si>
    <t>FN010 - Despesa com pessoal próprio</t>
  </si>
  <si>
    <t>FN011 - Despesa com produtos químicos</t>
  </si>
  <si>
    <t>FN013 - Despesa com energia elétrica</t>
  </si>
  <si>
    <t>FN014 - Despesa com serviços de terceiros</t>
  </si>
  <si>
    <t>FN015 - Despesas de Exploração (DEX), sendo FN015 = FN010 + FN011 + FN013 + FN014 + FN020 + FN039 + FN021 + FN027</t>
  </si>
  <si>
    <t>FN016 - Despesas com juros e encargos do serviço da dívida</t>
  </si>
  <si>
    <t>FN017 - Despesas totais com os serviços (DTS), sendo FN017 = FN015 + FN016 + FN019 + FN022 + FN028</t>
  </si>
  <si>
    <t>FN018 - Despesas capitalizáveis realizadas pelo prestador de serviços</t>
  </si>
  <si>
    <t>FN019 - Despesas com depreciação, amortização do ativo diferido e provisão para devedores duvidosos</t>
  </si>
  <si>
    <t>FN020 - Despesa com água importada (bruta ou tratada)</t>
  </si>
  <si>
    <t>FN021 - Despesas fiscais ou tributárias computadas na DEX</t>
  </si>
  <si>
    <t>FN022 - Despesas fiscais ou tributárias não computadas na DEX</t>
  </si>
  <si>
    <t>FN023 - Investimento realizado em abastecimento de água pelo prestador de serviços</t>
  </si>
  <si>
    <t>FN024 - Investimento realizado em esgotamento sanitário pelo prestador de serviços</t>
  </si>
  <si>
    <t>FN025 - Outros investimentos realizados pelo prestador de serviços</t>
  </si>
  <si>
    <t>FN026 - Quantidade total de empregados próprios</t>
  </si>
  <si>
    <t>FN026A - Quantidade total de empregados próprios no ano anterior ao de referência.</t>
  </si>
  <si>
    <t>FN027 - Outras despesas de exploração</t>
  </si>
  <si>
    <t>FN028 - Outras despesas com os serviços</t>
  </si>
  <si>
    <t>FN030 - Investimento com recursos próprios realizado pelo prestador de serviços.</t>
  </si>
  <si>
    <t>FN031 - Investimento com recursos onerosos realizado pelo prestador de serviços.</t>
  </si>
  <si>
    <t>FN032 - Investimento com recursos não onerosos realizado pelo prestador de serviços.</t>
  </si>
  <si>
    <t>FN033 - Investimentos totais realizados pelo prestador de serviços</t>
  </si>
  <si>
    <t>FN034 - Despesas com amortizações do serviço da dívida</t>
  </si>
  <si>
    <t>FN035 - Despesas com juros e encargos do serviço da dívida, exceto variações monetária e cambial</t>
  </si>
  <si>
    <t>FN036 - Despesa com variações monetárias e cambiais das dívidas</t>
  </si>
  <si>
    <t>FN037 - Despesas totais com o serviço da dívida</t>
  </si>
  <si>
    <t>FN038 - Receita operacional direta - esgoto bruto importado</t>
  </si>
  <si>
    <t>FN039 - Despesa com esgoto exportado</t>
  </si>
  <si>
    <t>FN041 - Despesas capitalizáveis realizadas pelo(s) município(s)</t>
  </si>
  <si>
    <t>FN042 - Investimento realizado em abastecimento de água pelo(s) município(s)</t>
  </si>
  <si>
    <t>FN043 - Investimento realizado em esgotamento sanitário pelo(s) município(s)</t>
  </si>
  <si>
    <t>FN044 - Outros investimentos realizados pelo(s) município(s)</t>
  </si>
  <si>
    <t>FN045 - Investimento com recursos próprios realizado pelo(s) município(s)</t>
  </si>
  <si>
    <t>FN046 - Investimento com recursos onerosos realizado pelo(s) município(s)</t>
  </si>
  <si>
    <t>FN047 - Investimento com recursos não onerosos realizado pelo(s) município(s)</t>
  </si>
  <si>
    <t>FN048 - Investimentos totais realizados pelo(s) município(s)</t>
  </si>
  <si>
    <t>FN051 - Despesas capitalizáveis realizadas pelo estado</t>
  </si>
  <si>
    <t>FN052 - Investimento realizado em abastecimento de água pelo estado</t>
  </si>
  <si>
    <t>FN053 - Investimento realizado em esgotamento sanitário pelo estado</t>
  </si>
  <si>
    <t>FN054 - Outros investimentos realizados pelo estado</t>
  </si>
  <si>
    <t>FN055 - Investimento com recursos próprios realizado pelo estado</t>
  </si>
  <si>
    <t>FN056 - Investimento com recursos onerosos realizado pelo estado</t>
  </si>
  <si>
    <t>FN057 - Investimento com recursos não onerosos realizado pelo estado</t>
  </si>
  <si>
    <t>FN058 - Investimentos totais realizados pelo estado</t>
  </si>
  <si>
    <t>QD001 - Tipo de atendimento da portaria sobre qualidade da água</t>
  </si>
  <si>
    <t>QD002 - Quantidades de paralisações no sistema de distribuição de água</t>
  </si>
  <si>
    <t>QD003 - Duração das paralisações</t>
  </si>
  <si>
    <t>QD004 - Quantidade de economias ativas atingidas por paralisações</t>
  </si>
  <si>
    <t>QD006 - Quantidade de amostras para cloro residual (analisadas)</t>
  </si>
  <si>
    <t>QD007 - Quantidade de amostras para cloro residual com resultados fora do padrão</t>
  </si>
  <si>
    <t>QD008 - Quantidade de amostras para turbidez (analisadas)</t>
  </si>
  <si>
    <t>QD009 - Quantidade de amostras para turbidez fora do padrão</t>
  </si>
  <si>
    <t>QD011 - Quantidades de extravasamentos de esgotos registrados</t>
  </si>
  <si>
    <t>QD012 - Duração dos extravasamentos registrados</t>
  </si>
  <si>
    <t>QD015 - Quantidade de economias ativas atingidas por interrupções sistemáticas</t>
  </si>
  <si>
    <t>QD019 - Quantidade mínima de amostras para turbidez (obrigatórias)</t>
  </si>
  <si>
    <t>QD020 - Quantidade mínima de amostras para cloro residual (obrigatórias)</t>
  </si>
  <si>
    <t>QD021 - Quantidade de interrupções sistemáticas</t>
  </si>
  <si>
    <t>QD022 - Duração das interrupções sistemáticas</t>
  </si>
  <si>
    <t>QD023 - Quantidade de reclamações ou solicitações de serviços</t>
  </si>
  <si>
    <t>QD024 - Quantidade de serviços executados</t>
  </si>
  <si>
    <t>QD025 - Tempo total de execução dos serviços</t>
  </si>
  <si>
    <t>QD026 - Quantidade de amostras para coliformes totais (analisadas)</t>
  </si>
  <si>
    <t>QD027 - Quantidade de amostras para coliformes totais com resultados fora do padrão</t>
  </si>
  <si>
    <t>QD028 - Quantidade mínima de amostras para coliformes totais (obrigatórias)</t>
  </si>
  <si>
    <t>IN001 - Densidade de economias de água por ligação</t>
  </si>
  <si>
    <t>IN002 - Índice de produtividade: economias ativas por pessoal próprio</t>
  </si>
  <si>
    <t>IN003 - Despesa total com os serviços por m3 faturado</t>
  </si>
  <si>
    <t>IN004 - Tarifa média praticada</t>
  </si>
  <si>
    <t>IN005 - Tarifa média de água</t>
  </si>
  <si>
    <t>IN006 - Tarifa média de esgoto</t>
  </si>
  <si>
    <t>IN007 - Incidência da desp. de pessoal e de serv. de terc. nas despesas totais com os serviços</t>
  </si>
  <si>
    <t>IN008 - Despesa média anual por empregado</t>
  </si>
  <si>
    <t>IN009 - Índice de hidrometração</t>
  </si>
  <si>
    <t>IN010 - Índice de micromedição relativo ao volume disponibilizado</t>
  </si>
  <si>
    <t>IN011 - Índice de macromedição</t>
  </si>
  <si>
    <t>IN012 - Indicador de desempenho financeiro</t>
  </si>
  <si>
    <t>IN013 - Índice de perdas faturamento</t>
  </si>
  <si>
    <t>IN014 - Consumo micromedido por economia</t>
  </si>
  <si>
    <t>IN015 - Índice de coleta de esgoto</t>
  </si>
  <si>
    <t>IN016 - Índice de tratamento de esgoto</t>
  </si>
  <si>
    <t>IN017 - Consumo de água faturado por economia</t>
  </si>
  <si>
    <t>IN018 - Quantidade equivalente de pessoal total</t>
  </si>
  <si>
    <t>IN019 - Índice de produtividade: economias ativas por pessoal total (equivalente)</t>
  </si>
  <si>
    <t>IN020 - Extensão da rede de água por ligação</t>
  </si>
  <si>
    <t>IN021 - Extensão da rede de esgoto por ligação</t>
  </si>
  <si>
    <t>IN022 - Consumo médio percapita de água</t>
  </si>
  <si>
    <t>IN023 - Índice de atendimento urbano de água</t>
  </si>
  <si>
    <t>IN024 - Índice de atendimento urbano de esgoto referido aos municípios atendidos com água</t>
  </si>
  <si>
    <t>IN025 - Volume de água disponibilizado por economia</t>
  </si>
  <si>
    <t>IN026 - Despesa de exploração por m3 faturado</t>
  </si>
  <si>
    <t>IN027 - Despesa de exploração por economia</t>
  </si>
  <si>
    <t>IN028 - Índice de faturamento de água</t>
  </si>
  <si>
    <t>IN029 - Índice de evasão de receitas</t>
  </si>
  <si>
    <t>IN030 - Margem da despesa de exploração</t>
  </si>
  <si>
    <t>IN031 - Margem da despesa com pessoal próprio</t>
  </si>
  <si>
    <t>IN032 - Margem da despesa com pessoal total (equivalente)</t>
  </si>
  <si>
    <t>IN033 - Margem do serviço da divida</t>
  </si>
  <si>
    <t>IN034 - Margem das outras despesas de exploração</t>
  </si>
  <si>
    <t>IN035 - Participação da despesa com pessoal próprio nas despesas de exploração</t>
  </si>
  <si>
    <t>IN036 - Participação da despesa com pessoal total (equivalente) nas despesas de exploração</t>
  </si>
  <si>
    <t>IN037 - Participação da despesa com energia elétrica nas despesas de exploração</t>
  </si>
  <si>
    <t>IN038 - Participação da despesa com produtos químicos nas despesas de exploração (DEX)</t>
  </si>
  <si>
    <t>IN039 - Participação das outras despesas nas despesas de exploração</t>
  </si>
  <si>
    <t>IN040 - Participação da receita operacional direta de água na receita operacional total</t>
  </si>
  <si>
    <t>IN041 - Participação da receita operacional direta de esgoto na receita operacional total</t>
  </si>
  <si>
    <t>IN042 - Participação da receita operacional indireta na receita operacional total</t>
  </si>
  <si>
    <t>IN043 - Participação das economias residenciais de água no total das economias de água</t>
  </si>
  <si>
    <t>IN044 - Índice de micromedição relativo ao consumo</t>
  </si>
  <si>
    <t>IN045 - Índice de produtividade: empregados próprios por 1000 ligações de água</t>
  </si>
  <si>
    <t>IN046 - Índice de esgoto tratado referido à água consumida</t>
  </si>
  <si>
    <t>IN047 - Índice de atendimento urbano de esgoto referido aos municípios atendidos com esgoto</t>
  </si>
  <si>
    <t>IN048 - Índice de produtividade: empregados próprios por 1000 ligações de água + esgoto</t>
  </si>
  <si>
    <t>IN049 - Índice de perdas na distribuição</t>
  </si>
  <si>
    <t>IN050 - Índice bruto de perdas lineares</t>
  </si>
  <si>
    <t>IN051 - Índice de perdas por ligação</t>
  </si>
  <si>
    <t>IN052 - Índice de consumo de água</t>
  </si>
  <si>
    <t>IN053 - Consumo médio de água por economia</t>
  </si>
  <si>
    <t>IN054 - Dias de faturamento comprometidos com contas a receber</t>
  </si>
  <si>
    <t>IN055 - Índice de atendimento total de água</t>
  </si>
  <si>
    <t>IN056 - Índice de atendimento total de esgoto referido aos municípios atendidos com água</t>
  </si>
  <si>
    <t>IN057 - Índice de fluoretação de água</t>
  </si>
  <si>
    <t>IN058 - Índice de consumo de energia elétrica em sistemas de abastecimento de água</t>
  </si>
  <si>
    <t>IN059 - Índice de consumo de energia elétrica em sistemas de esgotamento sanitário</t>
  </si>
  <si>
    <t>IN060 - Índice de despesas por consumo de energia elétrica nos sistemas de água e esgotos</t>
  </si>
  <si>
    <t>IN071 - Economias atingidas por paralisações</t>
  </si>
  <si>
    <t>IN072 - Duração média das paralisações</t>
  </si>
  <si>
    <t>IN073 - Economias atingidas por intermitências</t>
  </si>
  <si>
    <t>IN074 - Duração média das intermitências</t>
  </si>
  <si>
    <t>IN075 - Incidência das análises de cloro residual fora do padrão</t>
  </si>
  <si>
    <t>IN076 - Incidência das análises de turbidez fora do padrão</t>
  </si>
  <si>
    <t>IN077 - Duração média dos reparos de extravasamentos de esgotos</t>
  </si>
  <si>
    <t>IN079 - Índice de conformidade da quantidade de amostras - cloro residual</t>
  </si>
  <si>
    <t>IN080 - Índice de conformidade da quantidade de amostras - turbidez</t>
  </si>
  <si>
    <t>IN082 - Extravasamentos de esgotos por extensão de rede</t>
  </si>
  <si>
    <t>IN083 - Duração média dos serviços executados</t>
  </si>
  <si>
    <t>IN084 - Incidência das análises de coliformes totais fora do padrão</t>
  </si>
  <si>
    <t>IN085 - Índice de conformidade da quantidade de amostras - coliformes totais</t>
  </si>
  <si>
    <t>IN101 - Índice de suficiência de caixa</t>
  </si>
  <si>
    <t>IN102 - Índice de produtividade de pessoal total (equivalente)</t>
  </si>
  <si>
    <t>Rondonópolis</t>
  </si>
  <si>
    <t>MT</t>
  </si>
  <si>
    <t>Serviço de Saneamento Ambiental de Rondonópolis</t>
  </si>
  <si>
    <t>SANEAR</t>
  </si>
  <si>
    <t>Local</t>
  </si>
  <si>
    <t>Água e Esgoto</t>
  </si>
  <si>
    <t>Autarquia</t>
  </si>
  <si>
    <t>Ambos</t>
  </si>
  <si>
    <t>Sede Municipal</t>
  </si>
  <si>
    <t>Atende parcialmente</t>
  </si>
  <si>
    <t>Rótulos de Linha</t>
  </si>
  <si>
    <t>Total Geral</t>
  </si>
  <si>
    <t>Total</t>
  </si>
  <si>
    <t>Soma de IN012 - Indicador de desempenho financeiro</t>
  </si>
  <si>
    <t>Soma de FN033 - Investimentos totais realizados pelo prestador de serviços</t>
  </si>
  <si>
    <t>Soma de FN048 - Investimentos totais realizados pelo(s) município(s)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</si>
</sst>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&quot;R$&quot;\ #,##0.00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3" fontId="0" fillId="0" borderId="0" xfId="0" applyNumberFormat="1"/>
    <xf numFmtId="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33" borderId="0" xfId="0" applyFill="1"/>
    <xf numFmtId="0" fontId="0" fillId="34" borderId="0" xfId="0" applyFill="1"/>
    <xf numFmtId="0" fontId="0" fillId="35" borderId="0" xfId="0" applyFill="1"/>
    <xf numFmtId="165" fontId="0" fillId="0" borderId="0" xfId="0" applyNumberFormat="1"/>
    <xf numFmtId="0" fontId="0" fillId="36" borderId="0" xfId="0" applyFill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65">
    <dxf>
      <numFmt numFmtId="4" formatCode="#,##0.00"/>
    </dxf>
    <dxf>
      <numFmt numFmtId="4" formatCode="#,##0.0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4" formatCode="#,##0.00"/>
    </dxf>
    <dxf>
      <numFmt numFmtId="4" formatCode="#,##0.00"/>
    </dxf>
    <dxf>
      <numFmt numFmtId="4" formatCode="#,##0.0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4" formatCode="#,##0.00"/>
    </dxf>
    <dxf>
      <numFmt numFmtId="4" formatCode="#,##0.0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[Desagregado_tratados_1.xlsx]Desempenho_Financeiro!Tabela dinâmica3</c:name>
    <c:fmtId val="1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Desempenho_Financeiro!$B$3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Desempenho_Financeiro!$A$4:$A$27</c:f>
              <c:strCach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strCache>
            </c:strRef>
          </c:cat>
          <c:val>
            <c:numRef>
              <c:f>Desempenho_Financeiro!$B$4:$B$27</c:f>
              <c:numCache>
                <c:formatCode>General</c:formatCode>
                <c:ptCount val="23"/>
                <c:pt idx="0">
                  <c:v>93.2</c:v>
                </c:pt>
                <c:pt idx="1">
                  <c:v>179.77</c:v>
                </c:pt>
                <c:pt idx="2">
                  <c:v>210.38</c:v>
                </c:pt>
                <c:pt idx="3">
                  <c:v>190.09</c:v>
                </c:pt>
                <c:pt idx="4">
                  <c:v>199.7</c:v>
                </c:pt>
                <c:pt idx="5">
                  <c:v>169.96</c:v>
                </c:pt>
                <c:pt idx="6">
                  <c:v>205.3</c:v>
                </c:pt>
                <c:pt idx="7">
                  <c:v>150.19999999999999</c:v>
                </c:pt>
                <c:pt idx="8">
                  <c:v>118.44</c:v>
                </c:pt>
                <c:pt idx="9">
                  <c:v>133.38999999999999</c:v>
                </c:pt>
                <c:pt idx="10">
                  <c:v>149.13</c:v>
                </c:pt>
                <c:pt idx="11">
                  <c:v>174.24</c:v>
                </c:pt>
                <c:pt idx="12">
                  <c:v>168.03</c:v>
                </c:pt>
                <c:pt idx="13">
                  <c:v>135.13999999999999</c:v>
                </c:pt>
                <c:pt idx="14">
                  <c:v>102.54</c:v>
                </c:pt>
                <c:pt idx="15">
                  <c:v>151.53</c:v>
                </c:pt>
                <c:pt idx="16">
                  <c:v>133.69</c:v>
                </c:pt>
                <c:pt idx="17">
                  <c:v>141.87</c:v>
                </c:pt>
                <c:pt idx="18">
                  <c:v>127.56</c:v>
                </c:pt>
                <c:pt idx="19">
                  <c:v>130.53</c:v>
                </c:pt>
                <c:pt idx="20">
                  <c:v>128.91</c:v>
                </c:pt>
                <c:pt idx="21">
                  <c:v>138.26</c:v>
                </c:pt>
                <c:pt idx="22">
                  <c:v>119.76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F0-4C28-B330-50F96D46AC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2992191"/>
        <c:axId val="292982111"/>
      </c:barChart>
      <c:catAx>
        <c:axId val="292992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92982111"/>
        <c:crosses val="autoZero"/>
        <c:auto val="1"/>
        <c:lblAlgn val="ctr"/>
        <c:lblOffset val="100"/>
        <c:noMultiLvlLbl val="0"/>
      </c:catAx>
      <c:valAx>
        <c:axId val="292982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929921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[Desagregado_tratados_1.xlsx]Investimento_Totais!Tabela dinâmica3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Investimento_Totais!$C$2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Investimento_Totais!$B$3:$B$26</c:f>
              <c:strCach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strCache>
            </c:strRef>
          </c:cat>
          <c:val>
            <c:numRef>
              <c:f>Investimento_Totais!$C$3:$C$26</c:f>
              <c:numCache>
                <c:formatCode>"R$"\ #,##0.00</c:formatCode>
                <c:ptCount val="23"/>
                <c:pt idx="1">
                  <c:v>311581.05</c:v>
                </c:pt>
                <c:pt idx="2">
                  <c:v>353014.91</c:v>
                </c:pt>
                <c:pt idx="3">
                  <c:v>433201.45</c:v>
                </c:pt>
                <c:pt idx="4">
                  <c:v>636319.68999999994</c:v>
                </c:pt>
                <c:pt idx="5">
                  <c:v>506613.76000000001</c:v>
                </c:pt>
                <c:pt idx="6">
                  <c:v>841947.92</c:v>
                </c:pt>
                <c:pt idx="7">
                  <c:v>1241403.3799999999</c:v>
                </c:pt>
                <c:pt idx="8">
                  <c:v>7140518.75</c:v>
                </c:pt>
                <c:pt idx="9">
                  <c:v>19630332</c:v>
                </c:pt>
                <c:pt idx="10">
                  <c:v>48416980.32</c:v>
                </c:pt>
                <c:pt idx="11">
                  <c:v>31230838.25</c:v>
                </c:pt>
                <c:pt idx="12">
                  <c:v>15289436.6</c:v>
                </c:pt>
                <c:pt idx="13">
                  <c:v>6562794.1699999999</c:v>
                </c:pt>
                <c:pt idx="14">
                  <c:v>11793457.300000001</c:v>
                </c:pt>
                <c:pt idx="15">
                  <c:v>5178434.09</c:v>
                </c:pt>
                <c:pt idx="16">
                  <c:v>9396030.4600000009</c:v>
                </c:pt>
                <c:pt idx="17">
                  <c:v>10740541.380000001</c:v>
                </c:pt>
                <c:pt idx="18">
                  <c:v>23118317.25</c:v>
                </c:pt>
                <c:pt idx="19">
                  <c:v>19650823.370000001</c:v>
                </c:pt>
                <c:pt idx="20">
                  <c:v>13417101.98</c:v>
                </c:pt>
                <c:pt idx="21">
                  <c:v>8891584.3200000003</c:v>
                </c:pt>
                <c:pt idx="22">
                  <c:v>10008546.550000001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5C-43C8-8695-4EF15C7543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2385024"/>
        <c:axId val="862384544"/>
      </c:barChart>
      <c:catAx>
        <c:axId val="862385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62384544"/>
        <c:crosses val="autoZero"/>
        <c:auto val="1"/>
        <c:lblAlgn val="ctr"/>
        <c:lblOffset val="100"/>
        <c:noMultiLvlLbl val="0"/>
      </c:catAx>
      <c:valAx>
        <c:axId val="86238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62385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365760</xdr:colOff>
      <xdr:row>3</xdr:row>
      <xdr:rowOff>26670</xdr:rowOff>
    </xdr:from>
    <xdr:to>
      <xdr:col>24</xdr:col>
      <xdr:colOff>53340</xdr:colOff>
      <xdr:row>20</xdr:row>
      <xdr:rowOff>144780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57CDB72-9A1B-ABDB-3DD1-57378086CF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800099</xdr:colOff>
      <xdr:row>2</xdr:row>
      <xdr:rowOff>34290</xdr:rowOff>
    </xdr:from>
    <xdr:to>
      <xdr:col>20</xdr:col>
      <xdr:colOff>558799</xdr:colOff>
      <xdr:row>27</xdr:row>
      <xdr:rowOff>169333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9AB256F-AC63-A635-CD33-D91EB5F31B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mily Nunes dos Santos" refreshedDate="45559.706558912039" createdVersion="8" refreshedVersion="8" minRefreshableVersion="3" recordCount="23" xr:uid="{8589850E-4920-4784-93F9-DE31097DEAA8}">
  <cacheSource type="worksheet">
    <worksheetSource name="Tabela1"/>
  </cacheSource>
  <cacheFields count="235">
    <cacheField name="Código do Município" numFmtId="0">
      <sharedItems containsSemiMixedTypes="0" containsString="0" containsNumber="1" containsInteger="1" minValue="510760" maxValue="510760"/>
    </cacheField>
    <cacheField name="Município" numFmtId="0">
      <sharedItems count="1">
        <s v="Rondonópolis"/>
      </sharedItems>
    </cacheField>
    <cacheField name="Estado" numFmtId="0">
      <sharedItems/>
    </cacheField>
    <cacheField name="Ano de Referência" numFmtId="0">
      <sharedItems containsSemiMixedTypes="0" containsString="0" containsNumber="1" containsInteger="1" minValue="2000" maxValue="2022" count="23">
        <n v="2022"/>
        <n v="2021"/>
        <n v="2020"/>
        <n v="2019"/>
        <n v="2018"/>
        <n v="2017"/>
        <n v="2016"/>
        <n v="2015"/>
        <n v="2014"/>
        <n v="2013"/>
        <n v="2012"/>
        <n v="2011"/>
        <n v="2010"/>
        <n v="2009"/>
        <n v="2008"/>
        <n v="2007"/>
        <n v="2006"/>
        <n v="2005"/>
        <n v="2004"/>
        <n v="2003"/>
        <n v="2002"/>
        <n v="2001"/>
        <n v="2000"/>
      </sharedItems>
    </cacheField>
    <cacheField name="Código do Prestador" numFmtId="0">
      <sharedItems containsSemiMixedTypes="0" containsString="0" containsNumber="1" containsInteger="1" minValue="51076011" maxValue="51076011"/>
    </cacheField>
    <cacheField name="Prestador" numFmtId="0">
      <sharedItems/>
    </cacheField>
    <cacheField name="Sigla do Prestador" numFmtId="0">
      <sharedItems/>
    </cacheField>
    <cacheField name="Abrangência" numFmtId="0">
      <sharedItems/>
    </cacheField>
    <cacheField name="Tipo de serviço" numFmtId="0">
      <sharedItems/>
    </cacheField>
    <cacheField name="Natureza jurídica" numFmtId="0">
      <sharedItems/>
    </cacheField>
    <cacheField name="GE001 - Quantidade de municípios atendidos com abastecimento de água com delegação em vigor" numFmtId="0">
      <sharedItems containsString="0" containsBlank="1" containsNumber="1" containsInteger="1" minValue="0" maxValue="0" count="2">
        <m/>
        <n v="0"/>
      </sharedItems>
    </cacheField>
    <cacheField name="GE002 - Quantidade de municípios atendidos com abastecimento de água com delegação vencida" numFmtId="0">
      <sharedItems containsString="0" containsBlank="1" containsNumber="1" containsInteger="1" minValue="0" maxValue="0"/>
    </cacheField>
    <cacheField name="GE003 - Quantidade de municípios atendidos com abastecimento de água sem delegação" numFmtId="0">
      <sharedItems containsString="0" containsBlank="1" containsNumber="1" containsInteger="1" minValue="1" maxValue="1"/>
    </cacheField>
    <cacheField name="GE008 - Quantidade de Sedes municipais atendidas com abastecimento de água" numFmtId="0">
      <sharedItems containsString="0" containsBlank="1" containsNumber="1" containsInteger="1" minValue="1" maxValue="1"/>
    </cacheField>
    <cacheField name="GE009 - Quantidade de Sedes municipais atendidas com esgotamento sanitário" numFmtId="0">
      <sharedItems containsString="0" containsBlank="1" containsNumber="1" containsInteger="1" minValue="1" maxValue="1"/>
    </cacheField>
    <cacheField name="GE010 - Quantidade de Localidades (excluídas as sedes) atendidas com abastecimento de água" numFmtId="0">
      <sharedItems containsSemiMixedTypes="0" containsString="0" containsNumber="1" containsInteger="1" minValue="3" maxValue="3"/>
    </cacheField>
    <cacheField name="GE011 - Quantidade de Localidades (excluídas as sedes) atendidas com esgotamento sanitário" numFmtId="0">
      <sharedItems containsSemiMixedTypes="0" containsString="0" containsNumber="1" containsInteger="1" minValue="0" maxValue="0"/>
    </cacheField>
    <cacheField name="GE014 - Quantidade de municípios atendidos com esgotamento sanitário com delegação em vigor" numFmtId="0">
      <sharedItems containsString="0" containsBlank="1" containsNumber="1" containsInteger="1" minValue="0" maxValue="0"/>
    </cacheField>
    <cacheField name="GE015 - Quantidade de municípios atendidos com esgotamento sanitário com delegação vencida" numFmtId="0">
      <sharedItems containsString="0" containsBlank="1" containsNumber="1" containsInteger="1" minValue="0" maxValue="0"/>
    </cacheField>
    <cacheField name="GE016 - Quantidade de municípios atendidos com esgotamento sanitário sem delegação" numFmtId="0">
      <sharedItems containsString="0" containsBlank="1" containsNumber="1" containsInteger="1" minValue="1" maxValue="1"/>
    </cacheField>
    <cacheField name="GE017 - Ano de vencimento da delegação de abastecimento de água" numFmtId="0">
      <sharedItems containsNonDate="0" containsString="0" containsBlank="1" count="1">
        <m/>
      </sharedItems>
    </cacheField>
    <cacheField name="GE018 - Ano de vencimento da delegação de esgotamento sanitário" numFmtId="0">
      <sharedItems containsNonDate="0" containsString="0" containsBlank="1" count="1">
        <m/>
      </sharedItems>
    </cacheField>
    <cacheField name="GE019 - Onde atende com abastecimento de água" numFmtId="0">
      <sharedItems count="2">
        <s v="Ambos"/>
        <s v="Sede Municipal"/>
      </sharedItems>
    </cacheField>
    <cacheField name="GE020 - Onde atende com esgotamento sanitário" numFmtId="0">
      <sharedItems count="1">
        <s v="Sede Municipal"/>
      </sharedItems>
    </cacheField>
    <cacheField name="GE030 - Quantidade de municípios não atendidos com esgotamento sanitário e sem delegação para prestar esse serviço" numFmtId="0">
      <sharedItems containsNonDate="0" containsString="0" containsBlank="1" count="1">
        <m/>
      </sharedItems>
    </cacheField>
    <cacheField name="POP_TOT - População total do município do ano de referência (Fonte: IBGE):" numFmtId="3">
      <sharedItems containsSemiMixedTypes="0" containsString="0" containsNumber="1" containsInteger="1" minValue="150227" maxValue="244911"/>
    </cacheField>
    <cacheField name="POP_URB - População urbana do município do ano de referência (Fonte: IBGE):" numFmtId="0">
      <sharedItems containsString="0" containsBlank="1" containsNumber="1" containsInteger="1" minValue="141838" maxValue="230483"/>
    </cacheField>
    <cacheField name="AG001 - População total atendida com abastecimento de água" numFmtId="3">
      <sharedItems containsSemiMixedTypes="0" containsString="0" containsNumber="1" containsInteger="1" minValue="145600" maxValue="244911"/>
    </cacheField>
    <cacheField name="AG001A - População total atendida com abastecimento de água no ano anterior ao de referência." numFmtId="3">
      <sharedItems containsSemiMixedTypes="0" containsString="0" containsNumber="1" containsInteger="1" minValue="145600" maxValue="239613"/>
    </cacheField>
    <cacheField name="AG002 - Quantidade de ligações ativas de água" numFmtId="3">
      <sharedItems containsSemiMixedTypes="0" containsString="0" containsNumber="1" containsInteger="1" minValue="37702" maxValue="90783"/>
    </cacheField>
    <cacheField name="AG002A - Quantidade de ligações ativas de água no ano anterior ao de referência." numFmtId="3">
      <sharedItems containsSemiMixedTypes="0" containsString="0" containsNumber="1" containsInteger="1" minValue="37048" maxValue="81679"/>
    </cacheField>
    <cacheField name="AG003 - Quantidade de economias ativas de água" numFmtId="3">
      <sharedItems containsSemiMixedTypes="0" containsString="0" containsNumber="1" containsInteger="1" minValue="41319" maxValue="93457"/>
    </cacheField>
    <cacheField name="AG003A - Quantidade de economias ativas de água no ano anterior ao de referência." numFmtId="3">
      <sharedItems containsSemiMixedTypes="0" containsString="0" containsNumber="1" containsInteger="1" minValue="41319" maxValue="89721"/>
    </cacheField>
    <cacheField name="AG004 - Quantidade de ligações ativas de água micromedidas" numFmtId="3">
      <sharedItems containsSemiMixedTypes="0" containsString="0" containsNumber="1" containsInteger="1" minValue="22390" maxValue="83763"/>
    </cacheField>
    <cacheField name="AG004A - Quantidade de ligações ativas de água micromedidas no ano anterior ao de referência." numFmtId="3">
      <sharedItems containsSemiMixedTypes="0" containsString="0" containsNumber="1" containsInteger="1" minValue="22390" maxValue="80798"/>
    </cacheField>
    <cacheField name="AG005 - Extensão da rede de água" numFmtId="0">
      <sharedItems containsSemiMixedTypes="0" containsString="0" containsNumber="1" minValue="43.61" maxValue="1701.73"/>
    </cacheField>
    <cacheField name="AG005A - Extensão da rede de água no ano anterior ao de referência." numFmtId="0">
      <sharedItems containsSemiMixedTypes="0" containsString="0" containsNumber="1" minValue="43.61" maxValue="1237.3900000000001"/>
    </cacheField>
    <cacheField name="AG006 - Volume de água produzido" numFmtId="4">
      <sharedItems containsSemiMixedTypes="0" containsString="0" containsNumber="1" minValue="15756.2" maxValue="31733"/>
    </cacheField>
    <cacheField name="AG007 - Volume de água tratada em ETAs" numFmtId="4">
      <sharedItems containsSemiMixedTypes="0" containsString="0" containsNumber="1" minValue="8072.5" maxValue="12085"/>
    </cacheField>
    <cacheField name="AG008 - Volume de água micromedido" numFmtId="4">
      <sharedItems containsSemiMixedTypes="0" containsString="0" containsNumber="1" minValue="3979.05" maxValue="13906.44"/>
    </cacheField>
    <cacheField name="AG010 - Volume de água consumido" numFmtId="4">
      <sharedItems containsSemiMixedTypes="0" containsString="0" containsNumber="1" minValue="6684.79" maxValue="14713.4"/>
    </cacheField>
    <cacheField name="AG011 - Volume de água faturado" numFmtId="4">
      <sharedItems containsSemiMixedTypes="0" containsString="0" containsNumber="1" minValue="7435.85" maxValue="14721.96"/>
    </cacheField>
    <cacheField name="AG012 - Volume de água macromedido" numFmtId="0">
      <sharedItems containsString="0" containsBlank="1" containsNumber="1" minValue="0" maxValue="31733"/>
    </cacheField>
    <cacheField name="AG013 - Quantidade de economias residenciais ativas de água" numFmtId="3">
      <sharedItems containsSemiMixedTypes="0" containsString="0" containsNumber="1" containsInteger="1" minValue="37949" maxValue="87267"/>
    </cacheField>
    <cacheField name="AG013A - Quantidade de economias residenciais ativas de água no ano anterior ao de referência." numFmtId="3">
      <sharedItems containsSemiMixedTypes="0" containsString="0" containsNumber="1" containsInteger="1" minValue="37786" maxValue="83674"/>
    </cacheField>
    <cacheField name="AG014 - Quantidade de economias ativas de água micromedidas" numFmtId="3">
      <sharedItems containsSemiMixedTypes="0" containsString="0" containsNumber="1" containsInteger="1" minValue="25367" maxValue="90162"/>
    </cacheField>
    <cacheField name="AG014A - Quantidade de economias ativas de água micromedidas no ano anterior ao de referência." numFmtId="3">
      <sharedItems containsSemiMixedTypes="0" containsString="0" containsNumber="1" containsInteger="1" minValue="25367" maxValue="86532"/>
    </cacheField>
    <cacheField name="AG015 - Volume de água tratada por simples desinfecção" numFmtId="4">
      <sharedItems containsSemiMixedTypes="0" containsString="0" containsNumber="1" minValue="7396.2" maxValue="19928"/>
    </cacheField>
    <cacheField name="AG017 - Volume de água bruta exportado" numFmtId="0">
      <sharedItems containsSemiMixedTypes="0" containsString="0" containsNumber="1" containsInteger="1" minValue="0" maxValue="0"/>
    </cacheField>
    <cacheField name="AG018 - Volume de água tratada importado" numFmtId="0">
      <sharedItems containsSemiMixedTypes="0" containsString="0" containsNumber="1" containsInteger="1" minValue="0" maxValue="0"/>
    </cacheField>
    <cacheField name="AG019 - Volume de água tratada exportado" numFmtId="0">
      <sharedItems containsSemiMixedTypes="0" containsString="0" containsNumber="1" containsInteger="1" minValue="0" maxValue="0"/>
    </cacheField>
    <cacheField name="AG020 - Volume micromedido nas economias residenciais ativas de água" numFmtId="4">
      <sharedItems containsSemiMixedTypes="0" containsString="0" containsNumber="1" minValue="3444.1" maxValue="12400.95"/>
    </cacheField>
    <cacheField name="AG021 - Quantidade de ligações totais de água" numFmtId="3">
      <sharedItems containsSemiMixedTypes="0" containsString="0" containsNumber="1" containsInteger="1" minValue="41202" maxValue="90797"/>
    </cacheField>
    <cacheField name="AG021A - Quantidade de ligações totais de água no ano anterior ao de referência." numFmtId="3">
      <sharedItems containsSemiMixedTypes="0" containsString="0" containsNumber="1" containsInteger="1" minValue="40339" maxValue="87477"/>
    </cacheField>
    <cacheField name="AG022 - Quantidade de economias residenciais ativas de água micromedidas" numFmtId="3">
      <sharedItems containsSemiMixedTypes="0" containsString="0" containsNumber="1" containsInteger="1" minValue="22739" maxValue="86629"/>
    </cacheField>
    <cacheField name="AG022A - Quantidade de economias residenciais ativas de água micromedidas no ano anterior ao de referência." numFmtId="3">
      <sharedItems containsSemiMixedTypes="0" containsString="0" containsNumber="1" containsInteger="1" minValue="22739" maxValue="83585"/>
    </cacheField>
    <cacheField name="AG024 - Volume de serviço" numFmtId="0">
      <sharedItems containsString="0" containsBlank="1" containsNumber="1" minValue="0" maxValue="10731"/>
    </cacheField>
    <cacheField name="AG025A - População rural atendida com abastecimento de água no ano anterior ao de referência." numFmtId="0">
      <sharedItems containsString="0" containsBlank="1" containsNumber="1" containsInteger="1" minValue="0" maxValue="7814"/>
    </cacheField>
    <cacheField name="AG026 - População urbana atendida com abastecimento de água" numFmtId="0">
      <sharedItems containsString="0" containsBlank="1" containsNumber="1" containsInteger="1" minValue="150000" maxValue="230483"/>
    </cacheField>
    <cacheField name="AG026A - População urbana atendida com abastecimento de água no ano anterior ao de referência." numFmtId="0">
      <sharedItems containsString="0" containsBlank="1" containsNumber="1" containsInteger="1" minValue="150000" maxValue="230483"/>
    </cacheField>
    <cacheField name="AG027 - Volume de água fluoretada" numFmtId="0">
      <sharedItems containsString="0" containsBlank="1" containsNumber="1" containsInteger="1" minValue="0" maxValue="0"/>
    </cacheField>
    <cacheField name="AG028 - Consumo total de energia elétrica nos sistemas de água" numFmtId="0">
      <sharedItems containsString="0" containsBlank="1" containsNumber="1" minValue="9768.42" maxValue="21343.15"/>
    </cacheField>
    <cacheField name="ES001 - População total atendida com esgotamento sanitário" numFmtId="3">
      <sharedItems containsSemiMixedTypes="0" containsString="0" containsNumber="1" containsInteger="1" minValue="43600" maxValue="244911"/>
    </cacheField>
    <cacheField name="ES001A - População total atendida com esgotamento sanitário no ano anterior ao de referência." numFmtId="3">
      <sharedItems containsSemiMixedTypes="0" containsString="0" containsNumber="1" containsInteger="1" minValue="35944" maxValue="230483"/>
    </cacheField>
    <cacheField name="ES002 - Quantidade de ligações ativas de esgotos" numFmtId="3">
      <sharedItems containsSemiMixedTypes="0" containsString="0" containsNumber="1" containsInteger="1" minValue="10563" maxValue="85675"/>
    </cacheField>
    <cacheField name="ES002A - Quantidade de ligações ativas de esgoto no ano anterior ao de referência." numFmtId="3">
      <sharedItems containsSemiMixedTypes="0" containsString="0" containsNumber="1" containsInteger="1" minValue="8295" maxValue="82109"/>
    </cacheField>
    <cacheField name="ES003 - Quantidade de economias ativas de esgotos" numFmtId="3">
      <sharedItems containsSemiMixedTypes="0" containsString="0" containsNumber="1" containsInteger="1" minValue="13023" maxValue="93915"/>
    </cacheField>
    <cacheField name="ES003A - Quantidade de economias ativas de esgoto no ano anterior ao de referência." numFmtId="3">
      <sharedItems containsSemiMixedTypes="0" containsString="0" containsNumber="1" containsInteger="1" minValue="9826" maxValue="89632"/>
    </cacheField>
    <cacheField name="ES004 - Extensão da rede de esgotos" numFmtId="0">
      <sharedItems containsSemiMixedTypes="0" containsString="0" containsNumber="1" minValue="56.97" maxValue="1593.8"/>
    </cacheField>
    <cacheField name="ES004A - Extensão da rede de esgoto no ano anterior ao de referência." numFmtId="0">
      <sharedItems containsSemiMixedTypes="0" containsString="0" containsNumber="1" minValue="56.97" maxValue="785.03"/>
    </cacheField>
    <cacheField name="ES005 - Volume de esgotos coletado" numFmtId="4">
      <sharedItems containsSemiMixedTypes="0" containsString="0" containsNumber="1" minValue="2532" maxValue="10338"/>
    </cacheField>
    <cacheField name="ES006 - Volume de esgotos tratado" numFmtId="4">
      <sharedItems containsSemiMixedTypes="0" containsString="0" containsNumber="1" minValue="1789" maxValue="10139"/>
    </cacheField>
    <cacheField name="ES007 - Volume de esgotos faturado" numFmtId="4">
      <sharedItems containsSemiMixedTypes="0" containsString="0" containsNumber="1" minValue="2079.89" maxValue="13833.64"/>
    </cacheField>
    <cacheField name="ES008 - Quantidade de economias residenciais ativas de esgotos" numFmtId="0">
      <sharedItems containsString="0" containsBlank="1" containsNumber="1" containsInteger="1" minValue="10897" maxValue="80971"/>
    </cacheField>
    <cacheField name="ES008A - Quantidade de economias residenciais ativas de esgoto no ano anterior ao de referência." numFmtId="0">
      <sharedItems containsString="0" containsBlank="1" containsNumber="1" containsInteger="1" minValue="8406" maxValue="76993"/>
    </cacheField>
    <cacheField name="ES009 - Quantidade de ligações totais de esgotos" numFmtId="3">
      <sharedItems containsSemiMixedTypes="0" containsString="0" containsNumber="1" containsInteger="1" minValue="11203" maxValue="86212"/>
    </cacheField>
    <cacheField name="ES009A - Quantidade de ligações totais de esgoto no ano anterior ao de referência." numFmtId="3">
      <sharedItems containsSemiMixedTypes="0" containsString="0" containsNumber="1" containsInteger="1" minValue="8986" maxValue="82602"/>
    </cacheField>
    <cacheField name="ES012 - Volume de esgoto bruto exportado" numFmtId="0">
      <sharedItems containsString="0" containsBlank="1" containsNumber="1" containsInteger="1" minValue="0" maxValue="0"/>
    </cacheField>
    <cacheField name="ES013 - Volume de esgotos bruto importado" numFmtId="0">
      <sharedItems containsString="0" containsBlank="1" containsNumber="1" containsInteger="1" minValue="0" maxValue="0"/>
    </cacheField>
    <cacheField name="ES014 - Volume de esgoto importado tratado nas instalações do importador" numFmtId="0">
      <sharedItems containsString="0" containsBlank="1" containsNumber="1" containsInteger="1" minValue="0" maxValue="0"/>
    </cacheField>
    <cacheField name="ES015 - Volume de esgoto bruto exportado tratado nas instalações do importador" numFmtId="0">
      <sharedItems containsString="0" containsBlank="1" containsNumber="1" containsInteger="1" minValue="0" maxValue="0"/>
    </cacheField>
    <cacheField name="ES025A - População rural atendida com esgotamento sanitário no ano anterior ao de referência." numFmtId="0">
      <sharedItems containsString="0" containsBlank="1" containsNumber="1" containsInteger="1" minValue="0" maxValue="0"/>
    </cacheField>
    <cacheField name="ES026 - População urbana atendida com esgotamento sanitário" numFmtId="0">
      <sharedItems containsString="0" containsBlank="1" containsNumber="1" containsInteger="1" minValue="48364" maxValue="230483"/>
    </cacheField>
    <cacheField name="ES026A - População urbana atendida com esgotamento sanitário no ano anterior ao de referência." numFmtId="0">
      <sharedItems containsString="0" containsBlank="1" containsNumber="1" containsInteger="1" minValue="48364" maxValue="230483"/>
    </cacheField>
    <cacheField name="ES028 - Consumo total de energia elétrica nos sistemas de esgotos" numFmtId="0">
      <sharedItems containsString="0" containsBlank="1" containsNumber="1" minValue="490.35" maxValue="7037.6"/>
    </cacheField>
    <cacheField name="FN001 - Receita operacional direta total" numFmtId="4">
      <sharedItems containsSemiMixedTypes="0" containsString="0" containsNumber="1" minValue="4013737.25" maxValue="92765069.049999997"/>
    </cacheField>
    <cacheField name="FN002 - Receita operacional direta de água" numFmtId="4">
      <sharedItems containsSemiMixedTypes="0" containsString="0" containsNumber="1" minValue="3191945.68" maxValue="58482326.140000001"/>
    </cacheField>
    <cacheField name="FN003 - Receita operacional direta de esgoto" numFmtId="4">
      <sharedItems containsSemiMixedTypes="0" containsString="0" containsNumber="1" minValue="821791.57" maxValue="34282742.909999996"/>
    </cacheField>
    <cacheField name="FN004 - Receita operacional indireta" numFmtId="0">
      <sharedItems containsSemiMixedTypes="0" containsString="0" containsNumber="1" minValue="0" maxValue="36684673.259999998"/>
    </cacheField>
    <cacheField name="FN005 - Receita operacional total (direta + indireta)" numFmtId="4">
      <sharedItems containsSemiMixedTypes="0" containsString="0" containsNumber="1" minValue="4288113.2" maxValue="129449742.31"/>
    </cacheField>
    <cacheField name="FN006 - Arrecadação total" numFmtId="4">
      <sharedItems containsSemiMixedTypes="0" containsString="0" containsNumber="1" minValue="4288113.2" maxValue="92765069.060000002"/>
    </cacheField>
    <cacheField name="FN007 - Receita operacional direta de água exportada (bruta ou tratada)" numFmtId="0">
      <sharedItems containsSemiMixedTypes="0" containsString="0" containsNumber="1" containsInteger="1" minValue="0" maxValue="0"/>
    </cacheField>
    <cacheField name="FN008 - Créditos de contas a receber" numFmtId="0">
      <sharedItems containsString="0" containsBlank="1" containsNumber="1" minValue="0" maxValue="12383501.310000001"/>
    </cacheField>
    <cacheField name="FN008A - Crédito de contas a receber no ano anterior ao de referência." numFmtId="0">
      <sharedItems containsString="0" containsBlank="1" containsNumber="1" minValue="0" maxValue="12383501.310000001"/>
    </cacheField>
    <cacheField name="FN010 - Despesa com pessoal próprio" numFmtId="4">
      <sharedItems containsSemiMixedTypes="0" containsString="0" containsNumber="1" minValue="152073.60999999999" maxValue="6052886.6600000001"/>
    </cacheField>
    <cacheField name="FN011 - Despesa com produtos químicos" numFmtId="4">
      <sharedItems containsSemiMixedTypes="0" containsString="0" containsNumber="1" minValue="98458.4" maxValue="2901906.31"/>
    </cacheField>
    <cacheField name="FN013 - Despesa com energia elétrica" numFmtId="4">
      <sharedItems containsSemiMixedTypes="0" containsString="0" containsNumber="1" minValue="1423552.26" maxValue="22358864.73"/>
    </cacheField>
    <cacheField name="FN014 - Despesa com serviços de terceiros" numFmtId="4">
      <sharedItems containsSemiMixedTypes="0" containsString="0" containsNumber="1" minValue="1424046.23" maxValue="34162795.210000001"/>
    </cacheField>
    <cacheField name="FN015 - Despesas de Exploração (DEX), sendo FN015 = FN010 + FN011 + FN013 + FN014 + FN020 + FN039 + FN021 + FN027" numFmtId="4">
      <sharedItems containsSemiMixedTypes="0" containsString="0" containsNumber="1" minValue="3358104.6" maxValue="75042596.030000001"/>
    </cacheField>
    <cacheField name="FN016 - Despesas com juros e encargos do serviço da dívida" numFmtId="0">
      <sharedItems containsString="0" containsBlank="1" containsNumber="1" containsInteger="1" minValue="0" maxValue="0"/>
    </cacheField>
    <cacheField name="FN017 - Despesas totais com os serviços (DTS), sendo FN017 = FN015 + FN016 + FN019 + FN022 + FN028" numFmtId="4">
      <sharedItems containsSemiMixedTypes="0" containsString="0" containsNumber="1" minValue="4306267.25" maxValue="77461300.060000002"/>
    </cacheField>
    <cacheField name="FN018 - Despesas capitalizáveis realizadas pelo prestador de serviços" numFmtId="0">
      <sharedItems containsString="0" containsBlank="1" containsNumber="1" minValue="0" maxValue="2267352.1"/>
    </cacheField>
    <cacheField name="FN019 - Despesas com depreciação, amortização do ativo diferido e provisão para devedores duvidosos" numFmtId="0">
      <sharedItems containsString="0" containsBlank="1" containsNumber="1" minValue="0" maxValue="2418704.0299999998"/>
    </cacheField>
    <cacheField name="FN020 - Despesa com água importada (bruta ou tratada)" numFmtId="0">
      <sharedItems containsSemiMixedTypes="0" containsString="0" containsNumber="1" containsInteger="1" minValue="0" maxValue="0"/>
    </cacheField>
    <cacheField name="FN021 - Despesas fiscais ou tributárias computadas na DEX" numFmtId="0">
      <sharedItems containsString="0" containsBlank="1" containsNumber="1" minValue="0" maxValue="1271234.42"/>
    </cacheField>
    <cacheField name="FN022 - Despesas fiscais ou tributárias não computadas na DEX" numFmtId="0">
      <sharedItems containsString="0" containsBlank="1" containsNumber="1" containsInteger="1" minValue="0" maxValue="0"/>
    </cacheField>
    <cacheField name="FN023 - Investimento realizado em abastecimento de água pelo prestador de serviços" numFmtId="4">
      <sharedItems containsSemiMixedTypes="0" containsString="0" containsNumber="1" minValue="23431.72" maxValue="25167846.079999998"/>
    </cacheField>
    <cacheField name="FN024 - Investimento realizado em esgotamento sanitário pelo prestador de serviços" numFmtId="0">
      <sharedItems containsSemiMixedTypes="0" containsString="0" containsNumber="1" minValue="0" maxValue="21796509.300000001"/>
    </cacheField>
    <cacheField name="FN025 - Outros investimentos realizados pelo prestador de serviços" numFmtId="4">
      <sharedItems containsSemiMixedTypes="0" containsString="0" containsNumber="1" minValue="27044.2" maxValue="2932912.7"/>
    </cacheField>
    <cacheField name="FN026 - Quantidade total de empregados próprios" numFmtId="0">
      <sharedItems containsSemiMixedTypes="0" containsString="0" containsNumber="1" containsInteger="1" minValue="12" maxValue="39"/>
    </cacheField>
    <cacheField name="FN026A - Quantidade total de empregados próprios no ano anterior ao de referência." numFmtId="0">
      <sharedItems containsSemiMixedTypes="0" containsString="0" containsNumber="1" containsInteger="1" minValue="12" maxValue="125"/>
    </cacheField>
    <cacheField name="FN027 - Outras despesas de exploração" numFmtId="0">
      <sharedItems containsSemiMixedTypes="0" containsString="0" containsNumber="1" minValue="0" maxValue="13067588.92"/>
    </cacheField>
    <cacheField name="FN028 - Outras despesas com os serviços" numFmtId="0">
      <sharedItems containsString="0" containsBlank="1" containsNumber="1" minValue="0" maxValue="1731528.45"/>
    </cacheField>
    <cacheField name="FN030 - Investimento com recursos próprios realizado pelo prestador de serviços." numFmtId="4">
      <sharedItems containsSemiMixedTypes="0" containsString="0" containsNumber="1" minValue="303427.37" maxValue="5192935.5"/>
    </cacheField>
    <cacheField name="FN031 - Investimento com recursos onerosos realizado pelo prestador de serviços." numFmtId="0">
      <sharedItems containsSemiMixedTypes="0" containsString="0" containsNumber="1" minValue="0" maxValue="34751077.689999998"/>
    </cacheField>
    <cacheField name="FN032 - Investimento com recursos não onerosos realizado pelo prestador de serviços." numFmtId="0">
      <sharedItems containsSemiMixedTypes="0" containsString="0" containsNumber="1" minValue="0" maxValue="12213277.689999999"/>
    </cacheField>
    <cacheField name="FN033 - Investimentos totais realizados pelo prestador de serviços" numFmtId="0">
      <sharedItems containsString="0" containsBlank="1" containsNumber="1" minValue="311581.05" maxValue="48416980.32"/>
    </cacheField>
    <cacheField name="FN034 - Despesas com amortizações do serviço da dívida" numFmtId="0">
      <sharedItems containsString="0" containsBlank="1" containsNumber="1" containsInteger="1" minValue="0" maxValue="0"/>
    </cacheField>
    <cacheField name="FN035 - Despesas com juros e encargos do serviço da dívida, exceto variações monetária e cambial" numFmtId="0">
      <sharedItems containsString="0" containsBlank="1" containsNumber="1" containsInteger="1" minValue="0" maxValue="0"/>
    </cacheField>
    <cacheField name="FN036 - Despesa com variações monetárias e cambiais das dívidas" numFmtId="0">
      <sharedItems containsString="0" containsBlank="1" containsNumber="1" containsInteger="1" minValue="0" maxValue="0"/>
    </cacheField>
    <cacheField name="FN037 - Despesas totais com o serviço da dívida" numFmtId="0">
      <sharedItems containsString="0" containsBlank="1" containsNumber="1" containsInteger="1" minValue="0" maxValue="0"/>
    </cacheField>
    <cacheField name="FN038 - Receita operacional direta - esgoto bruto importado" numFmtId="0">
      <sharedItems containsString="0" containsBlank="1" containsNumber="1" containsInteger="1" minValue="0" maxValue="0"/>
    </cacheField>
    <cacheField name="FN039 - Despesa com esgoto exportado" numFmtId="0">
      <sharedItems containsString="0" containsBlank="1" containsNumber="1" containsInteger="1" minValue="0" maxValue="0"/>
    </cacheField>
    <cacheField name="FN041 - Despesas capitalizáveis realizadas pelo(s) município(s)" numFmtId="0">
      <sharedItems containsString="0" containsBlank="1" containsNumber="1" containsInteger="1" minValue="0" maxValue="0"/>
    </cacheField>
    <cacheField name="FN042 - Investimento realizado em abastecimento de água pelo(s) município(s)" numFmtId="0">
      <sharedItems containsString="0" containsBlank="1" containsNumber="1" containsInteger="1" minValue="0" maxValue="0"/>
    </cacheField>
    <cacheField name="FN043 - Investimento realizado em esgotamento sanitário pelo(s) município(s)" numFmtId="0">
      <sharedItems containsString="0" containsBlank="1" containsNumber="1" containsInteger="1" minValue="0" maxValue="0"/>
    </cacheField>
    <cacheField name="FN044 - Outros investimentos realizados pelo(s) município(s)" numFmtId="0">
      <sharedItems containsString="0" containsBlank="1" containsNumber="1" containsInteger="1" minValue="0" maxValue="0"/>
    </cacheField>
    <cacheField name="FN045 - Investimento com recursos próprios realizado pelo(s) município(s)" numFmtId="0">
      <sharedItems containsString="0" containsBlank="1" containsNumber="1" containsInteger="1" minValue="0" maxValue="0"/>
    </cacheField>
    <cacheField name="FN046 - Investimento com recursos onerosos realizado pelo(s) município(s)" numFmtId="0">
      <sharedItems containsString="0" containsBlank="1" containsNumber="1" containsInteger="1" minValue="0" maxValue="0"/>
    </cacheField>
    <cacheField name="FN047 - Investimento com recursos não onerosos realizado pelo(s) município(s)" numFmtId="0">
      <sharedItems containsString="0" containsBlank="1" containsNumber="1" containsInteger="1" minValue="0" maxValue="0"/>
    </cacheField>
    <cacheField name="FN048 - Investimentos totais realizados pelo(s) município(s)" numFmtId="0">
      <sharedItems containsString="0" containsBlank="1" containsNumber="1" containsInteger="1" minValue="0" maxValue="0"/>
    </cacheField>
    <cacheField name="FN051 - Despesas capitalizáveis realizadas pelo estado" numFmtId="0">
      <sharedItems containsString="0" containsBlank="1" containsNumber="1" containsInteger="1" minValue="0" maxValue="0"/>
    </cacheField>
    <cacheField name="FN052 - Investimento realizado em abastecimento de água pelo estado" numFmtId="0">
      <sharedItems containsString="0" containsBlank="1" containsNumber="1" containsInteger="1" minValue="0" maxValue="0"/>
    </cacheField>
    <cacheField name="FN053 - Investimento realizado em esgotamento sanitário pelo estado" numFmtId="0">
      <sharedItems containsString="0" containsBlank="1" containsNumber="1" containsInteger="1" minValue="0" maxValue="0"/>
    </cacheField>
    <cacheField name="FN054 - Outros investimentos realizados pelo estado" numFmtId="0">
      <sharedItems containsString="0" containsBlank="1" containsNumber="1" containsInteger="1" minValue="0" maxValue="0"/>
    </cacheField>
    <cacheField name="FN055 - Investimento com recursos próprios realizado pelo estado" numFmtId="0">
      <sharedItems containsString="0" containsBlank="1" containsNumber="1" containsInteger="1" minValue="0" maxValue="0"/>
    </cacheField>
    <cacheField name="FN056 - Investimento com recursos onerosos realizado pelo estado" numFmtId="0">
      <sharedItems containsString="0" containsBlank="1" containsNumber="1" containsInteger="1" minValue="0" maxValue="0"/>
    </cacheField>
    <cacheField name="FN057 - Investimento com recursos não onerosos realizado pelo estado" numFmtId="0">
      <sharedItems containsString="0" containsBlank="1" containsNumber="1" containsInteger="1" minValue="0" maxValue="0"/>
    </cacheField>
    <cacheField name="FN058 - Investimentos totais realizados pelo estado" numFmtId="0">
      <sharedItems containsString="0" containsBlank="1" containsNumber="1" containsInteger="1" minValue="0" maxValue="0"/>
    </cacheField>
    <cacheField name="QD001 - Tipo de atendimento da portaria sobre qualidade da água" numFmtId="0">
      <sharedItems containsBlank="1"/>
    </cacheField>
    <cacheField name="QD002 - Quantidades de paralisações no sistema de distribuição de água" numFmtId="0">
      <sharedItems containsString="0" containsBlank="1" containsNumber="1" containsInteger="1" minValue="0" maxValue="61"/>
    </cacheField>
    <cacheField name="QD003 - Duração das paralisações" numFmtId="0">
      <sharedItems containsString="0" containsBlank="1" containsNumber="1" containsInteger="1" minValue="0" maxValue="792"/>
    </cacheField>
    <cacheField name="QD004 - Quantidade de economias ativas atingidas por paralisações" numFmtId="0">
      <sharedItems containsString="0" containsBlank="1" containsNumber="1" containsInteger="1" minValue="0" maxValue="53647"/>
    </cacheField>
    <cacheField name="QD006 - Quantidade de amostras para cloro residual (analisadas)" numFmtId="3">
      <sharedItems containsSemiMixedTypes="0" containsString="0" containsNumber="1" containsInteger="1" minValue="1330" maxValue="24582"/>
    </cacheField>
    <cacheField name="QD007 - Quantidade de amostras para cloro residual com resultados fora do padrão" numFmtId="0">
      <sharedItems containsSemiMixedTypes="0" containsString="0" containsNumber="1" containsInteger="1" minValue="41" maxValue="2462"/>
    </cacheField>
    <cacheField name="QD008 - Quantidade de amostras para turbidez (analisadas)" numFmtId="3">
      <sharedItems containsSemiMixedTypes="0" containsString="0" containsNumber="1" containsInteger="1" minValue="1330" maxValue="21687"/>
    </cacheField>
    <cacheField name="QD009 - Quantidade de amostras para turbidez fora do padrão" numFmtId="0">
      <sharedItems containsSemiMixedTypes="0" containsString="0" containsNumber="1" containsInteger="1" minValue="4" maxValue="1487"/>
    </cacheField>
    <cacheField name="QD011 - Quantidades de extravasamentos de esgotos registrados" numFmtId="0">
      <sharedItems containsString="0" containsBlank="1" containsNumber="1" containsInteger="1" minValue="0" maxValue="7055"/>
    </cacheField>
    <cacheField name="QD012 - Duração dos extravasamentos registrados" numFmtId="0">
      <sharedItems containsString="0" containsBlank="1" containsNumber="1" minValue="0" maxValue="204714.21"/>
    </cacheField>
    <cacheField name="QD015 - Quantidade de economias ativas atingidas por interrupções sistemáticas" numFmtId="0">
      <sharedItems containsString="0" containsBlank="1" containsNumber="1" containsInteger="1" minValue="0" maxValue="1126"/>
    </cacheField>
    <cacheField name="QD019 - Quantidade mínima de amostras para turbidez (obrigatórias)" numFmtId="0">
      <sharedItems containsSemiMixedTypes="0" containsString="0" containsNumber="1" containsInteger="1" minValue="612" maxValue="21687"/>
    </cacheField>
    <cacheField name="QD020 - Quantidade mínima de amostras para cloro residual (obrigatórias)" numFmtId="3">
      <sharedItems containsSemiMixedTypes="0" containsString="0" containsNumber="1" containsInteger="1" minValue="1140" maxValue="21687"/>
    </cacheField>
    <cacheField name="QD021 - Quantidade de interrupções sistemáticas" numFmtId="0">
      <sharedItems containsString="0" containsBlank="1" containsNumber="1" containsInteger="1" minValue="0" maxValue="366"/>
    </cacheField>
    <cacheField name="QD022 - Duração das interrupções sistemáticas" numFmtId="0">
      <sharedItems containsString="0" containsBlank="1" containsNumber="1" containsInteger="1" minValue="0" maxValue="8784"/>
    </cacheField>
    <cacheField name="QD023 - Quantidade de reclamações ou solicitações de serviços" numFmtId="0">
      <sharedItems containsString="0" containsBlank="1" containsNumber="1" containsInteger="1" minValue="0" maxValue="516146"/>
    </cacheField>
    <cacheField name="QD024 - Quantidade de serviços executados" numFmtId="0">
      <sharedItems containsString="0" containsBlank="1" containsNumber="1" containsInteger="1" minValue="0" maxValue="513214"/>
    </cacheField>
    <cacheField name="QD025 - Tempo total de execução dos serviços" numFmtId="0">
      <sharedItems containsString="0" containsBlank="1" containsNumber="1" minValue="0" maxValue="6421787"/>
    </cacheField>
    <cacheField name="QD026 - Quantidade de amostras para coliformes totais (analisadas)" numFmtId="0">
      <sharedItems containsString="0" containsBlank="1" containsNumber="1" containsInteger="1" minValue="1568" maxValue="8176"/>
    </cacheField>
    <cacheField name="QD027 - Quantidade de amostras para coliformes totais com resultados fora do padrão" numFmtId="0">
      <sharedItems containsString="0" containsBlank="1" containsNumber="1" containsInteger="1" minValue="0" maxValue="155"/>
    </cacheField>
    <cacheField name="QD028 - Quantidade mínima de amostras para coliformes totais (obrigatórias)" numFmtId="0">
      <sharedItems containsString="0" containsBlank="1" containsNumber="1" containsInteger="1" minValue="1380" maxValue="8176"/>
    </cacheField>
    <cacheField name="IN001 - Densidade de economias de água por ligação" numFmtId="0">
      <sharedItems containsSemiMixedTypes="0" containsString="0" containsNumber="1" minValue="1.06" maxValue="1.17"/>
    </cacheField>
    <cacheField name="IN002 - Índice de produtividade: economias ativas por pessoal próprio" numFmtId="0">
      <sharedItems containsSemiMixedTypes="0" containsString="0" containsNumber="1" minValue="788.16" maxValue="5556.44"/>
    </cacheField>
    <cacheField name="IN003 - Despesa total com os serviços por m3 faturado" numFmtId="0">
      <sharedItems containsSemiMixedTypes="0" containsString="0" containsNumber="1" minValue="0.4" maxValue="2.71"/>
    </cacheField>
    <cacheField name="IN004 - Tarifa média praticada" numFmtId="0">
      <sharedItems containsSemiMixedTypes="0" containsString="0" containsNumber="1" minValue="0.41" maxValue="3.34"/>
    </cacheField>
    <cacheField name="IN005 - Tarifa média de água" numFmtId="0">
      <sharedItems containsSemiMixedTypes="0" containsString="0" containsNumber="1" minValue="0.42" maxValue="4.03"/>
    </cacheField>
    <cacheField name="IN006 - Tarifa média de esgoto" numFmtId="0">
      <sharedItems containsSemiMixedTypes="0" containsString="0" containsNumber="1" minValue="0.39" maxValue="2.74"/>
    </cacheField>
    <cacheField name="IN007 - Incidência da desp. de pessoal e de serv. de terc. nas despesas totais com os serviços" numFmtId="0">
      <sharedItems containsSemiMixedTypes="0" containsString="0" containsNumber="1" minValue="26.55" maxValue="62.01"/>
    </cacheField>
    <cacheField name="IN008 - Despesa média anual por empregado" numFmtId="4">
      <sharedItems containsSemiMixedTypes="0" containsString="0" containsNumber="1" minValue="2220.0500000000002" maxValue="183420.81"/>
    </cacheField>
    <cacheField name="IN009 - Índice de hidrometração" numFmtId="0">
      <sharedItems containsSemiMixedTypes="0" containsString="0" containsNumber="1" minValue="58.42" maxValue="99.68"/>
    </cacheField>
    <cacheField name="IN010 - Índice de micromedição relativo ao volume disponibilizado" numFmtId="0">
      <sharedItems containsSemiMixedTypes="0" containsString="0" containsNumber="1" minValue="20.9" maxValue="63.96"/>
    </cacheField>
    <cacheField name="IN011 - Índice de macromedição" numFmtId="0">
      <sharedItems containsString="0" containsBlank="1" containsNumber="1" minValue="0" maxValue="100"/>
    </cacheField>
    <cacheField name="IN012 - Indicador de desempenho financeiro" numFmtId="0">
      <sharedItems containsSemiMixedTypes="0" containsString="0" containsNumber="1" minValue="93.2" maxValue="210.38" count="23">
        <n v="119.76"/>
        <n v="138.26"/>
        <n v="128.91"/>
        <n v="130.53"/>
        <n v="127.56"/>
        <n v="141.87"/>
        <n v="133.69"/>
        <n v="151.53"/>
        <n v="102.54"/>
        <n v="135.13999999999999"/>
        <n v="168.03"/>
        <n v="174.24"/>
        <n v="149.13"/>
        <n v="133.38999999999999"/>
        <n v="118.44"/>
        <n v="150.19999999999999"/>
        <n v="205.3"/>
        <n v="169.96"/>
        <n v="199.7"/>
        <n v="190.09"/>
        <n v="210.38"/>
        <n v="179.77"/>
        <n v="93.2"/>
      </sharedItems>
    </cacheField>
    <cacheField name="IN013 - Índice de perdas faturamento" numFmtId="0">
      <sharedItems containsSemiMixedTypes="0" containsString="0" containsNumber="1" minValue="25.48" maxValue="60.92"/>
    </cacheField>
    <cacheField name="IN014 - Consumo micromedido por economia" numFmtId="0">
      <sharedItems containsSemiMixedTypes="0" containsString="0" containsNumber="1" minValue="10.33" maxValue="17.59"/>
    </cacheField>
    <cacheField name="IN015 - Índice de coleta de esgoto" numFmtId="0">
      <sharedItems containsSemiMixedTypes="0" containsString="0" containsNumber="1" minValue="27.31" maxValue="95.46"/>
    </cacheField>
    <cacheField name="IN016 - Índice de tratamento de esgoto" numFmtId="0">
      <sharedItems containsSemiMixedTypes="0" containsString="0" containsNumber="1" minValue="66.959999999999994" maxValue="100"/>
    </cacheField>
    <cacheField name="IN017 - Consumo de água faturado por economia" numFmtId="0">
      <sharedItems containsSemiMixedTypes="0" containsString="0" containsNumber="1" minValue="12.92" maxValue="15.7"/>
    </cacheField>
    <cacheField name="IN018 - Quantidade equivalente de pessoal total" numFmtId="0">
      <sharedItems containsSemiMixedTypes="0" containsString="0" containsNumber="1" minValue="44" maxValue="710"/>
    </cacheField>
    <cacheField name="IN019 - Índice de produtividade: economias ativas por pessoal total (equivalente)" numFmtId="0">
      <sharedItems containsSemiMixedTypes="0" containsString="0" containsNumber="1" minValue="76.040000000000006" maxValue="1494.59"/>
    </cacheField>
    <cacheField name="IN020 - Extensão da rede de água por ligação" numFmtId="0">
      <sharedItems containsSemiMixedTypes="0" containsString="0" containsNumber="1" minValue="0.7" maxValue="16.12"/>
    </cacheField>
    <cacheField name="IN021 - Extensão da rede de esgoto por ligação" numFmtId="0">
      <sharedItems containsSemiMixedTypes="0" containsString="0" containsNumber="1" minValue="6.16" maxValue="19.510000000000002"/>
    </cacheField>
    <cacheField name="IN022 - Consumo médio percapita de água" numFmtId="0">
      <sharedItems containsSemiMixedTypes="0" containsString="0" containsNumber="1" minValue="121.93" maxValue="196.48"/>
    </cacheField>
    <cacheField name="IN023 - Índice de atendimento urbano de água" numFmtId="0">
      <sharedItems containsString="0" containsBlank="1" containsNumber="1" minValue="99.8" maxValue="100"/>
    </cacheField>
    <cacheField name="IN024 - Índice de atendimento urbano de esgoto referido aos municípios atendidos com água" numFmtId="0">
      <sharedItems containsString="0" containsBlank="1" containsNumber="1" minValue="30.77" maxValue="100"/>
    </cacheField>
    <cacheField name="IN025 - Volume de água disponibilizado por economia" numFmtId="0">
      <sharedItems containsSemiMixedTypes="0" containsString="0" containsNumber="1" minValue="21.61" maxValue="36.9"/>
    </cacheField>
    <cacheField name="IN026 - Despesa de exploração por m3 faturado" numFmtId="0">
      <sharedItems containsSemiMixedTypes="0" containsString="0" containsNumber="1" minValue="0.35" maxValue="2.63"/>
    </cacheField>
    <cacheField name="IN027 - Despesa de exploração por economia" numFmtId="0">
      <sharedItems containsSemiMixedTypes="0" containsString="0" containsNumber="1" minValue="62.19" maxValue="409.26"/>
    </cacheField>
    <cacheField name="IN028 - Índice de faturamento de água" numFmtId="0">
      <sharedItems containsSemiMixedTypes="0" containsString="0" containsNumber="1" minValue="39.07" maxValue="74.52"/>
    </cacheField>
    <cacheField name="IN029 - Índice de evasão de receitas" numFmtId="0">
      <sharedItems containsSemiMixedTypes="0" containsString="0" containsNumber="1" minValue="-6.36" maxValue="28.34"/>
    </cacheField>
    <cacheField name="IN030 - Margem da despesa de exploração" numFmtId="0">
      <sharedItems containsSemiMixedTypes="0" containsString="0" containsNumber="1" minValue="47.53" maxValue="94.47"/>
    </cacheField>
    <cacheField name="IN031 - Margem da despesa com pessoal próprio" numFmtId="0">
      <sharedItems containsSemiMixedTypes="0" containsString="0" containsNumber="1" minValue="3" maxValue="7.47"/>
    </cacheField>
    <cacheField name="IN032 - Margem da despesa com pessoal total (equivalente)" numFmtId="0">
      <sharedItems containsSemiMixedTypes="0" containsString="0" containsNumber="1" minValue="14.88" maxValue="51.52"/>
    </cacheField>
    <cacheField name="IN033 - Margem do serviço da divida" numFmtId="0">
      <sharedItems containsString="0" containsBlank="1" containsNumber="1" containsInteger="1" minValue="0" maxValue="0"/>
    </cacheField>
    <cacheField name="IN034 - Margem das outras despesas de exploração" numFmtId="0">
      <sharedItems containsString="0" containsBlank="1" containsNumber="1" minValue="0" maxValue="31.8"/>
    </cacheField>
    <cacheField name="IN035 - Participação da despesa com pessoal próprio nas despesas de exploração" numFmtId="0">
      <sharedItems containsSemiMixedTypes="0" containsString="0" containsNumber="1" minValue="4.5199999999999996" maxValue="11.1"/>
    </cacheField>
    <cacheField name="IN036 - Participação da despesa com pessoal total (equivalente) nas despesas de exploração" numFmtId="0">
      <sharedItems containsSemiMixedTypes="0" containsString="0" containsNumber="1" minValue="26.55" maxValue="63.74"/>
    </cacheField>
    <cacheField name="IN037 - Participação da despesa com energia elétrica nas despesas de exploração" numFmtId="0">
      <sharedItems containsSemiMixedTypes="0" containsString="0" containsNumber="1" minValue="23.25" maxValue="60.02"/>
    </cacheField>
    <cacheField name="IN038 - Participação da despesa com produtos químicos nas despesas de exploração (DEX)" numFmtId="0">
      <sharedItems containsSemiMixedTypes="0" containsString="0" containsNumber="1" minValue="2.12" maxValue="8.17"/>
    </cacheField>
    <cacheField name="IN039 - Participação das outras despesas nas despesas de exploração" numFmtId="0">
      <sharedItems containsString="0" containsBlank="1" containsNumber="1" minValue="0" maxValue="33.659999999999997"/>
    </cacheField>
    <cacheField name="IN040 - Participação da receita operacional direta de água na receita operacional total" numFmtId="0">
      <sharedItems containsSemiMixedTypes="0" containsString="0" containsNumber="1" minValue="45.18" maxValue="77.599999999999994"/>
    </cacheField>
    <cacheField name="IN041 - Participação da receita operacional direta de esgoto na receita operacional total" numFmtId="0">
      <sharedItems containsSemiMixedTypes="0" containsString="0" containsNumber="1" minValue="19.16" maxValue="32.08"/>
    </cacheField>
    <cacheField name="IN042 - Participação da receita operacional indireta na receita operacional total" numFmtId="0">
      <sharedItems containsSemiMixedTypes="0" containsString="0" containsNumber="1" minValue="0" maxValue="28.34"/>
    </cacheField>
    <cacheField name="IN043 - Participação das economias residenciais de água no total das economias de água" numFmtId="0">
      <sharedItems containsSemiMixedTypes="0" containsString="0" containsNumber="1" minValue="87.6" maxValue="95.24"/>
    </cacheField>
    <cacheField name="IN044 - Índice de micromedição relativo ao consumo" numFmtId="0">
      <sharedItems containsSemiMixedTypes="0" containsString="0" containsNumber="1" minValue="59.37" maxValue="100"/>
    </cacheField>
    <cacheField name="IN045 - Índice de produtividade: empregados próprios por 1000 ligações de água" numFmtId="0">
      <sharedItems containsSemiMixedTypes="0" containsString="0" containsNumber="1" minValue="0.26" maxValue="1.83"/>
    </cacheField>
    <cacheField name="IN046 - Índice de esgoto tratado referido à água consumida" numFmtId="0">
      <sharedItems containsSemiMixedTypes="0" containsString="0" containsNumber="1" minValue="21.42" maxValue="93.37"/>
    </cacheField>
    <cacheField name="IN047 - Índice de atendimento urbano de esgoto referido aos municípios atendidos com esgoto" numFmtId="0">
      <sharedItems containsString="0" containsBlank="1" containsNumber="1" minValue="30.77" maxValue="100"/>
    </cacheField>
    <cacheField name="IN048 - Índice de produtividade: empregados próprios por 1000 ligações de água + esgoto" numFmtId="0">
      <sharedItems containsSemiMixedTypes="0" containsString="0" containsNumber="1" minValue="0.19" maxValue="1.45"/>
    </cacheField>
    <cacheField name="IN049 - Índice de perdas na distribuição" numFmtId="0">
      <sharedItems containsSemiMixedTypes="0" containsString="0" containsNumber="1" minValue="32.33" maxValue="64.78"/>
    </cacheField>
    <cacheField name="IN050 - Índice bruto de perdas lineares" numFmtId="0">
      <sharedItems containsSemiMixedTypes="0" containsString="0" containsNumber="1" minValue="17.59" maxValue="472.08"/>
    </cacheField>
    <cacheField name="IN051 - Índice de perdas por ligação" numFmtId="0">
      <sharedItems containsSemiMixedTypes="0" containsString="0" containsNumber="1" minValue="255.1" maxValue="876.98"/>
    </cacheField>
    <cacheField name="IN052 - Índice de consumo de água" numFmtId="0">
      <sharedItems containsSemiMixedTypes="0" containsString="0" containsNumber="1" minValue="35.21" maxValue="67.67"/>
    </cacheField>
    <cacheField name="IN053 - Consumo médio de água por economia" numFmtId="0">
      <sharedItems containsSemiMixedTypes="0" containsString="0" containsNumber="1" minValue="10.1" maxValue="18.14"/>
    </cacheField>
    <cacheField name="IN054 - Dias de faturamento comprometidos com contas a receber" numFmtId="0">
      <sharedItems containsString="0" containsBlank="1" containsNumber="1" minValue="0" maxValue="169"/>
    </cacheField>
    <cacheField name="IN055 - Índice de atendimento total de água" numFmtId="0">
      <sharedItems containsString="0" containsBlank="1" containsNumber="1" minValue="94.7" maxValue="100"/>
    </cacheField>
    <cacheField name="IN056 - Índice de atendimento total de esgoto referido aos municípios atendidos com água" numFmtId="0">
      <sharedItems containsString="0" containsBlank="1" containsNumber="1" minValue="31.01" maxValue="100"/>
    </cacheField>
    <cacheField name="IN057 - Índice de fluoretação de água" numFmtId="0">
      <sharedItems containsString="0" containsBlank="1" containsNumber="1" containsInteger="1" minValue="0" maxValue="0"/>
    </cacheField>
    <cacheField name="IN058 - Índice de consumo de energia elétrica em sistemas de abastecimento de água" numFmtId="0">
      <sharedItems containsString="0" containsBlank="1" containsNumber="1" minValue="0.45" maxValue="0.91"/>
    </cacheField>
    <cacheField name="IN059 - Índice de consumo de energia elétrica em sistemas de esgotamento sanitário" numFmtId="0">
      <sharedItems containsString="0" containsBlank="1" containsNumber="1" minValue="0.14000000000000001" maxValue="2.5499999999999998"/>
    </cacheField>
    <cacheField name="IN060 - Índice de despesas por consumo de energia elétrica nos sistemas de água e esgotos" numFmtId="0">
      <sharedItems containsString="0" containsBlank="1" containsNumber="1" minValue="0.11" maxValue="0.83"/>
    </cacheField>
    <cacheField name="IN071 - Economias atingidas por paralisações" numFmtId="0">
      <sharedItems containsString="0" containsBlank="1" containsNumber="1" minValue="94" maxValue="7663.86"/>
    </cacheField>
    <cacheField name="IN072 - Duração média das paralisações" numFmtId="0">
      <sharedItems containsString="0" containsBlank="1" containsNumber="1" minValue="0" maxValue="37.71"/>
    </cacheField>
    <cacheField name="IN073 - Economias atingidas por intermitências" numFmtId="0">
      <sharedItems containsString="0" containsBlank="1" containsNumber="1" minValue="1" maxValue="375.33"/>
    </cacheField>
    <cacheField name="IN074 - Duração média das intermitências" numFmtId="0">
      <sharedItems containsString="0" containsBlank="1" containsNumber="1" minValue="0.13" maxValue="24"/>
    </cacheField>
    <cacheField name="IN075 - Incidência das análises de cloro residual fora do padrão" numFmtId="0">
      <sharedItems containsSemiMixedTypes="0" containsString="0" containsNumber="1" minValue="0.36" maxValue="39.79"/>
    </cacheField>
    <cacheField name="IN076 - Incidência das análises de turbidez fora do padrão" numFmtId="0">
      <sharedItems containsSemiMixedTypes="0" containsString="0" containsNumber="1" minValue="0.08" maxValue="151.88999999999999"/>
    </cacheField>
    <cacheField name="IN077 - Duração média dos reparos de extravasamentos de esgotos" numFmtId="0">
      <sharedItems containsString="0" containsBlank="1" containsNumber="1" minValue="0.85" maxValue="1440"/>
    </cacheField>
    <cacheField name="IN079 - Índice de conformidade da quantidade de amostras - cloro residual" numFmtId="0">
      <sharedItems containsString="0" containsBlank="1" containsNumber="1" minValue="69.03" maxValue="187.36"/>
    </cacheField>
    <cacheField name="IN080 - Índice de conformidade da quantidade de amostras - turbidez" numFmtId="0">
      <sharedItems containsString="0" containsBlank="1" containsNumber="1" minValue="26.04" maxValue="256.2"/>
    </cacheField>
    <cacheField name="IN082 - Extravasamentos de esgotos por extensão de rede" numFmtId="0">
      <sharedItems containsString="0" containsBlank="1" containsNumber="1" minValue="0" maxValue="8.27"/>
    </cacheField>
    <cacheField name="IN083 - Duração média dos serviços executados" numFmtId="0">
      <sharedItems containsString="0" containsBlank="1" containsNumber="1" minValue="0.95" maxValue="56.65"/>
    </cacheField>
    <cacheField name="IN084 - Incidência das análises de coliformes totais fora do padrão" numFmtId="0">
      <sharedItems containsString="0" containsBlank="1" containsNumber="1" minValue="0" maxValue="2.09"/>
    </cacheField>
    <cacheField name="IN085 - Índice de conformidade da quantidade de amostras - coliformes totais" numFmtId="0">
      <sharedItems containsString="0" containsBlank="1" containsNumber="1" minValue="73.849999999999994" maxValue="113.62"/>
    </cacheField>
    <cacheField name="IN101 - Índice de suficiência de caixa" numFmtId="0">
      <sharedItems containsString="0" containsBlank="1" containsNumber="1" minValue="105.85" maxValue="215.51"/>
    </cacheField>
    <cacheField name="IN102 - Índice de produtividade de pessoal total (equivalente)" numFmtId="0">
      <sharedItems containsString="0" containsBlank="1" containsNumber="1" minValue="170.59" maxValue="1303.380000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">
  <r>
    <n v="510760"/>
    <x v="0"/>
    <s v="MT"/>
    <x v="0"/>
    <n v="51076011"/>
    <s v="Serviço de Saneamento Ambiental de Rondonópolis"/>
    <s v="SANEAR"/>
    <s v="Local"/>
    <s v="Água e Esgoto"/>
    <s v="Autarquia"/>
    <x v="0"/>
    <m/>
    <m/>
    <n v="1"/>
    <n v="1"/>
    <n v="3"/>
    <n v="0"/>
    <m/>
    <m/>
    <m/>
    <x v="0"/>
    <x v="0"/>
    <x v="0"/>
    <x v="0"/>
    <x v="0"/>
    <n v="244911"/>
    <m/>
    <n v="244911"/>
    <n v="239613"/>
    <n v="90783"/>
    <n v="81679"/>
    <n v="93457"/>
    <n v="89721"/>
    <n v="83763"/>
    <n v="80798"/>
    <n v="1701.73"/>
    <n v="1171.23"/>
    <n v="31733"/>
    <n v="11805"/>
    <n v="11894.8"/>
    <n v="11954.81"/>
    <n v="14721.96"/>
    <n v="31733"/>
    <n v="87267"/>
    <n v="83674"/>
    <n v="90162"/>
    <n v="86532"/>
    <n v="19928"/>
    <n v="0"/>
    <n v="0"/>
    <n v="0"/>
    <n v="10824.4"/>
    <n v="90797"/>
    <n v="87477"/>
    <n v="86629"/>
    <n v="83585"/>
    <m/>
    <m/>
    <m/>
    <n v="230483"/>
    <n v="0"/>
    <n v="21343.15"/>
    <n v="244911"/>
    <n v="230483"/>
    <n v="85675"/>
    <n v="82109"/>
    <n v="93915"/>
    <n v="89632"/>
    <n v="1593.8"/>
    <n v="785.03"/>
    <n v="9538.94"/>
    <n v="9081.81"/>
    <n v="13833.64"/>
    <n v="80971"/>
    <n v="76993"/>
    <n v="86212"/>
    <n v="82602"/>
    <n v="0"/>
    <n v="0"/>
    <n v="0"/>
    <n v="0"/>
    <m/>
    <m/>
    <n v="230483"/>
    <n v="4793.3999999999996"/>
    <n v="92765069.049999997"/>
    <n v="58482326.140000001"/>
    <n v="34282742.909999996"/>
    <n v="36684673.259999998"/>
    <n v="129449742.31"/>
    <n v="92765069.060000002"/>
    <n v="0"/>
    <m/>
    <m/>
    <n v="6052886.6600000001"/>
    <n v="2901906.31"/>
    <n v="21627015.890000001"/>
    <n v="34162795.210000001"/>
    <n v="75042596.030000001"/>
    <n v="0"/>
    <n v="77461300.060000002"/>
    <n v="632760.03"/>
    <n v="2418704.0299999998"/>
    <n v="0"/>
    <n v="1271234.42"/>
    <n v="0"/>
    <n v="6237527.0300000003"/>
    <n v="1565275.08"/>
    <n v="1572984.41"/>
    <n v="33"/>
    <n v="33"/>
    <n v="9026757.5399999991"/>
    <n v="0"/>
    <n v="5192935.5"/>
    <n v="4815611.05"/>
    <n v="0"/>
    <n v="10008546.55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5"/>
    <n v="35"/>
    <m/>
    <n v="9347"/>
    <n v="124"/>
    <n v="9347"/>
    <n v="619"/>
    <n v="7055"/>
    <m/>
    <m/>
    <n v="9347"/>
    <n v="9347"/>
    <n v="0"/>
    <n v="0"/>
    <n v="516146"/>
    <n v="513214"/>
    <m/>
    <n v="5156"/>
    <n v="108"/>
    <n v="5156"/>
    <n v="1.06"/>
    <n v="5556.44"/>
    <n v="2.71"/>
    <n v="3.25"/>
    <n v="3.97"/>
    <n v="2.48"/>
    <n v="51.92"/>
    <n v="183420.81"/>
    <n v="95.42"/>
    <n v="37.479999999999997"/>
    <n v="100"/>
    <x v="0"/>
    <n v="53.61"/>
    <n v="11.22"/>
    <n v="79.790000000000006"/>
    <n v="95.21"/>
    <n v="13.39"/>
    <n v="219.25"/>
    <n v="836.3"/>
    <n v="16.12"/>
    <n v="14.09"/>
    <n v="135.19999999999999"/>
    <m/>
    <m/>
    <n v="28.87"/>
    <n v="2.63"/>
    <n v="409.26"/>
    <n v="46.39"/>
    <n v="28.34"/>
    <n v="80.900000000000006"/>
    <n v="6.52"/>
    <n v="43.35"/>
    <n v="0"/>
    <n v="9.73"/>
    <n v="8.07"/>
    <n v="53.59"/>
    <n v="28.82"/>
    <n v="3.87"/>
    <n v="12.03"/>
    <n v="45.18"/>
    <n v="26.48"/>
    <n v="28.34"/>
    <n v="93.32"/>
    <n v="99.5"/>
    <n v="0.38"/>
    <n v="75.97"/>
    <m/>
    <n v="0.19"/>
    <n v="62.33"/>
    <n v="37.72"/>
    <n v="628.39"/>
    <n v="37.67"/>
    <n v="10.88"/>
    <m/>
    <n v="100"/>
    <n v="100"/>
    <n v="0"/>
    <n v="0.67"/>
    <n v="0.5"/>
    <n v="0.83"/>
    <m/>
    <n v="7"/>
    <m/>
    <m/>
    <n v="1.33"/>
    <n v="6.62"/>
    <m/>
    <n v="100"/>
    <n v="100"/>
    <n v="4.43"/>
    <m/>
    <n v="2.09"/>
    <n v="100"/>
    <n v="123.62"/>
    <n v="775.92"/>
  </r>
  <r>
    <n v="510760"/>
    <x v="0"/>
    <s v="MT"/>
    <x v="1"/>
    <n v="51076011"/>
    <s v="Serviço de Saneamento Ambiental de Rondonópolis"/>
    <s v="SANEAR"/>
    <s v="Local"/>
    <s v="Água e Esgoto"/>
    <s v="Autarquia"/>
    <x v="0"/>
    <m/>
    <m/>
    <n v="1"/>
    <n v="1"/>
    <n v="3"/>
    <n v="0"/>
    <m/>
    <m/>
    <m/>
    <x v="0"/>
    <x v="0"/>
    <x v="0"/>
    <x v="0"/>
    <x v="0"/>
    <n v="239613"/>
    <n v="230483"/>
    <n v="239613"/>
    <n v="236042"/>
    <n v="81679"/>
    <n v="80251"/>
    <n v="89721"/>
    <n v="87533"/>
    <n v="80798"/>
    <n v="79422"/>
    <n v="1171.23"/>
    <n v="1167.68"/>
    <n v="22984"/>
    <n v="10993"/>
    <n v="11410.4"/>
    <n v="11474.22"/>
    <n v="14260.58"/>
    <n v="22984"/>
    <n v="83674"/>
    <n v="83336"/>
    <n v="86532"/>
    <n v="84993"/>
    <n v="11991"/>
    <n v="0"/>
    <n v="0"/>
    <n v="0"/>
    <n v="10569.38"/>
    <n v="87477"/>
    <n v="85314"/>
    <n v="83585"/>
    <n v="82844"/>
    <m/>
    <m/>
    <n v="230483"/>
    <n v="227048"/>
    <n v="0"/>
    <n v="21018.27"/>
    <n v="230483"/>
    <n v="223868"/>
    <n v="82109"/>
    <n v="76245"/>
    <n v="89632"/>
    <n v="82914"/>
    <n v="785.03"/>
    <n v="781.06"/>
    <n v="10338"/>
    <n v="10139"/>
    <n v="13001.29"/>
    <n v="76993"/>
    <n v="72237"/>
    <n v="82602"/>
    <n v="76601"/>
    <n v="0"/>
    <n v="0"/>
    <n v="0"/>
    <n v="0"/>
    <m/>
    <n v="230483"/>
    <n v="223868"/>
    <n v="6368.13"/>
    <n v="91133259.450000003"/>
    <n v="57453576.609999999"/>
    <n v="33679682.840000004"/>
    <n v="18090947.059999999"/>
    <n v="109224206.51000001"/>
    <n v="91133259.450000003"/>
    <n v="0"/>
    <m/>
    <n v="9011695.3900000006"/>
    <n v="5038531.3899999997"/>
    <n v="1704644.7"/>
    <n v="22358864.73"/>
    <n v="27775215.309999999"/>
    <n v="63583559.740000002"/>
    <n v="0"/>
    <n v="65915794.840000004"/>
    <n v="349690.8"/>
    <n v="2332235.1"/>
    <n v="0"/>
    <n v="1083962.96"/>
    <n v="0"/>
    <n v="4948758.22"/>
    <n v="1762983.46"/>
    <n v="1830151.84"/>
    <n v="33"/>
    <n v="33"/>
    <n v="5622340.6500000004"/>
    <n v="0"/>
    <n v="2135782.09"/>
    <n v="0"/>
    <n v="6755802.2300000004"/>
    <n v="8891584.32000000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61"/>
    <n v="366"/>
    <m/>
    <n v="12198"/>
    <n v="233"/>
    <n v="12198"/>
    <n v="822"/>
    <n v="6495"/>
    <m/>
    <m/>
    <n v="12198"/>
    <n v="12198"/>
    <n v="32"/>
    <n v="208"/>
    <n v="475881"/>
    <n v="474170"/>
    <n v="2684939.44"/>
    <n v="8012"/>
    <n v="155"/>
    <n v="8012"/>
    <n v="1.0900000000000001"/>
    <n v="5300"/>
    <n v="2.42"/>
    <n v="3.34"/>
    <n v="4.03"/>
    <n v="2.59"/>
    <n v="49.78"/>
    <n v="152682.76999999999"/>
    <n v="98.94"/>
    <n v="49.64"/>
    <n v="100"/>
    <x v="1"/>
    <n v="37.950000000000003"/>
    <n v="11.09"/>
    <n v="90.1"/>
    <n v="98.08"/>
    <n v="13.41"/>
    <n v="214.91"/>
    <n v="813.81"/>
    <n v="13.54"/>
    <n v="9.84"/>
    <n v="132.18"/>
    <n v="100"/>
    <n v="100"/>
    <n v="21.61"/>
    <n v="2.33"/>
    <n v="363.54"/>
    <n v="62.05"/>
    <n v="16.559999999999999"/>
    <n v="69.77"/>
    <n v="5.53"/>
    <n v="36.01"/>
    <n v="0"/>
    <n v="6.17"/>
    <n v="7.92"/>
    <n v="51.61"/>
    <n v="35.159999999999997"/>
    <n v="2.68"/>
    <n v="8.84"/>
    <n v="52.6"/>
    <n v="30.84"/>
    <n v="16.559999999999999"/>
    <n v="94.22"/>
    <n v="99.44"/>
    <n v="0.41"/>
    <n v="88.36"/>
    <n v="100"/>
    <n v="0.21"/>
    <n v="50.08"/>
    <n v="26.96"/>
    <n v="389.47"/>
    <n v="49.92"/>
    <n v="10.79"/>
    <m/>
    <n v="100"/>
    <n v="96.19"/>
    <n v="0"/>
    <n v="0.91"/>
    <n v="0.62"/>
    <n v="0.82"/>
    <m/>
    <n v="6"/>
    <m/>
    <n v="6.5"/>
    <n v="1.91"/>
    <n v="6.74"/>
    <m/>
    <n v="100"/>
    <n v="100"/>
    <n v="8.27"/>
    <n v="5.66"/>
    <n v="1.93"/>
    <n v="100"/>
    <n v="143.33000000000001"/>
    <n v="745.14"/>
  </r>
  <r>
    <n v="510760"/>
    <x v="0"/>
    <s v="MT"/>
    <x v="2"/>
    <n v="51076011"/>
    <s v="Serviço de Saneamento Ambiental de Rondonópolis"/>
    <s v="SANEAR"/>
    <s v="Local"/>
    <s v="Água e Esgoto"/>
    <s v="Autarquia"/>
    <x v="0"/>
    <m/>
    <m/>
    <n v="1"/>
    <n v="1"/>
    <n v="3"/>
    <n v="0"/>
    <m/>
    <m/>
    <m/>
    <x v="0"/>
    <x v="0"/>
    <x v="0"/>
    <x v="0"/>
    <x v="0"/>
    <n v="236042"/>
    <n v="227048"/>
    <n v="236042"/>
    <n v="232491"/>
    <n v="80251"/>
    <n v="78588"/>
    <n v="87533"/>
    <n v="85897"/>
    <n v="79422"/>
    <n v="77821"/>
    <n v="1167.68"/>
    <n v="1136.07"/>
    <n v="29703"/>
    <n v="10731"/>
    <n v="11522.08"/>
    <n v="11577"/>
    <n v="14137.1"/>
    <n v="29703"/>
    <n v="83336"/>
    <n v="81843"/>
    <n v="84993"/>
    <n v="83421"/>
    <n v="18972"/>
    <n v="0"/>
    <n v="0"/>
    <n v="0"/>
    <n v="10813"/>
    <n v="85314"/>
    <n v="82959"/>
    <n v="82844"/>
    <n v="81052"/>
    <n v="10731"/>
    <m/>
    <n v="227048"/>
    <n v="223633"/>
    <n v="0"/>
    <n v="17812.5"/>
    <n v="223868"/>
    <n v="209938"/>
    <n v="76245"/>
    <n v="69818"/>
    <n v="82914"/>
    <n v="76500"/>
    <n v="781.06"/>
    <n v="704.23"/>
    <n v="9819"/>
    <n v="9608"/>
    <n v="12134"/>
    <n v="72237"/>
    <n v="66647"/>
    <n v="76601"/>
    <n v="70129"/>
    <n v="0"/>
    <n v="0"/>
    <n v="0"/>
    <n v="0"/>
    <m/>
    <n v="223868"/>
    <n v="209938"/>
    <n v="5937.28"/>
    <n v="79292752.709999993"/>
    <n v="49954434.210000001"/>
    <n v="29338318.5"/>
    <n v="18988714.84"/>
    <n v="98281467.549999997"/>
    <n v="79292752.709999993"/>
    <n v="0"/>
    <n v="9011695.3900000006"/>
    <n v="12383501.310000001"/>
    <n v="5052923.63"/>
    <n v="1529856.38"/>
    <n v="14926364.68"/>
    <n v="30827015.559999999"/>
    <n v="59584222.439999998"/>
    <n v="0"/>
    <n v="61507888.030000001"/>
    <n v="519245.05"/>
    <n v="1923665.59"/>
    <n v="0"/>
    <n v="892668.94"/>
    <n v="0"/>
    <n v="5766297.0499999998"/>
    <n v="4198647.18"/>
    <n v="2932912.7"/>
    <n v="33"/>
    <n v="33"/>
    <n v="6355393.25"/>
    <n v="0"/>
    <n v="4646287.34"/>
    <n v="7415656.6399999997"/>
    <n v="1355158"/>
    <n v="13417101.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5"/>
    <n v="51"/>
    <m/>
    <n v="12404"/>
    <n v="201"/>
    <n v="12404"/>
    <n v="349"/>
    <n v="5971"/>
    <m/>
    <m/>
    <n v="12404"/>
    <n v="12404"/>
    <n v="28"/>
    <n v="196"/>
    <n v="415040"/>
    <n v="414150"/>
    <n v="2057527.16"/>
    <n v="8176"/>
    <n v="97"/>
    <n v="8176"/>
    <n v="1.0900000000000001"/>
    <n v="5043.09"/>
    <n v="2.34"/>
    <n v="3.02"/>
    <n v="3.53"/>
    <n v="2.42"/>
    <n v="58.33"/>
    <n v="153118.9"/>
    <n v="99"/>
    <n v="60.73"/>
    <n v="100"/>
    <x v="2"/>
    <n v="25.48"/>
    <n v="11.4"/>
    <n v="84.81"/>
    <n v="97.85"/>
    <n v="13.59"/>
    <n v="234.33"/>
    <n v="710.21"/>
    <n v="13.69"/>
    <n v="10.119999999999999"/>
    <n v="135.38999999999999"/>
    <n v="100"/>
    <n v="98.6"/>
    <n v="28.54"/>
    <n v="2.27"/>
    <n v="358.03"/>
    <n v="74.52"/>
    <n v="19.32"/>
    <n v="75.14"/>
    <n v="6.37"/>
    <n v="45.25"/>
    <n v="0"/>
    <n v="8.02"/>
    <n v="8.48"/>
    <n v="60.22"/>
    <n v="25.05"/>
    <n v="2.57"/>
    <n v="10.67"/>
    <n v="50.83"/>
    <n v="29.85"/>
    <n v="19.32"/>
    <n v="95.24"/>
    <n v="99.53"/>
    <n v="0.42"/>
    <n v="82.99"/>
    <n v="98.6"/>
    <n v="0.22"/>
    <n v="38.979999999999997"/>
    <n v="17.59"/>
    <n v="255.1"/>
    <n v="61.02"/>
    <n v="11.13"/>
    <n v="33.01"/>
    <n v="100"/>
    <n v="94.84"/>
    <n v="0"/>
    <n v="0.6"/>
    <n v="0.6"/>
    <n v="0.63"/>
    <m/>
    <n v="10.199999999999999"/>
    <m/>
    <n v="7"/>
    <n v="1.62"/>
    <n v="2.81"/>
    <m/>
    <n v="100"/>
    <n v="100"/>
    <n v="7.64"/>
    <n v="4.97"/>
    <n v="1.19"/>
    <n v="100"/>
    <n v="133.08000000000001"/>
    <n v="650.59"/>
  </r>
  <r>
    <n v="510760"/>
    <x v="0"/>
    <s v="MT"/>
    <x v="3"/>
    <n v="51076011"/>
    <s v="Serviço de Saneamento Ambiental de Rondonópolis"/>
    <s v="SANEAR"/>
    <s v="Local"/>
    <s v="Água e Esgoto"/>
    <s v="Autarquia"/>
    <x v="0"/>
    <m/>
    <m/>
    <n v="1"/>
    <n v="1"/>
    <n v="3"/>
    <n v="0"/>
    <m/>
    <m/>
    <m/>
    <x v="0"/>
    <x v="0"/>
    <x v="0"/>
    <x v="0"/>
    <x v="0"/>
    <n v="232491"/>
    <n v="223633"/>
    <n v="232491"/>
    <n v="228857"/>
    <n v="78588"/>
    <n v="77133"/>
    <n v="85897"/>
    <n v="84352"/>
    <n v="77821"/>
    <n v="76376"/>
    <n v="1136.07"/>
    <n v="1124.8499999999999"/>
    <n v="27573"/>
    <n v="10920"/>
    <n v="10808.22"/>
    <n v="10860.13"/>
    <n v="13520.01"/>
    <n v="27573"/>
    <n v="81843"/>
    <n v="80269"/>
    <n v="83421"/>
    <n v="82078"/>
    <n v="16653"/>
    <n v="0"/>
    <n v="0"/>
    <n v="0"/>
    <n v="10123.25"/>
    <n v="82959"/>
    <n v="80768"/>
    <n v="81052"/>
    <n v="79464"/>
    <m/>
    <m/>
    <n v="223633"/>
    <n v="220137"/>
    <n v="0"/>
    <m/>
    <n v="209938"/>
    <n v="220137"/>
    <n v="69818"/>
    <n v="60071"/>
    <n v="76500"/>
    <n v="66371"/>
    <n v="704.23"/>
    <n v="609.78"/>
    <n v="9991"/>
    <n v="9781"/>
    <n v="10519.63"/>
    <n v="66647"/>
    <n v="62359"/>
    <n v="70129"/>
    <n v="60072"/>
    <n v="0"/>
    <n v="0"/>
    <n v="0"/>
    <n v="0"/>
    <m/>
    <n v="209938"/>
    <n v="220137"/>
    <m/>
    <n v="72677499.579999998"/>
    <n v="45378219.479999997"/>
    <n v="27299280.100000001"/>
    <n v="14968800.949999999"/>
    <n v="87646300.530000001"/>
    <n v="72677499.579999998"/>
    <n v="0"/>
    <n v="12383501.310000001"/>
    <n v="9166170.3499999996"/>
    <n v="4428121.34"/>
    <n v="1384172.12"/>
    <n v="14982385.07"/>
    <n v="27891595.91"/>
    <n v="55048192.399999999"/>
    <n v="0"/>
    <n v="55679874.560000002"/>
    <n v="304148.56"/>
    <n v="631682.16"/>
    <n v="0"/>
    <n v="784442.63"/>
    <n v="0"/>
    <n v="5675617.6900000004"/>
    <n v="12852913.220000001"/>
    <n v="818143.9"/>
    <n v="33"/>
    <n v="33"/>
    <n v="5577475.3300000001"/>
    <n v="0"/>
    <n v="5039258.6399999997"/>
    <n v="11107107.300000001"/>
    <n v="3504457.43"/>
    <n v="19650823.37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7"/>
    <n v="60"/>
    <n v="53647"/>
    <n v="11964"/>
    <n v="163"/>
    <n v="11964"/>
    <n v="204"/>
    <n v="5330"/>
    <n v="204714.21"/>
    <n v="1126"/>
    <n v="11964"/>
    <n v="11964"/>
    <n v="3"/>
    <n v="57"/>
    <n v="428739"/>
    <n v="427349"/>
    <n v="1818505.05"/>
    <n v="7764"/>
    <n v="6"/>
    <n v="7764"/>
    <n v="1.0900000000000001"/>
    <n v="4744.24"/>
    <n v="2.3199999999999998"/>
    <n v="3.02"/>
    <n v="3.36"/>
    <n v="2.6"/>
    <n v="58.05"/>
    <n v="134185.5"/>
    <n v="99.02"/>
    <n v="39.200000000000003"/>
    <n v="100"/>
    <x v="3"/>
    <n v="50.97"/>
    <n v="10.88"/>
    <n v="92"/>
    <n v="97.9"/>
    <n v="13.24"/>
    <n v="240.86"/>
    <n v="650.01"/>
    <n v="13.81"/>
    <n v="10.09"/>
    <n v="128.99"/>
    <n v="100"/>
    <n v="93.88"/>
    <n v="26.99"/>
    <n v="2.29"/>
    <n v="351.61"/>
    <n v="49.03"/>
    <n v="17.079999999999998"/>
    <n v="75.739999999999995"/>
    <n v="6.09"/>
    <n v="44.47"/>
    <n v="0"/>
    <n v="7.67"/>
    <n v="8.0399999999999991"/>
    <n v="58.71"/>
    <n v="27.22"/>
    <n v="2.5099999999999998"/>
    <n v="10.130000000000001"/>
    <n v="51.77"/>
    <n v="31.15"/>
    <n v="17.079999999999998"/>
    <n v="95.22"/>
    <n v="99.52"/>
    <n v="0.42"/>
    <n v="90.06"/>
    <n v="93.88"/>
    <n v="0.23"/>
    <n v="60.61"/>
    <n v="40.5"/>
    <n v="588.09"/>
    <n v="39.39"/>
    <n v="10.63"/>
    <n v="50.86"/>
    <n v="100"/>
    <n v="90.3"/>
    <n v="0"/>
    <m/>
    <m/>
    <m/>
    <n v="7663.86"/>
    <n v="8.57"/>
    <n v="375.33"/>
    <n v="19"/>
    <n v="1.36"/>
    <n v="1.71"/>
    <n v="38.409999999999997"/>
    <n v="100"/>
    <n v="100"/>
    <n v="7.57"/>
    <n v="4.26"/>
    <n v="0.08"/>
    <n v="100"/>
    <n v="132.03"/>
    <n v="592.9"/>
  </r>
  <r>
    <n v="510760"/>
    <x v="0"/>
    <s v="MT"/>
    <x v="4"/>
    <n v="51076011"/>
    <s v="Serviço de Saneamento Ambiental de Rondonópolis"/>
    <s v="SANEAR"/>
    <s v="Local"/>
    <s v="Água e Esgoto"/>
    <s v="Autarquia"/>
    <x v="0"/>
    <m/>
    <m/>
    <n v="1"/>
    <n v="1"/>
    <n v="3"/>
    <n v="0"/>
    <m/>
    <m/>
    <m/>
    <x v="0"/>
    <x v="0"/>
    <x v="0"/>
    <x v="0"/>
    <x v="0"/>
    <n v="228857"/>
    <n v="220137"/>
    <n v="228857"/>
    <n v="222316"/>
    <n v="77133"/>
    <n v="74177"/>
    <n v="84352"/>
    <n v="81262"/>
    <n v="76376"/>
    <n v="73466"/>
    <n v="1124.8499999999999"/>
    <n v="1057.8699999999999"/>
    <n v="26653"/>
    <n v="12085"/>
    <n v="9987.76"/>
    <n v="10039.780000000001"/>
    <n v="12837.4"/>
    <n v="26653"/>
    <n v="80269"/>
    <n v="77428"/>
    <n v="82078"/>
    <n v="79129"/>
    <n v="14568"/>
    <n v="0"/>
    <n v="0"/>
    <n v="0"/>
    <n v="6734.71"/>
    <n v="80768"/>
    <n v="79259"/>
    <n v="79464"/>
    <n v="76033"/>
    <m/>
    <m/>
    <n v="220137"/>
    <n v="213845"/>
    <n v="0"/>
    <m/>
    <n v="220137"/>
    <n v="213316"/>
    <n v="60071"/>
    <n v="55305"/>
    <n v="66371"/>
    <n v="61553"/>
    <n v="609.78"/>
    <n v="567.84"/>
    <n v="9584"/>
    <n v="9374"/>
    <n v="9196.5400000000009"/>
    <n v="62359"/>
    <n v="58014"/>
    <n v="60072"/>
    <n v="55307"/>
    <n v="0"/>
    <n v="0"/>
    <n v="0"/>
    <n v="0"/>
    <m/>
    <n v="220137"/>
    <n v="213316"/>
    <m/>
    <n v="61483606.229999997"/>
    <n v="39397584.049999997"/>
    <n v="22086022.18"/>
    <n v="13891264.949999999"/>
    <n v="75374871.180000007"/>
    <n v="61483606.229999997"/>
    <n v="0"/>
    <n v="9166170.3499999996"/>
    <n v="9881649.4399999995"/>
    <n v="4405125.4000000004"/>
    <n v="1274426.4099999999"/>
    <n v="13315727.779999999"/>
    <n v="25486511.98"/>
    <n v="46897463.93"/>
    <n v="0"/>
    <n v="48201404.68"/>
    <n v="1091385.71"/>
    <n v="1303940.75"/>
    <n v="0"/>
    <n v="691839.26"/>
    <n v="0"/>
    <n v="8233180.6699999999"/>
    <n v="12194370.73"/>
    <n v="1599380.14"/>
    <n v="33"/>
    <n v="34"/>
    <n v="1723833.1"/>
    <n v="0"/>
    <n v="1599380.14"/>
    <n v="21348505.530000001"/>
    <n v="170431.58"/>
    <n v="23118317.2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49"/>
    <n v="792"/>
    <m/>
    <n v="11948"/>
    <n v="246"/>
    <n v="11948"/>
    <n v="222"/>
    <n v="545"/>
    <n v="560"/>
    <m/>
    <n v="11948"/>
    <n v="11948"/>
    <n v="365"/>
    <n v="8760"/>
    <n v="334592"/>
    <n v="334592"/>
    <m/>
    <n v="7732"/>
    <n v="0"/>
    <n v="7732"/>
    <n v="1.0900000000000001"/>
    <n v="4381.16"/>
    <n v="2.19"/>
    <n v="2.79"/>
    <n v="3.07"/>
    <n v="2.4"/>
    <n v="62.01"/>
    <n v="131496.28"/>
    <n v="99.03"/>
    <n v="37.47"/>
    <n v="100"/>
    <x v="4"/>
    <n v="51.84"/>
    <n v="10.33"/>
    <n v="95.46"/>
    <n v="97.81"/>
    <n v="12.92"/>
    <n v="227.32"/>
    <n v="645.65"/>
    <n v="13.64"/>
    <n v="10.210000000000001"/>
    <n v="121.93"/>
    <n v="100"/>
    <n v="100"/>
    <n v="26.82"/>
    <n v="2.13"/>
    <n v="319.52999999999997"/>
    <n v="48.16"/>
    <n v="18.43"/>
    <n v="76.28"/>
    <n v="7.16"/>
    <n v="48.62"/>
    <n v="0"/>
    <n v="2.8"/>
    <n v="9.39"/>
    <n v="63.74"/>
    <n v="28.39"/>
    <n v="2.72"/>
    <n v="3.68"/>
    <n v="52.27"/>
    <n v="29.3"/>
    <n v="18.43"/>
    <n v="95.22"/>
    <n v="99.48"/>
    <n v="0.44"/>
    <n v="93.37"/>
    <n v="100"/>
    <n v="0.25"/>
    <n v="62.33"/>
    <n v="41.71"/>
    <n v="601.62"/>
    <n v="37.67"/>
    <n v="10.1"/>
    <n v="43.78"/>
    <n v="100"/>
    <n v="96.19"/>
    <n v="0"/>
    <m/>
    <m/>
    <m/>
    <m/>
    <n v="16.16"/>
    <m/>
    <n v="24"/>
    <n v="2.06"/>
    <n v="1.86"/>
    <n v="1.03"/>
    <n v="100"/>
    <n v="100"/>
    <n v="0.89"/>
    <m/>
    <n v="0"/>
    <n v="100"/>
    <n v="131.1"/>
    <n v="586.59"/>
  </r>
  <r>
    <n v="510760"/>
    <x v="0"/>
    <s v="MT"/>
    <x v="5"/>
    <n v="51076011"/>
    <s v="Serviço de Saneamento Ambiental de Rondonópolis"/>
    <s v="SANEAR"/>
    <s v="Local"/>
    <s v="Água e Esgoto"/>
    <s v="Autarquia"/>
    <x v="0"/>
    <m/>
    <m/>
    <n v="1"/>
    <n v="1"/>
    <n v="3"/>
    <n v="0"/>
    <m/>
    <m/>
    <m/>
    <x v="0"/>
    <x v="0"/>
    <x v="0"/>
    <x v="0"/>
    <x v="0"/>
    <n v="222316"/>
    <n v="213845"/>
    <n v="222316"/>
    <n v="218899"/>
    <n v="77133"/>
    <n v="70566"/>
    <n v="81262"/>
    <n v="86992"/>
    <n v="73466"/>
    <n v="70552"/>
    <n v="1057.8699999999999"/>
    <n v="1056.6099999999999"/>
    <n v="25111"/>
    <n v="11018"/>
    <n v="12362.8"/>
    <n v="12362.8"/>
    <n v="13222.15"/>
    <n v="25111"/>
    <n v="77428"/>
    <n v="72617"/>
    <n v="79129"/>
    <n v="76386"/>
    <n v="14093"/>
    <n v="0"/>
    <n v="0"/>
    <n v="0"/>
    <n v="8075.81"/>
    <n v="79259"/>
    <n v="81677"/>
    <n v="76033"/>
    <n v="72600"/>
    <m/>
    <m/>
    <n v="213845"/>
    <n v="210559"/>
    <n v="0"/>
    <m/>
    <n v="213316"/>
    <n v="159194"/>
    <n v="55305"/>
    <n v="48673"/>
    <n v="61553"/>
    <n v="55895"/>
    <n v="567.84"/>
    <n v="567.84"/>
    <n v="9423"/>
    <n v="9126"/>
    <n v="8938"/>
    <n v="58014"/>
    <m/>
    <n v="55307"/>
    <n v="51353"/>
    <n v="0"/>
    <n v="0"/>
    <n v="0"/>
    <n v="0"/>
    <m/>
    <n v="213316"/>
    <n v="159194"/>
    <m/>
    <n v="59766360.18"/>
    <n v="38578009.549999997"/>
    <n v="21188350.629999999"/>
    <n v="8871547.1199999992"/>
    <n v="68637907.299999997"/>
    <n v="59766360.18"/>
    <n v="0"/>
    <n v="9881649.4399999995"/>
    <n v="8183781.25"/>
    <n v="3145501.52"/>
    <n v="1238202.9099999999"/>
    <n v="12939208.779999999"/>
    <n v="20150142.309999999"/>
    <n v="40858848.939999998"/>
    <n v="0"/>
    <n v="42128797.100000001"/>
    <n v="318177.34999999998"/>
    <n v="1269948.1599999999"/>
    <n v="0"/>
    <n v="628007.92000000004"/>
    <n v="0"/>
    <n v="2323997.3199999998"/>
    <n v="7061390.9400000004"/>
    <n v="1036975.77"/>
    <n v="34"/>
    <n v="37"/>
    <n v="2757785.5"/>
    <n v="0"/>
    <n v="3034882.83"/>
    <n v="7062359.3399999999"/>
    <n v="643299.21"/>
    <n v="10740541.38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21"/>
    <n v="792"/>
    <m/>
    <n v="11882"/>
    <n v="247"/>
    <n v="11882"/>
    <n v="1095"/>
    <n v="335"/>
    <n v="341"/>
    <m/>
    <n v="11882"/>
    <n v="11882"/>
    <n v="365"/>
    <n v="8760"/>
    <n v="295536"/>
    <n v="295536"/>
    <m/>
    <n v="7655"/>
    <n v="10"/>
    <n v="7655"/>
    <n v="1.1599999999999999"/>
    <n v="4023.97"/>
    <n v="1.9"/>
    <n v="2.7"/>
    <n v="2.92"/>
    <n v="2.37"/>
    <n v="55.3"/>
    <n v="88605.68"/>
    <n v="99.5"/>
    <n v="49.23"/>
    <n v="100"/>
    <x v="5"/>
    <n v="47.35"/>
    <n v="13.25"/>
    <n v="76.22"/>
    <n v="96.85"/>
    <n v="13.1"/>
    <n v="262.91000000000003"/>
    <n v="543.34"/>
    <n v="13.14"/>
    <n v="10.65"/>
    <n v="153.53"/>
    <n v="100"/>
    <n v="99.75"/>
    <n v="24.87"/>
    <n v="1.84"/>
    <n v="286.02"/>
    <n v="52.65"/>
    <n v="12.93"/>
    <n v="68.36"/>
    <n v="5.26"/>
    <n v="38.979999999999997"/>
    <n v="0"/>
    <n v="4.6100000000000003"/>
    <n v="7.7"/>
    <n v="57.01"/>
    <n v="31.67"/>
    <n v="3.03"/>
    <n v="6.75"/>
    <n v="56.21"/>
    <n v="30.87"/>
    <n v="12.93"/>
    <n v="89.18"/>
    <n v="100"/>
    <n v="0.49"/>
    <n v="73.819999999999993"/>
    <n v="99.75"/>
    <n v="0.28999999999999998"/>
    <n v="50.77"/>
    <n v="33.04"/>
    <n v="482.6"/>
    <n v="49.23"/>
    <n v="12.25"/>
    <n v="51.83"/>
    <n v="100"/>
    <n v="95.95"/>
    <n v="0"/>
    <m/>
    <m/>
    <m/>
    <m/>
    <n v="37.71"/>
    <m/>
    <n v="24"/>
    <n v="2.08"/>
    <n v="9.2200000000000006"/>
    <n v="1.02"/>
    <n v="100"/>
    <n v="100"/>
    <n v="0.59"/>
    <m/>
    <n v="0.13"/>
    <n v="100"/>
    <n v="146.28"/>
    <n v="473.01"/>
  </r>
  <r>
    <n v="510760"/>
    <x v="0"/>
    <s v="MT"/>
    <x v="6"/>
    <n v="51076011"/>
    <s v="Serviço de Saneamento Ambiental de Rondonópolis"/>
    <s v="SANEAR"/>
    <s v="Local"/>
    <s v="Água e Esgoto"/>
    <s v="Autarquia"/>
    <x v="0"/>
    <m/>
    <m/>
    <n v="1"/>
    <n v="1"/>
    <n v="3"/>
    <n v="0"/>
    <m/>
    <m/>
    <m/>
    <x v="0"/>
    <x v="0"/>
    <x v="0"/>
    <x v="0"/>
    <x v="0"/>
    <n v="218899"/>
    <n v="210559"/>
    <n v="218899"/>
    <n v="215320"/>
    <n v="70566"/>
    <n v="69053"/>
    <n v="86992"/>
    <n v="75971"/>
    <n v="70552"/>
    <n v="68618"/>
    <n v="1056.6099999999999"/>
    <n v="954.37"/>
    <n v="24642"/>
    <n v="10980"/>
    <n v="12625.17"/>
    <n v="13542.88"/>
    <n v="13497.68"/>
    <n v="24642"/>
    <n v="72617"/>
    <n v="70138"/>
    <n v="76386"/>
    <n v="75520"/>
    <n v="13662"/>
    <n v="0"/>
    <n v="0"/>
    <n v="0"/>
    <n v="11372.75"/>
    <n v="81677"/>
    <n v="81677"/>
    <n v="72600"/>
    <n v="69713"/>
    <m/>
    <m/>
    <n v="210559"/>
    <n v="207116"/>
    <n v="0"/>
    <m/>
    <n v="159194"/>
    <n v="144767"/>
    <n v="48673"/>
    <n v="39302"/>
    <n v="55895"/>
    <n v="45586"/>
    <n v="567.84"/>
    <n v="462.57"/>
    <n v="5728.43"/>
    <n v="5459.79"/>
    <n v="6572.58"/>
    <m/>
    <n v="41362"/>
    <n v="51353"/>
    <n v="46125"/>
    <n v="0"/>
    <n v="0"/>
    <n v="0"/>
    <n v="0"/>
    <m/>
    <n v="159194"/>
    <n v="144767"/>
    <m/>
    <n v="54209800.880000003"/>
    <n v="36233421.079999998"/>
    <n v="17976379.800000001"/>
    <n v="1818664.58"/>
    <n v="56028465.460000001"/>
    <n v="54209800.880000003"/>
    <n v="0"/>
    <n v="8183781.25"/>
    <n v="7489459.3099999996"/>
    <n v="4051407.97"/>
    <n v="863569"/>
    <n v="13301355.25"/>
    <n v="17046413.66"/>
    <n v="39532767.609999999"/>
    <n v="0"/>
    <n v="40548474.380000003"/>
    <n v="1626656.91"/>
    <n v="1015706.77"/>
    <n v="0"/>
    <n v="510571.86"/>
    <n v="0"/>
    <n v="1298289.19"/>
    <n v="6444040.1600000001"/>
    <n v="27044.2"/>
    <n v="37"/>
    <n v="35"/>
    <n v="3759449.87"/>
    <n v="0"/>
    <n v="4073519.76"/>
    <n v="5084271.68"/>
    <n v="238239.02"/>
    <n v="9396030.460000000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24"/>
    <n v="792"/>
    <m/>
    <n v="11800"/>
    <n v="321"/>
    <n v="11800"/>
    <n v="1429"/>
    <n v="287"/>
    <n v="290.3"/>
    <m/>
    <n v="11800"/>
    <n v="11800"/>
    <n v="365"/>
    <n v="8760"/>
    <n v="182692"/>
    <n v="178404"/>
    <m/>
    <n v="7608"/>
    <n v="28"/>
    <n v="7608"/>
    <n v="1.17"/>
    <n v="3672.83"/>
    <n v="2.02"/>
    <n v="2.7"/>
    <n v="2.68"/>
    <n v="2.74"/>
    <n v="52.03"/>
    <n v="112539.11"/>
    <n v="99.68"/>
    <n v="51.23"/>
    <n v="100"/>
    <x v="6"/>
    <n v="45.22"/>
    <n v="13.85"/>
    <n v="42.3"/>
    <n v="95.31"/>
    <n v="13.8"/>
    <n v="187.47"/>
    <n v="705.29"/>
    <n v="12.31"/>
    <n v="10.57"/>
    <n v="170.9"/>
    <n v="100"/>
    <n v="75.61"/>
    <n v="25.2"/>
    <n v="1.97"/>
    <n v="298.99"/>
    <n v="54.78"/>
    <n v="3.25"/>
    <n v="72.930000000000007"/>
    <n v="7.47"/>
    <n v="38.92"/>
    <n v="0"/>
    <n v="6.94"/>
    <n v="10.25"/>
    <n v="53.37"/>
    <n v="33.65"/>
    <n v="2.1800000000000002"/>
    <n v="9.51"/>
    <n v="64.67"/>
    <n v="32.08"/>
    <n v="3.25"/>
    <n v="87.6"/>
    <n v="93.22"/>
    <n v="0.52"/>
    <n v="40.31"/>
    <n v="75.61"/>
    <n v="0.32"/>
    <n v="45.04"/>
    <n v="30.24"/>
    <n v="435.59"/>
    <n v="54.96"/>
    <n v="13.85"/>
    <n v="52.58"/>
    <n v="100"/>
    <n v="72.72"/>
    <n v="0"/>
    <m/>
    <m/>
    <m/>
    <m/>
    <n v="33"/>
    <m/>
    <n v="24"/>
    <n v="2.72"/>
    <n v="12.11"/>
    <n v="1.01"/>
    <n v="100"/>
    <n v="100"/>
    <n v="0.51"/>
    <m/>
    <n v="0.37"/>
    <n v="100"/>
    <n v="137.13"/>
    <n v="607.01"/>
  </r>
  <r>
    <n v="510760"/>
    <x v="0"/>
    <s v="MT"/>
    <x v="7"/>
    <n v="51076011"/>
    <s v="Serviço de Saneamento Ambiental de Rondonópolis"/>
    <s v="SANEAR"/>
    <s v="Local"/>
    <s v="Água e Esgoto"/>
    <s v="Autarquia"/>
    <x v="0"/>
    <m/>
    <m/>
    <n v="1"/>
    <n v="1"/>
    <n v="3"/>
    <n v="0"/>
    <m/>
    <m/>
    <m/>
    <x v="0"/>
    <x v="0"/>
    <x v="0"/>
    <x v="0"/>
    <x v="0"/>
    <n v="215320"/>
    <n v="207116"/>
    <n v="215320"/>
    <n v="211718"/>
    <n v="69053"/>
    <n v="63776"/>
    <n v="75971"/>
    <n v="70565"/>
    <n v="68618"/>
    <n v="63212"/>
    <n v="954.37"/>
    <n v="948.85"/>
    <n v="23807.71"/>
    <n v="10185.31"/>
    <n v="12887.03"/>
    <n v="13542.88"/>
    <n v="12873.14"/>
    <n v="23807.71"/>
    <n v="70138"/>
    <n v="65022"/>
    <n v="75520"/>
    <n v="69984"/>
    <n v="13622.4"/>
    <n v="0"/>
    <n v="0"/>
    <n v="0"/>
    <n v="11372.75"/>
    <n v="81677"/>
    <n v="76338"/>
    <n v="69713"/>
    <n v="64474"/>
    <m/>
    <m/>
    <n v="207116"/>
    <n v="203651"/>
    <n v="0"/>
    <m/>
    <n v="144767"/>
    <n v="116559"/>
    <n v="39302"/>
    <n v="25460"/>
    <n v="45586"/>
    <n v="37003"/>
    <n v="462.57"/>
    <n v="443.67"/>
    <n v="5775.24"/>
    <n v="5105.42"/>
    <n v="6572.58"/>
    <n v="41362"/>
    <n v="33216"/>
    <n v="46125"/>
    <n v="37807"/>
    <n v="0"/>
    <n v="0"/>
    <n v="0"/>
    <n v="0"/>
    <m/>
    <n v="144767"/>
    <n v="116559"/>
    <m/>
    <n v="48013253.920000002"/>
    <n v="32562417.920000002"/>
    <n v="15450836"/>
    <n v="2178018.4500000002"/>
    <n v="50191272.369999997"/>
    <n v="48013253.920000002"/>
    <n v="0"/>
    <n v="7489459.3099999996"/>
    <n v="9101075.0500000007"/>
    <n v="3260310.4"/>
    <n v="914269.18"/>
    <n v="8775831.7400000002"/>
    <n v="14725455.26"/>
    <n v="30144633.02"/>
    <n v="0"/>
    <n v="31686452.640000001"/>
    <n v="354326.24"/>
    <n v="1541819.62"/>
    <n v="0"/>
    <n v="454078.12"/>
    <n v="0"/>
    <n v="2921330.93"/>
    <n v="1789554.67"/>
    <n v="113222.25"/>
    <n v="35"/>
    <n v="37"/>
    <n v="2014688.32"/>
    <n v="0"/>
    <n v="2196872.67"/>
    <n v="1147129.3999999999"/>
    <n v="1834432.02"/>
    <n v="5178434.0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36"/>
    <n v="792"/>
    <m/>
    <n v="11800"/>
    <n v="543"/>
    <n v="11800"/>
    <n v="1487"/>
    <n v="391"/>
    <n v="332.08"/>
    <m/>
    <n v="11800"/>
    <n v="11800"/>
    <n v="366"/>
    <n v="8784"/>
    <n v="182692"/>
    <n v="114629"/>
    <n v="6421787"/>
    <n v="7756"/>
    <n v="14"/>
    <n v="7756"/>
    <n v="1.1000000000000001"/>
    <n v="3182.29"/>
    <n v="1.63"/>
    <n v="2.4700000000000002"/>
    <n v="2.5299999999999998"/>
    <n v="2.35"/>
    <n v="56.76"/>
    <n v="90564.18"/>
    <n v="99.25"/>
    <n v="54.13"/>
    <n v="100"/>
    <x v="7"/>
    <n v="45.93"/>
    <n v="14.76"/>
    <n v="42.64"/>
    <n v="88.4"/>
    <n v="14.64"/>
    <n v="198.6"/>
    <n v="576.86"/>
    <n v="12.04"/>
    <n v="10.8"/>
    <n v="173.77"/>
    <n v="100"/>
    <n v="69.900000000000006"/>
    <n v="27.08"/>
    <n v="1.55"/>
    <n v="263.13"/>
    <n v="54.07"/>
    <n v="4.34"/>
    <n v="62.78"/>
    <n v="6.79"/>
    <n v="37.46"/>
    <n v="0"/>
    <n v="4.2"/>
    <n v="10.82"/>
    <n v="59.66"/>
    <n v="29.11"/>
    <n v="3.03"/>
    <n v="6.68"/>
    <n v="64.88"/>
    <n v="30.78"/>
    <n v="4.34"/>
    <n v="92.24"/>
    <n v="95.16"/>
    <n v="0.54"/>
    <n v="37.700000000000003"/>
    <n v="69.900000000000006"/>
    <n v="0.36"/>
    <n v="43.12"/>
    <n v="29.55"/>
    <n v="423.44"/>
    <n v="56.88"/>
    <n v="15.4"/>
    <n v="53.72"/>
    <n v="100"/>
    <n v="67.23"/>
    <n v="0"/>
    <m/>
    <m/>
    <m/>
    <m/>
    <n v="22"/>
    <m/>
    <n v="24"/>
    <n v="4.5999999999999996"/>
    <n v="12.6"/>
    <n v="0.85"/>
    <n v="100"/>
    <n v="100"/>
    <n v="0.85"/>
    <n v="56.02"/>
    <n v="0.18"/>
    <n v="100"/>
    <n v="159.28"/>
    <n v="497.47"/>
  </r>
  <r>
    <n v="510760"/>
    <x v="0"/>
    <s v="MT"/>
    <x v="8"/>
    <n v="51076011"/>
    <s v="Serviço de Saneamento Ambiental de Rondonópolis"/>
    <s v="SANEAR"/>
    <s v="Local"/>
    <s v="Água e Esgoto"/>
    <s v="Autarquia"/>
    <x v="0"/>
    <m/>
    <m/>
    <n v="1"/>
    <n v="1"/>
    <n v="3"/>
    <n v="0"/>
    <m/>
    <m/>
    <m/>
    <x v="0"/>
    <x v="0"/>
    <x v="0"/>
    <x v="0"/>
    <x v="0"/>
    <n v="211718"/>
    <n v="203651"/>
    <n v="211718"/>
    <n v="208019"/>
    <n v="63776"/>
    <n v="61572"/>
    <n v="70565"/>
    <n v="67967"/>
    <n v="63212"/>
    <n v="60440"/>
    <n v="948.85"/>
    <n v="1237.3900000000001"/>
    <n v="23304.86"/>
    <n v="10985.95"/>
    <n v="12933.66"/>
    <n v="13813.1"/>
    <n v="12623.5"/>
    <n v="23304.86"/>
    <n v="65022"/>
    <n v="62856"/>
    <n v="69984"/>
    <n v="65929"/>
    <n v="12318.91"/>
    <n v="0"/>
    <n v="0"/>
    <n v="0"/>
    <n v="11442.91"/>
    <n v="76338"/>
    <n v="73685"/>
    <n v="64474"/>
    <n v="61731"/>
    <m/>
    <m/>
    <n v="203651"/>
    <n v="200093"/>
    <n v="0"/>
    <m/>
    <n v="116559"/>
    <n v="81621"/>
    <n v="25460"/>
    <n v="25460"/>
    <n v="37003"/>
    <n v="30531"/>
    <n v="443.67"/>
    <n v="298"/>
    <n v="5504.64"/>
    <n v="4743.68"/>
    <n v="5612.22"/>
    <n v="33216"/>
    <n v="27207"/>
    <n v="37807"/>
    <n v="32144"/>
    <n v="0"/>
    <n v="0"/>
    <n v="0"/>
    <n v="0"/>
    <m/>
    <n v="116559"/>
    <n v="81621"/>
    <m/>
    <n v="41095329.5"/>
    <n v="28658879.039999999"/>
    <n v="12436450.460000001"/>
    <n v="1209066.57"/>
    <n v="42304396.07"/>
    <n v="41095329.5"/>
    <n v="0"/>
    <n v="9101075.0500000007"/>
    <n v="8093180.4800000004"/>
    <n v="2855472.4"/>
    <n v="822291.2"/>
    <n v="9024872.9299999997"/>
    <n v="12593448.619999999"/>
    <n v="38823889.549999997"/>
    <n v="0"/>
    <n v="40078202.039999999"/>
    <n v="5236"/>
    <n v="1254312.49"/>
    <n v="0"/>
    <n v="460215.48"/>
    <n v="0"/>
    <n v="7684669.4500000002"/>
    <n v="3248449.37"/>
    <n v="855102.48"/>
    <n v="37"/>
    <n v="39"/>
    <n v="13067588.92"/>
    <n v="0"/>
    <n v="1795371.27"/>
    <n v="587124.01"/>
    <n v="9410962.0199999996"/>
    <n v="11793457.3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36"/>
    <n v="792"/>
    <m/>
    <n v="22152"/>
    <n v="288"/>
    <n v="11823"/>
    <n v="49"/>
    <n v="255"/>
    <n v="320.14999999999998"/>
    <m/>
    <n v="11823"/>
    <n v="11823"/>
    <n v="365"/>
    <n v="8760"/>
    <n v="135811"/>
    <n v="93407"/>
    <n v="5256023"/>
    <n v="7644"/>
    <n v="3"/>
    <n v="7644"/>
    <n v="1.1100000000000001"/>
    <n v="2711.39"/>
    <n v="2.2000000000000002"/>
    <n v="2.25"/>
    <n v="2.27"/>
    <n v="2.2200000000000002"/>
    <n v="38.549999999999997"/>
    <n v="75144.009999999995"/>
    <n v="98.65"/>
    <n v="55.5"/>
    <n v="100"/>
    <x v="8"/>
    <n v="45.83"/>
    <n v="15.86"/>
    <n v="39.85"/>
    <n v="86.18"/>
    <n v="15.19"/>
    <n v="205.59"/>
    <n v="501.16"/>
    <n v="14.57"/>
    <n v="10.6"/>
    <n v="180.32"/>
    <n v="100"/>
    <n v="57.23"/>
    <n v="28.04"/>
    <n v="2.13"/>
    <n v="376.81"/>
    <n v="54.17"/>
    <n v="2.86"/>
    <n v="94.47"/>
    <n v="6.95"/>
    <n v="37.590000000000003"/>
    <n v="0"/>
    <n v="31.8"/>
    <n v="7.35"/>
    <n v="39.79"/>
    <n v="23.25"/>
    <n v="2.12"/>
    <n v="33.659999999999997"/>
    <n v="67.739999999999995"/>
    <n v="29.4"/>
    <n v="2.86"/>
    <n v="92.31"/>
    <n v="93.63"/>
    <n v="0.61"/>
    <n v="34.340000000000003"/>
    <n v="57.23"/>
    <n v="0.43"/>
    <n v="40.729999999999997"/>
    <n v="23.79"/>
    <n v="414.92"/>
    <n v="59.27"/>
    <n v="16.62"/>
    <n v="77.45"/>
    <n v="100"/>
    <n v="55.05"/>
    <n v="0"/>
    <m/>
    <m/>
    <m/>
    <m/>
    <n v="22"/>
    <m/>
    <n v="24"/>
    <n v="1.3"/>
    <n v="0.41"/>
    <n v="1.26"/>
    <n v="187.36"/>
    <n v="100"/>
    <n v="0.56999999999999995"/>
    <n v="56.27"/>
    <n v="0.04"/>
    <n v="100"/>
    <n v="105.85"/>
    <n v="428.69"/>
  </r>
  <r>
    <n v="510760"/>
    <x v="0"/>
    <s v="MT"/>
    <x v="9"/>
    <n v="51076011"/>
    <s v="Serviço de Saneamento Ambiental de Rondonópolis"/>
    <s v="SANEAR"/>
    <s v="Local"/>
    <s v="Água e Esgoto"/>
    <s v="Autarquia"/>
    <x v="0"/>
    <m/>
    <m/>
    <n v="1"/>
    <n v="1"/>
    <n v="3"/>
    <n v="0"/>
    <m/>
    <m/>
    <m/>
    <x v="0"/>
    <x v="0"/>
    <x v="0"/>
    <x v="0"/>
    <x v="0"/>
    <n v="208019"/>
    <n v="200093"/>
    <n v="208019"/>
    <n v="202309"/>
    <n v="61572"/>
    <n v="60735"/>
    <n v="67967"/>
    <n v="67211"/>
    <n v="60440"/>
    <n v="59452"/>
    <n v="1237.3900000000001"/>
    <n v="57.14"/>
    <n v="21741.33"/>
    <n v="11111.02"/>
    <n v="13906.44"/>
    <n v="14713.4"/>
    <n v="12226.17"/>
    <n v="21741.33"/>
    <n v="62856"/>
    <n v="62118"/>
    <n v="65929"/>
    <n v="65824"/>
    <n v="10630.31"/>
    <n v="0"/>
    <n v="0"/>
    <n v="0"/>
    <n v="12400.95"/>
    <n v="73685"/>
    <n v="70181"/>
    <n v="61731"/>
    <n v="60838"/>
    <m/>
    <m/>
    <n v="200093"/>
    <n v="194601"/>
    <n v="0"/>
    <m/>
    <n v="81621"/>
    <n v="67385"/>
    <n v="25460"/>
    <n v="17975"/>
    <n v="30531"/>
    <n v="22426"/>
    <n v="298"/>
    <n v="56.97"/>
    <n v="5474.98"/>
    <n v="5013.54"/>
    <n v="4213.22"/>
    <n v="27207"/>
    <n v="19253"/>
    <n v="32144"/>
    <n v="21161"/>
    <n v="0"/>
    <n v="0"/>
    <n v="0"/>
    <n v="0"/>
    <m/>
    <n v="81621"/>
    <n v="67385"/>
    <m/>
    <n v="36046199.340000004"/>
    <n v="26598022.98"/>
    <n v="9448176.3599999994"/>
    <n v="1072810.9099999999"/>
    <n v="37119010.25"/>
    <n v="36046199.340000004"/>
    <n v="0"/>
    <n v="8093180.4800000004"/>
    <n v="7721643.9500000002"/>
    <n v="2597774.17"/>
    <n v="571303.5"/>
    <n v="6450938.2800000003"/>
    <n v="12261594.6"/>
    <n v="23981960.530000001"/>
    <n v="0"/>
    <n v="26673421.920000002"/>
    <n v="255300.26"/>
    <n v="959932.94"/>
    <n v="0"/>
    <n v="368821.53"/>
    <n v="0"/>
    <n v="3640568.36"/>
    <n v="2591024.36"/>
    <n v="75901.19"/>
    <n v="39"/>
    <n v="38"/>
    <n v="1731528.45"/>
    <n v="1731528.45"/>
    <n v="628924.76"/>
    <n v="3620017.98"/>
    <n v="2313851.4300000002"/>
    <n v="6562794.16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6"/>
    <n v="50"/>
    <m/>
    <n v="21199"/>
    <n v="596"/>
    <n v="11503"/>
    <n v="62"/>
    <n v="281"/>
    <n v="361"/>
    <m/>
    <n v="11503"/>
    <n v="11503"/>
    <n v="365"/>
    <n v="8760"/>
    <n v="128231"/>
    <n v="89900"/>
    <n v="5092793"/>
    <n v="7288"/>
    <n v="4"/>
    <n v="7288"/>
    <n v="1.1100000000000001"/>
    <n v="2443.31"/>
    <n v="1.62"/>
    <n v="2.19"/>
    <n v="2.1800000000000002"/>
    <n v="2.2400000000000002"/>
    <n v="55.71"/>
    <n v="67474.649999999994"/>
    <n v="98.03"/>
    <n v="63.96"/>
    <n v="100"/>
    <x v="9"/>
    <n v="43.77"/>
    <n v="17.59"/>
    <n v="37.21"/>
    <n v="91.57"/>
    <n v="15.07"/>
    <n v="220.22"/>
    <n v="427.15"/>
    <n v="9"/>
    <n v="6.66"/>
    <n v="196.48"/>
    <n v="100"/>
    <n v="40.79"/>
    <n v="26.81"/>
    <n v="1.46"/>
    <n v="254.94"/>
    <n v="56.23"/>
    <n v="2.89"/>
    <n v="66.53"/>
    <n v="7.21"/>
    <n v="41.22"/>
    <n v="0"/>
    <n v="4.8"/>
    <n v="10.83"/>
    <n v="61.96"/>
    <n v="26.9"/>
    <n v="2.38"/>
    <n v="7.22"/>
    <n v="71.66"/>
    <n v="25.45"/>
    <n v="2.89"/>
    <n v="92.45"/>
    <n v="94.52"/>
    <n v="0.63"/>
    <n v="34.07"/>
    <n v="40.79"/>
    <n v="0.46"/>
    <n v="32.33"/>
    <n v="29.75"/>
    <n v="314.86"/>
    <n v="67.67"/>
    <n v="18.14"/>
    <n v="78.489999999999995"/>
    <n v="100"/>
    <n v="39.24"/>
    <n v="0"/>
    <m/>
    <m/>
    <m/>
    <m/>
    <n v="8.33"/>
    <m/>
    <n v="24"/>
    <n v="2.81"/>
    <n v="0.54"/>
    <n v="1.28"/>
    <n v="184.29"/>
    <n v="100"/>
    <n v="0.94"/>
    <n v="56.65"/>
    <n v="0.05"/>
    <n v="100"/>
    <n v="150.31"/>
    <n v="376.31"/>
  </r>
  <r>
    <n v="510760"/>
    <x v="0"/>
    <s v="MT"/>
    <x v="10"/>
    <n v="51076011"/>
    <s v="Serviço de Saneamento Ambiental de Rondonópolis"/>
    <s v="SANEAR"/>
    <s v="Local"/>
    <s v="Água e Esgoto"/>
    <s v="Autarquia"/>
    <x v="0"/>
    <m/>
    <m/>
    <n v="1"/>
    <n v="1"/>
    <n v="3"/>
    <n v="0"/>
    <m/>
    <m/>
    <m/>
    <x v="0"/>
    <x v="0"/>
    <x v="0"/>
    <x v="0"/>
    <x v="0"/>
    <n v="202309"/>
    <n v="194601"/>
    <n v="202309"/>
    <n v="192721"/>
    <n v="60735"/>
    <n v="58384"/>
    <n v="67211"/>
    <n v="64723"/>
    <n v="59452"/>
    <n v="57033"/>
    <n v="57.14"/>
    <n v="43.61"/>
    <n v="21331.66"/>
    <n v="11316.67"/>
    <n v="12209.16"/>
    <n v="12651.66"/>
    <n v="11605.34"/>
    <n v="21259.54"/>
    <n v="62118"/>
    <n v="59802"/>
    <n v="65824"/>
    <n v="63280"/>
    <n v="10014.99"/>
    <n v="0"/>
    <n v="0"/>
    <n v="0"/>
    <n v="10902.05"/>
    <n v="70181"/>
    <n v="66425"/>
    <n v="60838"/>
    <n v="58414"/>
    <m/>
    <m/>
    <n v="194601"/>
    <n v="191370"/>
    <n v="0"/>
    <m/>
    <n v="67385"/>
    <n v="65037"/>
    <n v="17975"/>
    <n v="18400"/>
    <n v="22426"/>
    <n v="21464"/>
    <n v="56.97"/>
    <n v="198.66"/>
    <n v="5007.8500000000004"/>
    <n v="4139.1899999999996"/>
    <n v="3666.04"/>
    <n v="19253"/>
    <n v="18582"/>
    <n v="21161"/>
    <n v="20327"/>
    <n v="0"/>
    <n v="0"/>
    <n v="0"/>
    <n v="0"/>
    <m/>
    <n v="67385"/>
    <n v="65037"/>
    <m/>
    <n v="30981621.719999999"/>
    <n v="23669682.960000001"/>
    <n v="7311938.7599999998"/>
    <n v="867744.16"/>
    <n v="31849365.879999999"/>
    <n v="30981621.719999999"/>
    <n v="0"/>
    <n v="7721643.9500000002"/>
    <n v="7665643.8899999997"/>
    <n v="1734254.61"/>
    <n v="566915.9"/>
    <n v="7320044.8300000001"/>
    <n v="8488030.4399999995"/>
    <n v="18435983.129999999"/>
    <n v="0"/>
    <n v="18437823.129999999"/>
    <n v="2267352.1"/>
    <n v="0"/>
    <n v="0"/>
    <n v="326737.34999999998"/>
    <n v="0"/>
    <n v="8830394.2699999996"/>
    <n v="3830772.05"/>
    <n v="360918.18"/>
    <n v="38"/>
    <n v="39"/>
    <n v="0"/>
    <n v="1840"/>
    <n v="1669398.93"/>
    <n v="10983950.76"/>
    <n v="2636086.91"/>
    <n v="15289436.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11"/>
    <n v="69"/>
    <m/>
    <n v="21207"/>
    <n v="1185"/>
    <n v="11451"/>
    <n v="535"/>
    <m/>
    <m/>
    <m/>
    <n v="11451"/>
    <n v="11451"/>
    <n v="365"/>
    <n v="8760"/>
    <n v="128718"/>
    <n v="86138"/>
    <n v="4650651"/>
    <n v="7248"/>
    <n v="2"/>
    <n v="7248"/>
    <n v="1.1100000000000001"/>
    <n v="2283.4299999999998"/>
    <n v="1.21"/>
    <n v="2.0299999999999998"/>
    <n v="2.04"/>
    <n v="1.99"/>
    <n v="55.44"/>
    <n v="45045.57"/>
    <n v="97.79"/>
    <n v="57.23"/>
    <n v="99.66"/>
    <x v="10"/>
    <n v="45.6"/>
    <n v="15.8"/>
    <n v="39.58"/>
    <n v="82.65"/>
    <n v="14.7"/>
    <n v="227"/>
    <n v="387.39"/>
    <n v="0.7"/>
    <n v="6.16"/>
    <n v="175.5"/>
    <n v="100"/>
    <n v="34.630000000000003"/>
    <n v="26.9"/>
    <n v="1.21"/>
    <n v="209.71"/>
    <n v="54.4"/>
    <n v="2.72"/>
    <n v="59.51"/>
    <n v="5.6"/>
    <n v="32.99"/>
    <n v="0"/>
    <n v="0"/>
    <n v="9.41"/>
    <n v="55.45"/>
    <n v="39.71"/>
    <n v="3.08"/>
    <n v="0"/>
    <n v="74.319999999999993"/>
    <n v="22.96"/>
    <n v="2.72"/>
    <n v="92.41"/>
    <n v="96.5"/>
    <n v="0.65"/>
    <n v="32.72"/>
    <n v="34.630000000000003"/>
    <n v="0.5"/>
    <n v="40.69"/>
    <n v="472.08"/>
    <n v="399.28"/>
    <n v="59.31"/>
    <n v="16"/>
    <n v="90"/>
    <n v="100"/>
    <n v="33.31"/>
    <n v="0"/>
    <m/>
    <m/>
    <m/>
    <m/>
    <n v="6.27"/>
    <m/>
    <n v="24"/>
    <n v="5.59"/>
    <n v="4.67"/>
    <m/>
    <n v="185.2"/>
    <n v="100"/>
    <m/>
    <n v="53.99"/>
    <n v="0.03"/>
    <n v="100"/>
    <n v="168.05"/>
    <n v="342.6"/>
  </r>
  <r>
    <n v="510760"/>
    <x v="0"/>
    <s v="MT"/>
    <x v="11"/>
    <n v="51076011"/>
    <s v="Serviço de Saneamento Ambiental de Rondonópolis"/>
    <s v="SANEAR"/>
    <s v="Local"/>
    <s v="Água e Esgoto"/>
    <s v="Autarquia"/>
    <x v="0"/>
    <m/>
    <m/>
    <n v="1"/>
    <n v="1"/>
    <n v="3"/>
    <n v="0"/>
    <m/>
    <m/>
    <m/>
    <x v="0"/>
    <x v="0"/>
    <x v="0"/>
    <x v="0"/>
    <x v="0"/>
    <n v="198950"/>
    <n v="191370"/>
    <n v="192721"/>
    <n v="190751"/>
    <n v="58384"/>
    <n v="58845"/>
    <n v="64723"/>
    <n v="66166"/>
    <n v="57033"/>
    <n v="56806"/>
    <n v="43.61"/>
    <n v="744.36"/>
    <n v="21762.880000000001"/>
    <n v="11037.03"/>
    <n v="11892.06"/>
    <n v="12099.86"/>
    <n v="12300"/>
    <n v="21762.880000000001"/>
    <n v="59802"/>
    <n v="60634"/>
    <n v="63280"/>
    <n v="63317"/>
    <n v="10725.85"/>
    <n v="0"/>
    <n v="0"/>
    <n v="0"/>
    <n v="10421.59"/>
    <n v="66425"/>
    <n v="62990"/>
    <n v="58414"/>
    <n v="58140"/>
    <m/>
    <n v="2723"/>
    <n v="191370"/>
    <n v="188028"/>
    <n v="0"/>
    <n v="9768.42"/>
    <n v="65037"/>
    <n v="64525"/>
    <n v="18400"/>
    <n v="18342"/>
    <n v="21464"/>
    <n v="20855"/>
    <n v="198.66"/>
    <n v="329.62"/>
    <n v="4903.8900000000003"/>
    <n v="4903.8900000000003"/>
    <n v="3524.45"/>
    <n v="18582"/>
    <n v="17423"/>
    <n v="20327"/>
    <n v="19664"/>
    <n v="0"/>
    <n v="0"/>
    <n v="0"/>
    <n v="0"/>
    <n v="0"/>
    <n v="65037"/>
    <n v="64525"/>
    <n v="988.85"/>
    <n v="28821467.199999999"/>
    <n v="21862380.699999999"/>
    <n v="6959086.5"/>
    <n v="1502921.15"/>
    <n v="30324388.350000001"/>
    <n v="28821467.199999999"/>
    <n v="0"/>
    <n v="7665643.8899999997"/>
    <n v="7663978.1399999997"/>
    <n v="1343625.58"/>
    <n v="618989"/>
    <n v="7066408.1299999999"/>
    <n v="7203682.5199999996"/>
    <n v="16535949.109999999"/>
    <n v="0"/>
    <n v="16540879.109999999"/>
    <n v="2100124.33"/>
    <n v="0"/>
    <n v="0"/>
    <n v="303243.88"/>
    <n v="0"/>
    <n v="11432490.18"/>
    <n v="15956617.74"/>
    <n v="1741606"/>
    <n v="39"/>
    <n v="36"/>
    <n v="0"/>
    <n v="4930"/>
    <n v="2052405.99"/>
    <n v="23260339.16"/>
    <n v="5918093.0999999996"/>
    <n v="31230838.2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7"/>
    <n v="59"/>
    <m/>
    <n v="21687"/>
    <n v="548"/>
    <n v="21687"/>
    <n v="272"/>
    <m/>
    <m/>
    <m/>
    <n v="21687"/>
    <n v="21687"/>
    <n v="365"/>
    <n v="8760"/>
    <n v="134622"/>
    <n v="131788"/>
    <m/>
    <n v="7332"/>
    <n v="2"/>
    <n v="7332"/>
    <n v="1.1200000000000001"/>
    <n v="2309.44"/>
    <n v="1.05"/>
    <n v="1.82"/>
    <n v="1.78"/>
    <n v="1.97"/>
    <n v="51.67"/>
    <n v="35830.019999999997"/>
    <n v="97.11"/>
    <n v="54.64"/>
    <n v="100"/>
    <x v="11"/>
    <n v="43.48"/>
    <n v="15.7"/>
    <n v="40.53"/>
    <n v="100"/>
    <n v="15.7"/>
    <n v="239"/>
    <n v="363.04"/>
    <n v="6.1"/>
    <n v="13.21"/>
    <n v="172.9"/>
    <n v="100"/>
    <n v="33.979999999999997"/>
    <n v="27.7"/>
    <n v="1.04"/>
    <n v="190.94"/>
    <n v="56.52"/>
    <n v="4.96"/>
    <n v="57.37"/>
    <n v="4.66"/>
    <n v="29.66"/>
    <n v="0"/>
    <n v="0"/>
    <n v="8.1300000000000008"/>
    <n v="51.69"/>
    <n v="42.73"/>
    <n v="3.74"/>
    <n v="0"/>
    <n v="72.099999999999994"/>
    <n v="22.95"/>
    <n v="4.96"/>
    <n v="92.01"/>
    <n v="98.28"/>
    <n v="0.64"/>
    <n v="40.53"/>
    <n v="33.979999999999997"/>
    <n v="0.49"/>
    <n v="44.4"/>
    <n v="67.2"/>
    <n v="451.66"/>
    <n v="55.6"/>
    <n v="15.4"/>
    <n v="96"/>
    <n v="96.87"/>
    <n v="32.69"/>
    <n v="0"/>
    <n v="0.45"/>
    <n v="0.2"/>
    <n v="0.66"/>
    <m/>
    <n v="8.43"/>
    <m/>
    <n v="24"/>
    <n v="2.5299999999999998"/>
    <n v="1.25"/>
    <m/>
    <n v="100"/>
    <n v="100"/>
    <m/>
    <m/>
    <n v="0.03"/>
    <n v="100"/>
    <n v="174.3"/>
    <n v="322.72000000000003"/>
  </r>
  <r>
    <n v="510760"/>
    <x v="0"/>
    <s v="MT"/>
    <x v="12"/>
    <n v="51076011"/>
    <s v="Serviço de Saneamento Ambiental de Rondonópolis"/>
    <s v="SANEAR"/>
    <s v="Local"/>
    <s v="Água e Esgoto"/>
    <s v="Autarquia"/>
    <x v="0"/>
    <m/>
    <m/>
    <n v="1"/>
    <n v="1"/>
    <n v="3"/>
    <n v="0"/>
    <m/>
    <m/>
    <m/>
    <x v="0"/>
    <x v="0"/>
    <x v="1"/>
    <x v="0"/>
    <x v="0"/>
    <n v="195476"/>
    <n v="188028"/>
    <n v="190751"/>
    <n v="181000"/>
    <n v="58845"/>
    <n v="58436"/>
    <n v="66166"/>
    <n v="63762"/>
    <n v="56806"/>
    <n v="55662"/>
    <n v="744.36"/>
    <n v="529"/>
    <n v="22279"/>
    <n v="11149"/>
    <n v="10500"/>
    <n v="10900"/>
    <n v="11100"/>
    <n v="22279"/>
    <n v="60634"/>
    <n v="58455"/>
    <n v="63317"/>
    <n v="59257"/>
    <n v="11130"/>
    <n v="0"/>
    <n v="0"/>
    <n v="0"/>
    <n v="9910.8700000000008"/>
    <n v="62990"/>
    <n v="60579"/>
    <n v="58140"/>
    <n v="54367"/>
    <m/>
    <n v="2723"/>
    <n v="188028"/>
    <n v="178277"/>
    <n v="0"/>
    <n v="12116.12"/>
    <n v="64525"/>
    <n v="66594"/>
    <n v="18342"/>
    <n v="17828"/>
    <n v="20855"/>
    <n v="19027"/>
    <n v="329.62"/>
    <n v="298"/>
    <n v="2977"/>
    <n v="2343"/>
    <n v="3344"/>
    <n v="17423"/>
    <n v="16411"/>
    <n v="19664"/>
    <n v="18739"/>
    <n v="0"/>
    <n v="0"/>
    <n v="0"/>
    <n v="0"/>
    <n v="0"/>
    <n v="64525"/>
    <n v="66594"/>
    <n v="490.35"/>
    <n v="23104555.18"/>
    <n v="17852600.260000002"/>
    <n v="5251954.92"/>
    <n v="647728.43000000005"/>
    <n v="23752283.609999999"/>
    <n v="23104555.18"/>
    <n v="0"/>
    <n v="7663978.1399999997"/>
    <n v="9544654"/>
    <n v="1331128.6100000001"/>
    <n v="704426.34"/>
    <n v="5022501.1500000004"/>
    <n v="8196369.04"/>
    <n v="15491947.98"/>
    <n v="0"/>
    <n v="15491947.98"/>
    <n v="240675.11"/>
    <n v="0"/>
    <n v="0"/>
    <n v="237522.84"/>
    <n v="0"/>
    <n v="25167846.079999998"/>
    <n v="21796509.300000001"/>
    <n v="1211949.83"/>
    <n v="36"/>
    <n v="36"/>
    <n v="0"/>
    <n v="0"/>
    <n v="1452624.94"/>
    <n v="34751077.689999998"/>
    <n v="12213277.689999999"/>
    <n v="48416980.3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24582"/>
    <n v="267"/>
    <n v="21174"/>
    <n v="336"/>
    <m/>
    <m/>
    <n v="0"/>
    <n v="21174"/>
    <n v="21174"/>
    <n v="0"/>
    <n v="0"/>
    <n v="120722"/>
    <n v="88641"/>
    <m/>
    <n v="7298"/>
    <n v="2"/>
    <n v="7200"/>
    <n v="1.1000000000000001"/>
    <n v="2358.4699999999998"/>
    <n v="1.07"/>
    <n v="1.59"/>
    <n v="1.6"/>
    <n v="1.57"/>
    <n v="61.49"/>
    <n v="36975.79"/>
    <n v="95.89"/>
    <n v="47.12"/>
    <n v="100"/>
    <x v="12"/>
    <n v="50.17"/>
    <n v="14.2"/>
    <n v="27.31"/>
    <n v="78.7"/>
    <n v="14.2"/>
    <n v="258"/>
    <n v="329.51"/>
    <n v="10.3"/>
    <n v="16.34"/>
    <n v="160.6"/>
    <n v="100"/>
    <n v="34.31"/>
    <n v="28.5"/>
    <n v="1.07"/>
    <n v="182.46"/>
    <n v="49.82"/>
    <n v="2.72"/>
    <n v="67.05"/>
    <n v="5.76"/>
    <n v="41.23"/>
    <n v="0"/>
    <n v="0"/>
    <n v="8.59"/>
    <n v="61.49"/>
    <n v="32.42"/>
    <n v="4.54"/>
    <n v="0"/>
    <n v="75.16"/>
    <n v="22.11"/>
    <n v="2.72"/>
    <n v="91.65"/>
    <n v="96.33"/>
    <n v="0.61"/>
    <n v="21.49"/>
    <n v="34.31"/>
    <n v="0.46"/>
    <n v="51.07"/>
    <n v="48.96"/>
    <n v="531.63"/>
    <n v="48.92"/>
    <n v="13.9"/>
    <n v="119"/>
    <n v="97.58"/>
    <n v="33"/>
    <n v="0"/>
    <n v="0.54"/>
    <n v="0.16"/>
    <n v="0.39"/>
    <m/>
    <m/>
    <m/>
    <m/>
    <n v="1.08"/>
    <n v="1.58"/>
    <m/>
    <n v="116.09"/>
    <n v="100"/>
    <m/>
    <m/>
    <n v="0.02"/>
    <n v="101.36"/>
    <n v="149.13"/>
    <n v="297.76"/>
  </r>
  <r>
    <n v="510760"/>
    <x v="0"/>
    <s v="MT"/>
    <x v="13"/>
    <n v="51076011"/>
    <s v="Serviço de Saneamento Ambiental de Rondonópolis"/>
    <s v="SANEAR"/>
    <s v="Local"/>
    <s v="Água e Esgoto"/>
    <s v="Autarquia"/>
    <x v="0"/>
    <m/>
    <m/>
    <n v="1"/>
    <n v="1"/>
    <n v="3"/>
    <n v="0"/>
    <m/>
    <m/>
    <m/>
    <x v="0"/>
    <x v="0"/>
    <x v="1"/>
    <x v="0"/>
    <x v="0"/>
    <n v="181902"/>
    <n v="173676"/>
    <n v="181000"/>
    <n v="178809"/>
    <n v="58436"/>
    <n v="54653"/>
    <n v="63762"/>
    <n v="61822"/>
    <n v="55662"/>
    <n v="49848"/>
    <n v="529"/>
    <n v="513.02"/>
    <n v="20995"/>
    <n v="10644"/>
    <n v="10000"/>
    <n v="10594"/>
    <n v="10034"/>
    <n v="20995"/>
    <n v="58455"/>
    <n v="56135"/>
    <n v="59257"/>
    <n v="56221"/>
    <n v="10351"/>
    <n v="0"/>
    <n v="0"/>
    <n v="0"/>
    <n v="9052"/>
    <n v="60579"/>
    <n v="58267"/>
    <n v="54367"/>
    <n v="50990"/>
    <m/>
    <n v="7814"/>
    <n v="178277"/>
    <n v="170995"/>
    <n v="0"/>
    <n v="13098"/>
    <n v="66594"/>
    <n v="59867"/>
    <n v="17828"/>
    <n v="15527"/>
    <n v="19027"/>
    <n v="18786"/>
    <n v="298"/>
    <n v="273.75"/>
    <n v="3010"/>
    <n v="2709"/>
    <n v="3010"/>
    <n v="16411"/>
    <n v="15523"/>
    <n v="18739"/>
    <n v="17105"/>
    <n v="0"/>
    <n v="0"/>
    <n v="0"/>
    <n v="0"/>
    <n v="0"/>
    <n v="66594"/>
    <n v="59867"/>
    <n v="563"/>
    <n v="20319150"/>
    <n v="15772643"/>
    <n v="4546507"/>
    <n v="1851561"/>
    <n v="22170711"/>
    <n v="21620284"/>
    <n v="0"/>
    <n v="9544654"/>
    <n v="7466371.2400000002"/>
    <n v="1177566"/>
    <n v="744633"/>
    <n v="5798611"/>
    <n v="7289860"/>
    <n v="15232831"/>
    <n v="0"/>
    <n v="15232831"/>
    <n v="0"/>
    <n v="0"/>
    <n v="0"/>
    <n v="222161"/>
    <n v="0"/>
    <n v="12521785"/>
    <n v="5632038"/>
    <n v="1476509"/>
    <n v="36"/>
    <n v="36"/>
    <n v="0"/>
    <n v="0"/>
    <n v="1264600"/>
    <n v="18365732"/>
    <n v="0"/>
    <n v="19630332"/>
    <n v="0"/>
    <n v="0"/>
    <n v="0"/>
    <n v="0"/>
    <n v="0"/>
    <n v="0"/>
    <m/>
    <m/>
    <m/>
    <m/>
    <m/>
    <m/>
    <m/>
    <m/>
    <m/>
    <m/>
    <m/>
    <m/>
    <m/>
    <m/>
    <m/>
    <m/>
    <m/>
    <m/>
    <m/>
    <m/>
    <n v="22419"/>
    <n v="515"/>
    <n v="18279"/>
    <n v="339"/>
    <m/>
    <m/>
    <m/>
    <n v="17409"/>
    <n v="18199"/>
    <m/>
    <m/>
    <n v="97091"/>
    <n v="77996"/>
    <m/>
    <n v="4990"/>
    <n v="0"/>
    <n v="4822"/>
    <n v="1.0900000000000001"/>
    <n v="2299.69"/>
    <n v="1.1599999999999999"/>
    <n v="1.55"/>
    <n v="1.57"/>
    <n v="1.51"/>
    <n v="55.58"/>
    <n v="32710.16"/>
    <n v="95.25"/>
    <n v="47.63"/>
    <n v="100"/>
    <x v="13"/>
    <n v="52.2"/>
    <n v="14"/>
    <n v="28.41"/>
    <n v="90"/>
    <n v="13.1"/>
    <n v="259"/>
    <n v="319.81"/>
    <n v="8.6999999999999993"/>
    <n v="15.9"/>
    <n v="160.30000000000001"/>
    <n v="100"/>
    <n v="38.340000000000003"/>
    <n v="27.4"/>
    <n v="1.1599999999999999"/>
    <n v="183.99"/>
    <n v="47.79"/>
    <n v="2.48"/>
    <n v="74.959999999999994"/>
    <n v="5.79"/>
    <n v="41.67"/>
    <n v="0"/>
    <n v="0"/>
    <n v="7.73"/>
    <n v="55.58"/>
    <n v="38.06"/>
    <n v="4.88"/>
    <n v="0"/>
    <n v="71.14"/>
    <n v="20.5"/>
    <n v="8.35"/>
    <n v="91.67"/>
    <n v="94.39"/>
    <n v="0.61"/>
    <n v="25.57"/>
    <n v="38.340000000000003"/>
    <n v="0.47"/>
    <n v="49.54"/>
    <n v="53.86"/>
    <n v="487.64"/>
    <n v="50.45"/>
    <n v="13.8"/>
    <n v="169"/>
    <n v="99.5"/>
    <n v="36.6"/>
    <n v="0"/>
    <n v="0.62"/>
    <n v="0.18"/>
    <n v="0.42"/>
    <m/>
    <m/>
    <m/>
    <m/>
    <n v="2.29"/>
    <n v="1.85"/>
    <m/>
    <n v="123.18"/>
    <n v="104.99"/>
    <m/>
    <m/>
    <n v="0"/>
    <n v="103.48"/>
    <n v="141.93"/>
    <n v="294.61"/>
  </r>
  <r>
    <n v="510760"/>
    <x v="0"/>
    <s v="MT"/>
    <x v="14"/>
    <n v="51076011"/>
    <s v="Serviço de Saneamento Ambiental de Rondonópolis"/>
    <s v="SANEAR"/>
    <s v="Local"/>
    <s v="Água e Esgoto"/>
    <s v="Autarquia"/>
    <x v="0"/>
    <m/>
    <m/>
    <m/>
    <m/>
    <n v="3"/>
    <n v="0"/>
    <m/>
    <m/>
    <m/>
    <x v="0"/>
    <x v="0"/>
    <x v="0"/>
    <x v="0"/>
    <x v="0"/>
    <n v="179094"/>
    <n v="170995"/>
    <n v="178809"/>
    <n v="172783"/>
    <n v="54653"/>
    <n v="51696"/>
    <n v="61822"/>
    <n v="59268"/>
    <n v="49848"/>
    <n v="46835"/>
    <n v="513.02"/>
    <n v="480.97"/>
    <n v="20753.48"/>
    <n v="10479.43"/>
    <n v="9407.5400000000009"/>
    <n v="10036.219999999999"/>
    <n v="9750.4"/>
    <n v="20753.48"/>
    <n v="56135"/>
    <n v="54042"/>
    <n v="56221"/>
    <n v="53594"/>
    <n v="10274.049999999999"/>
    <n v="0"/>
    <n v="0"/>
    <n v="0"/>
    <n v="8238.25"/>
    <n v="58267"/>
    <n v="56049"/>
    <n v="50990"/>
    <n v="48841"/>
    <n v="1411.13"/>
    <n v="7814"/>
    <n v="170995"/>
    <n v="164969"/>
    <n v="0"/>
    <n v="13957.26"/>
    <n v="59867"/>
    <n v="55000"/>
    <n v="15527"/>
    <n v="13617"/>
    <n v="18786"/>
    <n v="16991"/>
    <n v="273.75"/>
    <n v="273.75"/>
    <n v="4147.7"/>
    <n v="3459.27"/>
    <n v="2894.59"/>
    <n v="15523"/>
    <n v="14309"/>
    <n v="17105"/>
    <n v="15737"/>
    <n v="0"/>
    <n v="0"/>
    <n v="0"/>
    <m/>
    <n v="0"/>
    <n v="59867"/>
    <n v="55000"/>
    <n v="582.41999999999996"/>
    <n v="20316588.890000001"/>
    <n v="15792616.359999999"/>
    <n v="4523972.53"/>
    <n v="2144396.81"/>
    <n v="22460985.699999999"/>
    <n v="22524621.66"/>
    <n v="0"/>
    <n v="7466371.2400000002"/>
    <n v="5568488"/>
    <n v="922588.46"/>
    <n v="586732.06000000006"/>
    <n v="5887928.71"/>
    <n v="9545222.8300000001"/>
    <n v="17152124.140000001"/>
    <n v="0"/>
    <n v="17152124.140000001"/>
    <n v="0"/>
    <n v="0"/>
    <n v="0"/>
    <n v="209652.08"/>
    <n v="0"/>
    <n v="5580101.5800000001"/>
    <n v="743374"/>
    <n v="817043.17"/>
    <n v="36"/>
    <n v="34"/>
    <n v="0"/>
    <n v="0"/>
    <n v="640428.68999999994"/>
    <n v="6500090.0599999996"/>
    <n v="0"/>
    <n v="7140518.75"/>
    <n v="0"/>
    <n v="0"/>
    <n v="0"/>
    <m/>
    <n v="0"/>
    <n v="0"/>
    <m/>
    <m/>
    <m/>
    <m/>
    <m/>
    <m/>
    <m/>
    <m/>
    <m/>
    <m/>
    <m/>
    <m/>
    <m/>
    <m/>
    <m/>
    <m/>
    <s v="Atende parcialmente"/>
    <m/>
    <m/>
    <m/>
    <n v="22003"/>
    <n v="425"/>
    <n v="17181"/>
    <n v="82"/>
    <m/>
    <m/>
    <m/>
    <n v="17181"/>
    <n v="17973"/>
    <m/>
    <m/>
    <n v="93351"/>
    <n v="87480"/>
    <m/>
    <n v="4892"/>
    <n v="0"/>
    <n v="4744"/>
    <n v="1.1299999999999999"/>
    <n v="2240.9499999999998"/>
    <n v="1.35"/>
    <n v="1.6"/>
    <n v="1.61"/>
    <n v="1.56"/>
    <n v="61.02"/>
    <n v="26359.67"/>
    <n v="90.91"/>
    <n v="48.63"/>
    <n v="100"/>
    <x v="14"/>
    <n v="49.59"/>
    <n v="14.3"/>
    <n v="41.32"/>
    <n v="83.4"/>
    <n v="13.4"/>
    <n v="397"/>
    <n v="197.5"/>
    <n v="8.6999999999999993"/>
    <n v="16.670000000000002"/>
    <n v="156.4"/>
    <n v="100"/>
    <n v="35.01"/>
    <n v="28.6"/>
    <n v="1.35"/>
    <n v="218.68"/>
    <n v="50.4"/>
    <n v="-0.28000000000000003"/>
    <n v="84.42"/>
    <n v="4.54"/>
    <n v="51.52"/>
    <n v="0"/>
    <n v="0"/>
    <n v="5.37"/>
    <n v="61.02"/>
    <n v="34.32"/>
    <n v="3.42"/>
    <n v="0"/>
    <n v="70.31"/>
    <n v="20.14"/>
    <n v="9.5399999999999991"/>
    <n v="90.98"/>
    <n v="93.73"/>
    <n v="0.65"/>
    <n v="34.46"/>
    <n v="35.01"/>
    <n v="0.51"/>
    <n v="48.11"/>
    <n v="51.3"/>
    <n v="479.48"/>
    <n v="51.88"/>
    <n v="13.8"/>
    <n v="132"/>
    <n v="99.84"/>
    <n v="33.42"/>
    <n v="0"/>
    <n v="0.67"/>
    <n v="0.14000000000000001"/>
    <n v="0.4"/>
    <m/>
    <m/>
    <m/>
    <m/>
    <n v="1.93"/>
    <n v="0.47"/>
    <m/>
    <n v="122.42"/>
    <n v="100"/>
    <m/>
    <m/>
    <n v="0"/>
    <n v="103.11"/>
    <n v="131.32"/>
    <n v="170.59"/>
  </r>
  <r>
    <n v="510760"/>
    <x v="0"/>
    <s v="MT"/>
    <x v="15"/>
    <n v="51076011"/>
    <s v="Serviço de Saneamento Ambiental de Rondonópolis"/>
    <s v="SANEAR"/>
    <s v="Local"/>
    <s v="Água e Esgoto"/>
    <s v="Autarquia"/>
    <x v="0"/>
    <m/>
    <m/>
    <m/>
    <m/>
    <n v="3"/>
    <n v="0"/>
    <m/>
    <m/>
    <m/>
    <x v="0"/>
    <x v="0"/>
    <x v="0"/>
    <x v="0"/>
    <x v="0"/>
    <n v="172783"/>
    <n v="164969"/>
    <n v="172783"/>
    <n v="163394"/>
    <n v="51696"/>
    <n v="50049"/>
    <n v="59268"/>
    <n v="56379"/>
    <n v="46835"/>
    <n v="41598"/>
    <n v="480.97"/>
    <n v="470.4"/>
    <n v="20263.25"/>
    <n v="10029.59"/>
    <n v="8076.4"/>
    <n v="8773.82"/>
    <n v="9501.92"/>
    <n v="20263.25"/>
    <n v="54042"/>
    <n v="51698"/>
    <n v="53594"/>
    <n v="47036"/>
    <n v="10183.540000000001"/>
    <n v="0"/>
    <n v="0"/>
    <n v="0"/>
    <n v="7223.12"/>
    <n v="56049"/>
    <n v="53389"/>
    <n v="48841"/>
    <n v="42994"/>
    <n v="1703.71"/>
    <n v="1568"/>
    <n v="164969"/>
    <n v="161826"/>
    <n v="0"/>
    <n v="12831.16"/>
    <n v="55000"/>
    <n v="52664"/>
    <n v="13617"/>
    <n v="13187"/>
    <n v="16991"/>
    <n v="16135"/>
    <n v="273.75"/>
    <n v="273"/>
    <n v="3699.2"/>
    <n v="3003.42"/>
    <n v="2753.25"/>
    <n v="14309"/>
    <n v="13474"/>
    <n v="15737"/>
    <n v="14774"/>
    <n v="0"/>
    <n v="0"/>
    <n v="0"/>
    <m/>
    <n v="0"/>
    <n v="55000"/>
    <n v="52664"/>
    <n v="515.52"/>
    <n v="19891616.370000001"/>
    <n v="15537148.640000001"/>
    <n v="4354467.7300000004"/>
    <n v="2060623.44"/>
    <n v="21952239.809999999"/>
    <n v="20114600.390000001"/>
    <n v="0"/>
    <n v="5568488"/>
    <n v="5141433.03"/>
    <n v="860517.94"/>
    <n v="503676.88"/>
    <n v="4867677.58"/>
    <n v="6823787.8600000003"/>
    <n v="13242608.689999999"/>
    <n v="0"/>
    <n v="13242608.689999999"/>
    <n v="258654.04"/>
    <n v="0"/>
    <n v="0"/>
    <n v="186948.43"/>
    <n v="0"/>
    <n v="614544.43000000005"/>
    <n v="282268.24"/>
    <n v="85936.67"/>
    <n v="34"/>
    <n v="32"/>
    <n v="0"/>
    <n v="0"/>
    <n v="688750.16"/>
    <n v="293999.18"/>
    <n v="0"/>
    <n v="1241403.3799999999"/>
    <n v="0"/>
    <n v="0"/>
    <n v="0"/>
    <m/>
    <n v="0"/>
    <n v="0"/>
    <m/>
    <m/>
    <m/>
    <m/>
    <m/>
    <m/>
    <m/>
    <m/>
    <m/>
    <m/>
    <m/>
    <m/>
    <m/>
    <m/>
    <m/>
    <m/>
    <s v="Atende parcialmente"/>
    <m/>
    <m/>
    <m/>
    <n v="18673"/>
    <n v="1325"/>
    <n v="12677"/>
    <n v="165"/>
    <n v="992"/>
    <m/>
    <m/>
    <n v="16602"/>
    <n v="17370"/>
    <m/>
    <m/>
    <n v="83090"/>
    <n v="65892"/>
    <m/>
    <n v="4346"/>
    <n v="8"/>
    <n v="4628"/>
    <n v="1.1299999999999999"/>
    <n v="2254.13"/>
    <n v="1.08"/>
    <n v="1.62"/>
    <n v="1.63"/>
    <n v="1.58"/>
    <n v="58.02"/>
    <n v="26076.3"/>
    <n v="86.91"/>
    <n v="43.51"/>
    <n v="100"/>
    <x v="15"/>
    <n v="48.8"/>
    <n v="13.4"/>
    <n v="42.16"/>
    <n v="81.19"/>
    <n v="13.7"/>
    <n v="295"/>
    <n v="252.42"/>
    <n v="8.6999999999999993"/>
    <n v="17.899999999999999"/>
    <n v="143"/>
    <n v="100"/>
    <n v="33.33"/>
    <n v="29.2"/>
    <n v="1.08"/>
    <n v="178.02"/>
    <n v="51.19"/>
    <n v="8.3699999999999992"/>
    <n v="66.569999999999993"/>
    <n v="4.32"/>
    <n v="38.630000000000003"/>
    <n v="0"/>
    <n v="0"/>
    <n v="6.49"/>
    <n v="58.02"/>
    <n v="36.75"/>
    <n v="3.8"/>
    <n v="0"/>
    <n v="70.77"/>
    <n v="19.829999999999998"/>
    <n v="9.3800000000000008"/>
    <n v="91.43"/>
    <n v="92.05"/>
    <n v="0.64"/>
    <n v="34.229999999999997"/>
    <n v="33.33"/>
    <n v="0.51"/>
    <n v="52.72"/>
    <n v="56.36"/>
    <n v="527"/>
    <n v="47.27"/>
    <n v="12.6"/>
    <n v="101"/>
    <n v="100"/>
    <n v="31.83"/>
    <m/>
    <m/>
    <m/>
    <m/>
    <n v="94"/>
    <n v="0"/>
    <n v="1"/>
    <n v="0.13"/>
    <n v="0.36"/>
    <n v="151.88999999999999"/>
    <n v="218.11"/>
    <m/>
    <m/>
    <m/>
    <m/>
    <m/>
    <m/>
    <m/>
    <m/>
  </r>
  <r>
    <n v="510760"/>
    <x v="0"/>
    <s v="MT"/>
    <x v="16"/>
    <n v="51076011"/>
    <s v="Serviço de Saneamento Ambiental de Rondonópolis"/>
    <s v="SANEAR"/>
    <s v="Local"/>
    <s v="Água e Esgoto"/>
    <s v="Autarquia"/>
    <x v="1"/>
    <n v="0"/>
    <n v="1"/>
    <m/>
    <m/>
    <n v="3"/>
    <n v="0"/>
    <n v="0"/>
    <n v="0"/>
    <n v="1"/>
    <x v="0"/>
    <x v="0"/>
    <x v="1"/>
    <x v="0"/>
    <x v="0"/>
    <n v="169814"/>
    <n v="160331"/>
    <n v="163394"/>
    <n v="168446"/>
    <n v="50049"/>
    <n v="44913"/>
    <n v="56379"/>
    <n v="54212"/>
    <n v="41598"/>
    <n v="33521"/>
    <n v="470.4"/>
    <n v="450.3"/>
    <n v="20658.8"/>
    <n v="8195.4"/>
    <n v="7058.2"/>
    <n v="7413.6"/>
    <n v="8739.2000000000007"/>
    <n v="20658.7"/>
    <n v="51698"/>
    <n v="49782"/>
    <n v="47036"/>
    <n v="40113"/>
    <n v="12463.4"/>
    <n v="0"/>
    <n v="0"/>
    <n v="0"/>
    <n v="6404.9"/>
    <n v="53389"/>
    <n v="51283"/>
    <n v="42994"/>
    <n v="36554"/>
    <n v="1081"/>
    <n v="1616"/>
    <n v="161826"/>
    <n v="166830"/>
    <n v="0"/>
    <n v="12840"/>
    <n v="52664"/>
    <n v="52528"/>
    <n v="13187"/>
    <n v="12436"/>
    <n v="16135"/>
    <n v="16013"/>
    <n v="273"/>
    <n v="271.89999999999998"/>
    <n v="3529"/>
    <n v="2694"/>
    <n v="2637.6"/>
    <n v="13474"/>
    <n v="13439"/>
    <n v="14774"/>
    <n v="14294"/>
    <m/>
    <m/>
    <m/>
    <m/>
    <n v="0"/>
    <n v="52664"/>
    <n v="52528"/>
    <n v="509.9"/>
    <n v="17852473.079999998"/>
    <n v="13621921.01"/>
    <n v="4230552.07"/>
    <n v="888365.81"/>
    <n v="18740838.899999999"/>
    <n v="18740838.899999999"/>
    <n v="0"/>
    <n v="5141433.03"/>
    <n v="3132647.28"/>
    <n v="537202.98"/>
    <n v="603829.52"/>
    <n v="4317431.09"/>
    <n v="2120062.5299999998"/>
    <n v="8695781.2400000002"/>
    <n v="0"/>
    <n v="8695781.2400000002"/>
    <n v="0"/>
    <n v="0"/>
    <n v="0"/>
    <n v="558627.56000000006"/>
    <n v="0"/>
    <n v="395729.81"/>
    <n v="0"/>
    <n v="446218.11"/>
    <n v="32"/>
    <n v="13"/>
    <n v="558627.56000000006"/>
    <n v="0"/>
    <n v="841947.92"/>
    <n v="0"/>
    <n v="0"/>
    <n v="841947.92"/>
    <n v="0"/>
    <n v="0"/>
    <n v="0"/>
    <m/>
    <m/>
    <m/>
    <m/>
    <m/>
    <m/>
    <m/>
    <m/>
    <m/>
    <m/>
    <m/>
    <m/>
    <m/>
    <m/>
    <m/>
    <m/>
    <m/>
    <m/>
    <m/>
    <m/>
    <m/>
    <m/>
    <m/>
    <n v="17493"/>
    <n v="2156"/>
    <n v="4818"/>
    <n v="119"/>
    <m/>
    <m/>
    <m/>
    <n v="18497"/>
    <n v="19241"/>
    <m/>
    <m/>
    <n v="17608"/>
    <n v="17608"/>
    <n v="16800"/>
    <n v="3701"/>
    <n v="72"/>
    <n v="5004"/>
    <n v="1.1599999999999999"/>
    <n v="3171.97"/>
    <n v="0.76"/>
    <n v="1.56"/>
    <n v="1.55"/>
    <n v="1.6"/>
    <n v="30.55"/>
    <n v="23875.69"/>
    <n v="79.099999999999994"/>
    <n v="36.049999999999997"/>
    <n v="99.99"/>
    <x v="16"/>
    <n v="55.36"/>
    <n v="13.5"/>
    <n v="47.6"/>
    <n v="76.33"/>
    <n v="13.2"/>
    <n v="111"/>
    <n v="642.96"/>
    <n v="8.8000000000000007"/>
    <n v="18.739999999999998"/>
    <n v="122.4"/>
    <n v="100"/>
    <n v="32.840000000000003"/>
    <n v="31.1"/>
    <n v="0.76"/>
    <n v="121.84"/>
    <n v="44.63"/>
    <n v="0"/>
    <n v="48.7"/>
    <n v="3"/>
    <n v="14.88"/>
    <n v="0"/>
    <n v="3.12"/>
    <n v="6.17"/>
    <n v="30.55"/>
    <n v="49.64"/>
    <n v="6.94"/>
    <n v="6.42"/>
    <n v="72.680000000000007"/>
    <n v="22.57"/>
    <n v="4.74"/>
    <n v="91.76"/>
    <n v="95.2"/>
    <n v="0.47"/>
    <n v="36.33"/>
    <n v="32.840000000000003"/>
    <n v="0.37"/>
    <n v="62.13"/>
    <n v="72.39"/>
    <n v="701.89"/>
    <n v="37.86"/>
    <n v="11.2"/>
    <n v="104"/>
    <n v="96.21"/>
    <n v="31.01"/>
    <n v="0"/>
    <n v="0.62"/>
    <n v="0.14000000000000001"/>
    <n v="0.32"/>
    <m/>
    <m/>
    <m/>
    <m/>
    <n v="12.32"/>
    <n v="2.46"/>
    <m/>
    <n v="90.91"/>
    <n v="26.04"/>
    <m/>
    <n v="0.95"/>
    <n v="1.94"/>
    <n v="73.959999999999994"/>
    <n v="215.51"/>
    <n v="541.73"/>
  </r>
  <r>
    <n v="510760"/>
    <x v="0"/>
    <s v="MT"/>
    <x v="17"/>
    <n v="51076011"/>
    <s v="Serviço de Saneamento Ambiental de Rondonópolis"/>
    <s v="SANEAR"/>
    <s v="Local"/>
    <s v="Água e Esgoto"/>
    <s v="Autarquia"/>
    <x v="1"/>
    <n v="0"/>
    <n v="1"/>
    <m/>
    <m/>
    <n v="3"/>
    <n v="0"/>
    <n v="0"/>
    <n v="0"/>
    <n v="1"/>
    <x v="0"/>
    <x v="0"/>
    <x v="1"/>
    <x v="0"/>
    <x v="0"/>
    <n v="166830"/>
    <n v="157514"/>
    <n v="168446"/>
    <n v="163000"/>
    <n v="44913"/>
    <n v="45132"/>
    <n v="54212"/>
    <n v="50769"/>
    <n v="33521"/>
    <n v="33994"/>
    <n v="450.3"/>
    <n v="448.6"/>
    <n v="20885.099999999999"/>
    <n v="8072.5"/>
    <n v="6604.6"/>
    <n v="8350"/>
    <n v="8646.7999999999993"/>
    <n v="20885.099999999999"/>
    <n v="49782"/>
    <n v="47255"/>
    <n v="40113"/>
    <n v="38854"/>
    <n v="12812.6"/>
    <n v="0"/>
    <n v="0"/>
    <n v="0"/>
    <n v="5604.8"/>
    <n v="51283"/>
    <n v="49170"/>
    <n v="36554"/>
    <n v="36130"/>
    <n v="941.1"/>
    <n v="0"/>
    <n v="166830"/>
    <n v="163000"/>
    <n v="0"/>
    <n v="12711.1"/>
    <n v="52528"/>
    <n v="56734"/>
    <n v="12436"/>
    <n v="13508"/>
    <n v="16013"/>
    <n v="16719"/>
    <n v="271.89999999999998"/>
    <n v="271.89999999999998"/>
    <n v="2671.7"/>
    <n v="1789"/>
    <n v="2671.7"/>
    <n v="13439"/>
    <n v="14670"/>
    <n v="14294"/>
    <n v="14834"/>
    <m/>
    <m/>
    <m/>
    <m/>
    <n v="0"/>
    <n v="52528"/>
    <n v="56734"/>
    <n v="544.29999999999995"/>
    <n v="12874288.880000001"/>
    <n v="9664278.1899999995"/>
    <n v="3210010.69"/>
    <n v="448327.02"/>
    <n v="13322615.9"/>
    <n v="13322615.9"/>
    <n v="0"/>
    <n v="3132647.28"/>
    <n v="3339487.9"/>
    <n v="430471.69"/>
    <n v="491291.64"/>
    <n v="4546854.76"/>
    <n v="1581011.4"/>
    <n v="7574728.0499999998"/>
    <n v="0"/>
    <n v="7574728.0499999998"/>
    <n v="0"/>
    <n v="0"/>
    <n v="0"/>
    <n v="0"/>
    <n v="0"/>
    <n v="253017.99"/>
    <n v="0"/>
    <n v="253595.77"/>
    <n v="13"/>
    <n v="12"/>
    <n v="525098.56000000006"/>
    <n v="0"/>
    <n v="506613.76000000001"/>
    <n v="0"/>
    <n v="0"/>
    <n v="506613.76000000001"/>
    <n v="0"/>
    <n v="0"/>
    <n v="0"/>
    <m/>
    <m/>
    <m/>
    <m/>
    <m/>
    <m/>
    <m/>
    <m/>
    <m/>
    <m/>
    <m/>
    <m/>
    <m/>
    <m/>
    <m/>
    <m/>
    <m/>
    <m/>
    <m/>
    <m/>
    <n v="0"/>
    <n v="0"/>
    <n v="0"/>
    <n v="16961"/>
    <n v="678"/>
    <n v="4494"/>
    <n v="4"/>
    <n v="6"/>
    <n v="8640"/>
    <m/>
    <n v="15577"/>
    <n v="16321"/>
    <m/>
    <m/>
    <m/>
    <n v="11930"/>
    <n v="23860"/>
    <n v="3750"/>
    <n v="6"/>
    <n v="4236"/>
    <n v="1.1599999999999999"/>
    <n v="5508.52"/>
    <n v="0.66"/>
    <n v="1.1299999999999999"/>
    <n v="1.1100000000000001"/>
    <n v="1.2"/>
    <n v="26.55"/>
    <n v="34437.730000000003"/>
    <n v="74.97"/>
    <n v="33.11"/>
    <n v="100"/>
    <x v="17"/>
    <n v="56.64"/>
    <n v="13.9"/>
    <n v="31.99"/>
    <n v="66.959999999999994"/>
    <n v="13.7"/>
    <n v="58"/>
    <n v="1178.8599999999999"/>
    <n v="8.9"/>
    <n v="18.66"/>
    <n v="138"/>
    <n v="100"/>
    <n v="33.340000000000003"/>
    <n v="33.200000000000003"/>
    <n v="0.66"/>
    <n v="110"/>
    <n v="43.35"/>
    <n v="0"/>
    <n v="58.83"/>
    <n v="3.34"/>
    <n v="15.62"/>
    <n v="0"/>
    <n v="4.07"/>
    <n v="5.68"/>
    <n v="26.55"/>
    <n v="60.02"/>
    <n v="6.48"/>
    <n v="6.93"/>
    <n v="72.540000000000006"/>
    <n v="24.09"/>
    <n v="3.36"/>
    <n v="92.43"/>
    <n v="79.09"/>
    <n v="0.27"/>
    <n v="21.42"/>
    <n v="33.340000000000003"/>
    <n v="0.21"/>
    <n v="58.13"/>
    <n v="70.67"/>
    <n v="705.52"/>
    <n v="41.86"/>
    <n v="13.3"/>
    <n v="88"/>
    <n v="100"/>
    <n v="31.48"/>
    <n v="0"/>
    <n v="0.6"/>
    <n v="0.2"/>
    <n v="0.34"/>
    <m/>
    <m/>
    <m/>
    <m/>
    <n v="3.99"/>
    <n v="0.08"/>
    <n v="1440"/>
    <n v="103.92"/>
    <n v="28.85"/>
    <n v="0.02"/>
    <n v="2"/>
    <n v="0.16"/>
    <n v="88.52"/>
    <n v="175.88"/>
    <n v="992.89"/>
  </r>
  <r>
    <n v="510760"/>
    <x v="0"/>
    <s v="MT"/>
    <x v="18"/>
    <n v="51076011"/>
    <s v="Serviço de Saneamento Ambiental de Rondonópolis"/>
    <s v="SANEAR"/>
    <s v="Local"/>
    <s v="Água e Esgoto"/>
    <s v="Autarquia"/>
    <x v="1"/>
    <n v="0"/>
    <n v="1"/>
    <m/>
    <m/>
    <n v="3"/>
    <n v="0"/>
    <n v="0"/>
    <n v="0"/>
    <n v="1"/>
    <x v="0"/>
    <x v="0"/>
    <x v="1"/>
    <x v="0"/>
    <x v="0"/>
    <n v="163824"/>
    <n v="154676"/>
    <n v="163000"/>
    <n v="150000"/>
    <n v="45132"/>
    <n v="44400"/>
    <n v="50769"/>
    <n v="49821"/>
    <n v="33994"/>
    <n v="33885"/>
    <n v="448.6"/>
    <n v="422"/>
    <n v="20324.2"/>
    <n v="8236.7999999999993"/>
    <n v="6844.3"/>
    <n v="8331.5"/>
    <n v="8335.7999999999993"/>
    <n v="20324.2"/>
    <n v="47255"/>
    <n v="46357"/>
    <n v="38854"/>
    <n v="38623"/>
    <n v="12087.4"/>
    <n v="0"/>
    <n v="0"/>
    <n v="0"/>
    <n v="6109.1"/>
    <n v="49170"/>
    <n v="47516"/>
    <n v="36130"/>
    <n v="35984"/>
    <n v="840"/>
    <n v="0"/>
    <n v="163000"/>
    <n v="150000"/>
    <n v="0"/>
    <n v="12440"/>
    <n v="56734"/>
    <n v="55704"/>
    <n v="13508"/>
    <n v="12758"/>
    <n v="16719"/>
    <n v="15477"/>
    <n v="271.89999999999998"/>
    <n v="233.6"/>
    <n v="2924.4"/>
    <n v="2390.6"/>
    <n v="2706.4"/>
    <n v="14670"/>
    <n v="13706"/>
    <n v="14834"/>
    <n v="13926"/>
    <m/>
    <m/>
    <m/>
    <m/>
    <n v="0"/>
    <n v="56734"/>
    <n v="55704"/>
    <n v="585"/>
    <n v="11892706.49"/>
    <n v="9164129.5500000007"/>
    <n v="2728576.94"/>
    <n v="0"/>
    <n v="11892706.49"/>
    <n v="12164701.550000001"/>
    <n v="0"/>
    <n v="3339487.9"/>
    <n v="3664185.54"/>
    <n v="661382.46"/>
    <n v="486692.26"/>
    <n v="3020171.43"/>
    <n v="1786953.06"/>
    <n v="5955199.21"/>
    <n v="0"/>
    <n v="5955199.21"/>
    <n v="0"/>
    <n v="0"/>
    <n v="0"/>
    <n v="0"/>
    <n v="0"/>
    <n v="316084.12"/>
    <n v="0"/>
    <n v="320235.57"/>
    <n v="12"/>
    <n v="12"/>
    <n v="0"/>
    <n v="0"/>
    <n v="636319.68999999994"/>
    <n v="0"/>
    <n v="0"/>
    <n v="636319.68999999994"/>
    <n v="0"/>
    <n v="0"/>
    <n v="0"/>
    <m/>
    <m/>
    <m/>
    <m/>
    <m/>
    <m/>
    <m/>
    <m/>
    <m/>
    <m/>
    <m/>
    <m/>
    <m/>
    <m/>
    <m/>
    <m/>
    <m/>
    <m/>
    <m/>
    <m/>
    <n v="0"/>
    <n v="0"/>
    <n v="0"/>
    <n v="13161"/>
    <n v="2462"/>
    <n v="4001"/>
    <n v="28"/>
    <n v="0"/>
    <n v="0"/>
    <n v="0"/>
    <n v="15248"/>
    <n v="19064"/>
    <n v="0"/>
    <n v="0"/>
    <n v="49178"/>
    <n v="49178"/>
    <m/>
    <n v="3297"/>
    <n v="16"/>
    <n v="4464"/>
    <n v="1.1200000000000001"/>
    <n v="5532.75"/>
    <n v="0.53"/>
    <n v="1.07"/>
    <n v="1.0900000000000001"/>
    <n v="1"/>
    <n v="41.11"/>
    <n v="55115.199999999997"/>
    <n v="75.81"/>
    <n v="35.119999999999997"/>
    <n v="100"/>
    <x v="18"/>
    <n v="57.21"/>
    <n v="14.7"/>
    <n v="35.1"/>
    <n v="81.739999999999995"/>
    <n v="13.8"/>
    <n v="44"/>
    <n v="1494.59"/>
    <n v="9"/>
    <n v="17.57"/>
    <n v="145.9"/>
    <n v="100"/>
    <n v="36.67"/>
    <n v="33.700000000000003"/>
    <n v="0.53"/>
    <n v="89.69"/>
    <n v="42.78"/>
    <n v="-2.2799999999999998"/>
    <n v="50.07"/>
    <n v="5.56"/>
    <n v="20.58"/>
    <n v="0"/>
    <n v="0"/>
    <n v="11.1"/>
    <n v="41.11"/>
    <n v="50.71"/>
    <n v="8.17"/>
    <n v="0"/>
    <n v="77.05"/>
    <n v="22.94"/>
    <n v="0"/>
    <n v="93.06"/>
    <n v="82.14"/>
    <n v="0.26"/>
    <n v="28.69"/>
    <n v="36.67"/>
    <n v="0.2"/>
    <n v="57.23"/>
    <n v="70.19"/>
    <n v="682.55"/>
    <n v="42.76"/>
    <n v="13.8"/>
    <n v="101"/>
    <n v="99.49"/>
    <n v="34.630000000000003"/>
    <n v="0"/>
    <n v="0.61"/>
    <n v="0.2"/>
    <n v="0.23"/>
    <m/>
    <m/>
    <m/>
    <m/>
    <n v="18.7"/>
    <n v="0.69"/>
    <m/>
    <n v="69.03"/>
    <n v="26.23"/>
    <n v="0"/>
    <m/>
    <n v="0.48"/>
    <n v="73.849999999999994"/>
    <n v="204.27"/>
    <n v="1303.3800000000001"/>
  </r>
  <r>
    <n v="510760"/>
    <x v="0"/>
    <s v="MT"/>
    <x v="19"/>
    <n v="51076011"/>
    <s v="Serviço de Saneamento Ambiental de Rondonópolis"/>
    <s v="SANEAR"/>
    <s v="Local"/>
    <s v="Água e Esgoto"/>
    <s v="Autarquia"/>
    <x v="1"/>
    <n v="0"/>
    <n v="1"/>
    <m/>
    <m/>
    <n v="3"/>
    <n v="0"/>
    <n v="0"/>
    <n v="0"/>
    <n v="1"/>
    <x v="0"/>
    <x v="0"/>
    <x v="1"/>
    <x v="0"/>
    <x v="0"/>
    <n v="158391"/>
    <n v="149546"/>
    <n v="150000"/>
    <n v="150000"/>
    <n v="44400"/>
    <n v="42041"/>
    <n v="49821"/>
    <n v="47019"/>
    <n v="33885"/>
    <n v="33895"/>
    <n v="422"/>
    <n v="402.9"/>
    <n v="18872.900000000001"/>
    <n v="8358.7999999999993"/>
    <n v="7002"/>
    <n v="8292"/>
    <n v="8292"/>
    <n v="0"/>
    <n v="46357"/>
    <n v="43005"/>
    <n v="38623"/>
    <n v="38611"/>
    <n v="10514.1"/>
    <n v="0"/>
    <n v="0"/>
    <n v="0"/>
    <n v="6237"/>
    <n v="47516"/>
    <n v="45375"/>
    <n v="35984"/>
    <n v="35032"/>
    <n v="0"/>
    <n v="0"/>
    <n v="150000"/>
    <n v="150000"/>
    <n v="0"/>
    <n v="15664.31"/>
    <n v="55704"/>
    <n v="54916"/>
    <n v="12758"/>
    <n v="10563"/>
    <n v="15477"/>
    <n v="15209"/>
    <n v="233.6"/>
    <n v="233.6"/>
    <n v="2755"/>
    <n v="2755"/>
    <n v="2755"/>
    <n v="13706"/>
    <n v="12859"/>
    <n v="13926"/>
    <n v="11203"/>
    <m/>
    <m/>
    <m/>
    <m/>
    <n v="0"/>
    <n v="55704"/>
    <n v="54916"/>
    <n v="7037.6"/>
    <n v="9650905.6999999993"/>
    <n v="7378737"/>
    <n v="2272168.7000000002"/>
    <n v="0"/>
    <n v="9650905.6999999993"/>
    <n v="9978284.3900000006"/>
    <n v="0"/>
    <n v="3664185.54"/>
    <n v="2099986.2000000002"/>
    <n v="344719.72"/>
    <n v="368197.18"/>
    <n v="2676368.91"/>
    <n v="1687728.12"/>
    <n v="5077013.93"/>
    <n v="0"/>
    <n v="5077013.93"/>
    <n v="0"/>
    <n v="0"/>
    <n v="0"/>
    <n v="0"/>
    <n v="0"/>
    <n v="285398.15999999997"/>
    <n v="0"/>
    <n v="147803.29"/>
    <n v="12"/>
    <n v="12"/>
    <n v="0"/>
    <n v="0"/>
    <n v="433201.45"/>
    <n v="0"/>
    <n v="0"/>
    <n v="433201.45"/>
    <n v="0"/>
    <n v="0"/>
    <n v="0"/>
    <m/>
    <m/>
    <m/>
    <m/>
    <m/>
    <m/>
    <m/>
    <m/>
    <m/>
    <m/>
    <m/>
    <m/>
    <m/>
    <m/>
    <m/>
    <m/>
    <m/>
    <m/>
    <m/>
    <m/>
    <n v="0"/>
    <n v="0"/>
    <n v="0"/>
    <n v="1568"/>
    <n v="624"/>
    <n v="1568"/>
    <n v="8"/>
    <n v="0"/>
    <n v="0"/>
    <n v="0"/>
    <n v="612"/>
    <n v="1380"/>
    <n v="0"/>
    <n v="0"/>
    <n v="0"/>
    <n v="0"/>
    <n v="0"/>
    <n v="1568"/>
    <n v="7"/>
    <n v="1380"/>
    <n v="1.1200000000000001"/>
    <n v="5313.58"/>
    <n v="0.45"/>
    <n v="0.87"/>
    <n v="0.88"/>
    <n v="0.82"/>
    <n v="40.03"/>
    <n v="28726.639999999999"/>
    <n v="78.41"/>
    <n v="37.1"/>
    <n v="0"/>
    <x v="19"/>
    <n v="56.06"/>
    <n v="15.1"/>
    <n v="33.22"/>
    <n v="100"/>
    <n v="14.3"/>
    <n v="71"/>
    <n v="901.22"/>
    <n v="8.9"/>
    <n v="18.59"/>
    <n v="151.5"/>
    <n v="100"/>
    <n v="37.24"/>
    <n v="32.5"/>
    <n v="0.45"/>
    <n v="79.62"/>
    <n v="43.93"/>
    <n v="-3.39"/>
    <n v="52.6"/>
    <n v="3.57"/>
    <n v="21.05"/>
    <n v="0"/>
    <n v="0"/>
    <n v="6.78"/>
    <n v="40.03"/>
    <n v="52.71"/>
    <n v="7.25"/>
    <n v="0"/>
    <n v="76.45"/>
    <n v="23.54"/>
    <n v="0"/>
    <n v="92.27"/>
    <n v="84.44"/>
    <n v="0.27"/>
    <n v="33.22"/>
    <n v="37.24"/>
    <n v="0.21"/>
    <n v="56.06"/>
    <n v="70.28"/>
    <n v="670.71"/>
    <n v="43.93"/>
    <n v="14.3"/>
    <n v="137"/>
    <n v="94.7"/>
    <n v="35.159999999999997"/>
    <n v="0"/>
    <n v="0.82"/>
    <n v="2.5499999999999998"/>
    <n v="0.11"/>
    <m/>
    <m/>
    <m/>
    <m/>
    <n v="39.79"/>
    <n v="0.51"/>
    <m/>
    <n v="113.62"/>
    <n v="256.2"/>
    <n v="0"/>
    <m/>
    <n v="0.44"/>
    <n v="113.62"/>
    <n v="196.53"/>
    <n v="775.68"/>
  </r>
  <r>
    <n v="510760"/>
    <x v="0"/>
    <s v="MT"/>
    <x v="20"/>
    <n v="51076011"/>
    <s v="Serviço de Saneamento Ambiental de Rondonópolis"/>
    <s v="SANEAR"/>
    <s v="Local"/>
    <s v="Água e Esgoto"/>
    <s v="Autarquia"/>
    <x v="1"/>
    <n v="0"/>
    <n v="1"/>
    <m/>
    <m/>
    <n v="3"/>
    <n v="0"/>
    <n v="0"/>
    <n v="0"/>
    <n v="1"/>
    <x v="0"/>
    <x v="0"/>
    <x v="1"/>
    <x v="0"/>
    <x v="0"/>
    <n v="155803"/>
    <n v="147103"/>
    <n v="150000"/>
    <n v="150000"/>
    <n v="42041"/>
    <n v="39334"/>
    <n v="47019"/>
    <n v="44746"/>
    <n v="33895"/>
    <n v="22620"/>
    <n v="402.9"/>
    <n v="402.6"/>
    <n v="19206.8"/>
    <n v="8953.4"/>
    <n v="5893.1"/>
    <n v="7674"/>
    <n v="8103"/>
    <n v="0"/>
    <n v="43005"/>
    <n v="40950"/>
    <n v="38611"/>
    <n v="26897"/>
    <n v="10253.4"/>
    <n v="0"/>
    <n v="0"/>
    <n v="0"/>
    <n v="5166.6000000000004"/>
    <n v="45375"/>
    <n v="43523"/>
    <n v="35032"/>
    <n v="24921"/>
    <n v="0"/>
    <m/>
    <n v="150000"/>
    <n v="150000"/>
    <m/>
    <m/>
    <n v="54916"/>
    <n v="48364"/>
    <n v="10563"/>
    <n v="12035"/>
    <n v="15209"/>
    <n v="14825"/>
    <n v="233.6"/>
    <n v="233.6"/>
    <n v="2823.5"/>
    <n v="2823.5"/>
    <n v="2823.5"/>
    <n v="12859"/>
    <n v="12416"/>
    <n v="11203"/>
    <n v="13213"/>
    <m/>
    <m/>
    <m/>
    <m/>
    <m/>
    <n v="54916"/>
    <n v="48364"/>
    <m/>
    <n v="9362583.2799999993"/>
    <n v="7266114.1299999999"/>
    <n v="2096469.15"/>
    <n v="0"/>
    <n v="9362583.2799999993"/>
    <n v="9958579.7599999998"/>
    <n v="0"/>
    <n v="2099986.2000000002"/>
    <n v="0"/>
    <n v="307801.86"/>
    <n v="300138.53999999998"/>
    <n v="2212031.09"/>
    <n v="1630133.39"/>
    <n v="4450109.88"/>
    <n v="0"/>
    <n v="4450109.88"/>
    <n v="0"/>
    <n v="0"/>
    <n v="0"/>
    <n v="0"/>
    <n v="0"/>
    <n v="229693.05"/>
    <n v="0"/>
    <n v="124014.91"/>
    <n v="12"/>
    <n v="18"/>
    <n v="5"/>
    <n v="0"/>
    <n v="353014.91"/>
    <n v="0"/>
    <n v="0"/>
    <n v="353014.91"/>
    <n v="0"/>
    <n v="0"/>
    <n v="0"/>
    <m/>
    <m/>
    <m/>
    <m/>
    <m/>
    <m/>
    <m/>
    <m/>
    <m/>
    <m/>
    <m/>
    <m/>
    <m/>
    <m/>
    <m/>
    <m/>
    <m/>
    <m/>
    <m/>
    <m/>
    <m/>
    <m/>
    <m/>
    <n v="1330"/>
    <n v="110"/>
    <n v="1330"/>
    <n v="27"/>
    <m/>
    <m/>
    <m/>
    <n v="1095"/>
    <n v="1140"/>
    <m/>
    <m/>
    <n v="45485"/>
    <n v="45485"/>
    <m/>
    <m/>
    <m/>
    <m/>
    <n v="1.1200000000000001"/>
    <n v="4059.96"/>
    <n v="0.4"/>
    <n v="0.85"/>
    <n v="0.89"/>
    <n v="0.74"/>
    <n v="43.54"/>
    <n v="20520.12"/>
    <n v="69.45"/>
    <n v="30.68"/>
    <n v="0"/>
    <x v="20"/>
    <n v="57.81"/>
    <n v="15"/>
    <n v="36.79"/>
    <n v="100"/>
    <n v="14.7"/>
    <n v="94"/>
    <n v="644.84"/>
    <n v="9.1"/>
    <n v="19.13"/>
    <n v="140.19999999999999"/>
    <n v="99.8"/>
    <n v="36.549999999999997"/>
    <n v="34.9"/>
    <n v="0.4"/>
    <n v="73.069999999999993"/>
    <n v="42.18"/>
    <n v="-6.36"/>
    <n v="47.53"/>
    <n v="3.28"/>
    <n v="20.69"/>
    <n v="0"/>
    <n v="0"/>
    <n v="6.91"/>
    <n v="43.54"/>
    <n v="49.7"/>
    <n v="6.74"/>
    <n v="0"/>
    <n v="77.599999999999994"/>
    <n v="22.39"/>
    <n v="0"/>
    <n v="91.48"/>
    <n v="76.790000000000006"/>
    <n v="0.36"/>
    <n v="36.79"/>
    <n v="36.549999999999997"/>
    <n v="0.28000000000000003"/>
    <n v="60.04"/>
    <n v="78.45"/>
    <n v="776.57"/>
    <n v="39.950000000000003"/>
    <n v="13.9"/>
    <n v="81"/>
    <n v="96.27"/>
    <n v="35.24"/>
    <m/>
    <m/>
    <m/>
    <m/>
    <m/>
    <m/>
    <m/>
    <m/>
    <n v="8.27"/>
    <n v="2.0299999999999998"/>
    <m/>
    <n v="116.66"/>
    <n v="121.46"/>
    <m/>
    <m/>
    <m/>
    <m/>
    <m/>
    <m/>
  </r>
  <r>
    <n v="510760"/>
    <x v="0"/>
    <s v="MT"/>
    <x v="21"/>
    <n v="51076011"/>
    <s v="Serviço de Saneamento Ambiental de Rondonópolis"/>
    <s v="SANEAR"/>
    <s v="Local"/>
    <s v="Água e Esgoto"/>
    <s v="Autarquia"/>
    <x v="1"/>
    <n v="0"/>
    <n v="1"/>
    <m/>
    <m/>
    <n v="3"/>
    <n v="0"/>
    <n v="0"/>
    <n v="0"/>
    <n v="1"/>
    <x v="0"/>
    <x v="0"/>
    <x v="1"/>
    <x v="0"/>
    <x v="0"/>
    <n v="153281"/>
    <n v="144721"/>
    <n v="150000"/>
    <n v="145600"/>
    <n v="39334"/>
    <n v="37702"/>
    <n v="44746"/>
    <n v="41319"/>
    <n v="22620"/>
    <n v="22390"/>
    <n v="402.6"/>
    <n v="412.29"/>
    <n v="19031.05"/>
    <n v="8804.0400000000009"/>
    <n v="3979.05"/>
    <n v="6701.41"/>
    <n v="7435.85"/>
    <n v="0"/>
    <n v="40950"/>
    <n v="37949"/>
    <n v="26897"/>
    <n v="25367"/>
    <n v="10226.209999999999"/>
    <n v="0"/>
    <n v="0"/>
    <n v="0"/>
    <n v="3520.43"/>
    <n v="43523"/>
    <n v="41202"/>
    <n v="24921"/>
    <n v="22739"/>
    <n v="0"/>
    <m/>
    <n v="150000"/>
    <m/>
    <m/>
    <m/>
    <n v="48364"/>
    <n v="43600"/>
    <n v="12035"/>
    <n v="11211"/>
    <n v="14825"/>
    <n v="13023"/>
    <n v="233.6"/>
    <n v="218.6"/>
    <n v="2532"/>
    <n v="2420"/>
    <n v="2660"/>
    <n v="12416"/>
    <n v="10897"/>
    <n v="13213"/>
    <n v="12366"/>
    <m/>
    <m/>
    <m/>
    <m/>
    <m/>
    <n v="48364"/>
    <m/>
    <m/>
    <n v="7942083.6600000001"/>
    <n v="6031316.9299999997"/>
    <n v="1910766.73"/>
    <n v="514960.81"/>
    <n v="8457044.4700000007"/>
    <n v="7486163.2000000002"/>
    <n v="0"/>
    <n v="0"/>
    <m/>
    <n v="298430.24"/>
    <n v="126218.7"/>
    <n v="2108247.5699999998"/>
    <n v="1884966.6"/>
    <n v="4417863.1100000003"/>
    <n v="0"/>
    <n v="4417863.1100000003"/>
    <n v="0"/>
    <n v="0"/>
    <n v="0"/>
    <n v="0"/>
    <n v="0"/>
    <n v="215757.32"/>
    <n v="0"/>
    <n v="95823.73"/>
    <n v="18"/>
    <n v="12"/>
    <n v="0"/>
    <n v="0"/>
    <n v="311581.05"/>
    <n v="0"/>
    <n v="0"/>
    <n v="311581.05"/>
    <n v="0"/>
    <m/>
    <m/>
    <m/>
    <m/>
    <m/>
    <m/>
    <m/>
    <m/>
    <m/>
    <m/>
    <m/>
    <m/>
    <m/>
    <m/>
    <m/>
    <m/>
    <m/>
    <m/>
    <m/>
    <m/>
    <m/>
    <m/>
    <m/>
    <m/>
    <m/>
    <n v="1624"/>
    <n v="41"/>
    <n v="1624"/>
    <n v="9"/>
    <m/>
    <m/>
    <m/>
    <n v="1095"/>
    <n v="1152"/>
    <m/>
    <m/>
    <m/>
    <m/>
    <m/>
    <m/>
    <m/>
    <m/>
    <n v="1.1100000000000001"/>
    <n v="3797.1"/>
    <n v="0.43"/>
    <n v="0.78"/>
    <n v="0.81"/>
    <n v="0.71"/>
    <n v="49.42"/>
    <n v="19895.349999999999"/>
    <n v="58.42"/>
    <n v="20.9"/>
    <n v="0"/>
    <x v="21"/>
    <n v="60.92"/>
    <n v="12.7"/>
    <n v="37.78"/>
    <n v="95.57"/>
    <n v="14.4"/>
    <n v="110"/>
    <n v="518.99"/>
    <n v="9.6"/>
    <n v="17.670000000000002"/>
    <n v="124.2"/>
    <n v="100"/>
    <n v="32.24"/>
    <n v="36.9"/>
    <n v="0.43"/>
    <n v="77.56"/>
    <n v="39.07"/>
    <n v="11.48"/>
    <n v="55.62"/>
    <n v="3.75"/>
    <n v="27.49"/>
    <n v="0"/>
    <n v="0"/>
    <n v="6.75"/>
    <n v="49.42"/>
    <n v="47.72"/>
    <n v="2.85"/>
    <n v="0"/>
    <n v="71.31"/>
    <n v="22.59"/>
    <n v="6.08"/>
    <n v="91.67"/>
    <n v="59.37"/>
    <n v="0.38"/>
    <n v="36.11"/>
    <n v="32.24"/>
    <n v="0.28999999999999998"/>
    <n v="64.78"/>
    <n v="82.9"/>
    <n v="876.98"/>
    <n v="35.21"/>
    <n v="13"/>
    <n v="0"/>
    <n v="97.85"/>
    <n v="31.55"/>
    <m/>
    <m/>
    <m/>
    <m/>
    <m/>
    <m/>
    <m/>
    <m/>
    <n v="2.52"/>
    <n v="0.55000000000000004"/>
    <m/>
    <n v="140.97"/>
    <n v="148.31"/>
    <m/>
    <m/>
    <m/>
    <m/>
    <m/>
    <m/>
  </r>
  <r>
    <n v="510760"/>
    <x v="0"/>
    <s v="MT"/>
    <x v="22"/>
    <n v="51076011"/>
    <s v="Serviço de Saneamento Ambiental de Rondonópolis"/>
    <s v="SANEAR"/>
    <s v="Local"/>
    <s v="Água e Esgoto"/>
    <s v="Autarquia"/>
    <x v="1"/>
    <n v="0"/>
    <n v="1"/>
    <m/>
    <m/>
    <n v="3"/>
    <n v="0"/>
    <n v="0"/>
    <n v="0"/>
    <n v="1"/>
    <x v="0"/>
    <x v="0"/>
    <x v="1"/>
    <x v="0"/>
    <x v="0"/>
    <n v="150227"/>
    <n v="141838"/>
    <n v="145600"/>
    <n v="148192"/>
    <n v="37702"/>
    <n v="37048"/>
    <n v="41319"/>
    <n v="43811"/>
    <n v="22390"/>
    <n v="22657"/>
    <n v="412.29"/>
    <n v="405.82"/>
    <n v="15756.2"/>
    <n v="8360"/>
    <n v="3998.19"/>
    <n v="6684.79"/>
    <n v="7497.79"/>
    <m/>
    <n v="37949"/>
    <n v="37786"/>
    <n v="25367"/>
    <n v="25632"/>
    <n v="7396.2"/>
    <n v="0"/>
    <n v="0"/>
    <n v="0"/>
    <n v="3444.1"/>
    <n v="41202"/>
    <n v="40339"/>
    <n v="22739"/>
    <n v="23512"/>
    <n v="0"/>
    <m/>
    <m/>
    <m/>
    <m/>
    <m/>
    <n v="43600"/>
    <n v="35944"/>
    <n v="11211"/>
    <n v="8295"/>
    <n v="13023"/>
    <n v="9826"/>
    <n v="218.6"/>
    <n v="198.15"/>
    <n v="3490"/>
    <n v="3280"/>
    <n v="2079.89"/>
    <n v="10897"/>
    <n v="8406"/>
    <n v="12366"/>
    <n v="8986"/>
    <m/>
    <m/>
    <m/>
    <m/>
    <m/>
    <m/>
    <m/>
    <m/>
    <n v="4013737.25"/>
    <n v="3191945.68"/>
    <n v="821791.57"/>
    <n v="274375.95"/>
    <n v="4288113.2"/>
    <n v="4288113.2"/>
    <n v="0"/>
    <m/>
    <n v="353270.63"/>
    <n v="152073.60999999999"/>
    <n v="98458.4"/>
    <n v="1423552.26"/>
    <n v="1424046.23"/>
    <n v="3358104.6"/>
    <m/>
    <n v="4306267.25"/>
    <m/>
    <m/>
    <n v="0"/>
    <m/>
    <m/>
    <n v="23431.72"/>
    <n v="134950.39000000001"/>
    <n v="145045.26"/>
    <n v="12"/>
    <n v="125"/>
    <n v="259974.1"/>
    <m/>
    <n v="303427.37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n v="1590"/>
    <n v="289"/>
    <n v="1590"/>
    <n v="4"/>
    <m/>
    <m/>
    <m/>
    <n v="1080"/>
    <n v="1140"/>
    <m/>
    <m/>
    <m/>
    <m/>
    <m/>
    <m/>
    <m/>
    <m/>
    <n v="1.1299999999999999"/>
    <n v="788.16"/>
    <n v="0.44"/>
    <n v="0.41"/>
    <n v="0.42"/>
    <n v="0.39"/>
    <n v="36.6"/>
    <n v="2220.0500000000002"/>
    <n v="60.26"/>
    <n v="25.37"/>
    <m/>
    <x v="22"/>
    <n v="52.41"/>
    <n v="13.1"/>
    <n v="52.2"/>
    <n v="93.98"/>
    <n v="14.7"/>
    <n v="710"/>
    <n v="76.040000000000006"/>
    <n v="10"/>
    <n v="19.510000000000002"/>
    <n v="124.7"/>
    <n v="100"/>
    <n v="30.77"/>
    <n v="30.8"/>
    <n v="0.35"/>
    <n v="62.19"/>
    <n v="47.58"/>
    <n v="0"/>
    <n v="83.66"/>
    <n v="3.78"/>
    <n v="39.26"/>
    <m/>
    <m/>
    <n v="4.5199999999999996"/>
    <n v="46.93"/>
    <n v="42.39"/>
    <n v="2.93"/>
    <m/>
    <n v="74.430000000000007"/>
    <n v="19.16"/>
    <n v="6.39"/>
    <n v="88.96"/>
    <n v="59.81"/>
    <n v="1.83"/>
    <n v="49.06"/>
    <n v="30.77"/>
    <n v="1.45"/>
    <n v="57.57"/>
    <n v="60.75"/>
    <n v="664.96"/>
    <n v="42.42"/>
    <n v="13.1"/>
    <m/>
    <m/>
    <m/>
    <m/>
    <m/>
    <m/>
    <m/>
    <m/>
    <m/>
    <m/>
    <m/>
    <n v="18.170000000000002"/>
    <n v="0.25"/>
    <m/>
    <n v="139.47"/>
    <n v="147.22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8E934B-F5E9-45BE-AA3C-7F211935BB1A}" name="Tabela dinâmica3" cacheId="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">
  <location ref="A3:B27" firstHeaderRow="1" firstDataRow="1" firstDataCol="1"/>
  <pivotFields count="235">
    <pivotField showAll="0"/>
    <pivotField showAll="0">
      <items count="2">
        <item x="0"/>
        <item t="default"/>
      </items>
    </pivotField>
    <pivotField showAll="0"/>
    <pivotField axis="axisRow" showAll="0">
      <items count="24"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3" showAll="0"/>
    <pivotField showAll="0"/>
    <pivotField numFmtId="3" showAll="0"/>
    <pivotField numFmtId="3" showAll="0"/>
    <pivotField numFmtId="3" showAll="0"/>
    <pivotField numFmtId="3" showAll="0"/>
    <pivotField numFmtId="3" showAll="0"/>
    <pivotField numFmtId="3" showAll="0"/>
    <pivotField numFmtId="3" showAll="0"/>
    <pivotField numFmtId="3" showAll="0"/>
    <pivotField showAll="0"/>
    <pivotField showAll="0"/>
    <pivotField numFmtId="4" showAll="0"/>
    <pivotField numFmtId="4" showAll="0"/>
    <pivotField numFmtId="4" showAll="0"/>
    <pivotField numFmtId="4" showAll="0"/>
    <pivotField numFmtId="4" showAll="0"/>
    <pivotField showAll="0"/>
    <pivotField numFmtId="3" showAll="0"/>
    <pivotField numFmtId="3" showAll="0"/>
    <pivotField numFmtId="3" showAll="0"/>
    <pivotField numFmtId="3" showAll="0"/>
    <pivotField numFmtId="4" showAll="0"/>
    <pivotField showAll="0"/>
    <pivotField showAll="0"/>
    <pivotField showAll="0"/>
    <pivotField numFmtId="4" showAll="0"/>
    <pivotField numFmtId="3" showAll="0"/>
    <pivotField numFmtId="3" showAll="0"/>
    <pivotField numFmtId="3" showAll="0"/>
    <pivotField numFmtId="3" showAll="0"/>
    <pivotField showAll="0"/>
    <pivotField showAll="0"/>
    <pivotField showAll="0"/>
    <pivotField showAll="0"/>
    <pivotField showAll="0"/>
    <pivotField showAll="0"/>
    <pivotField numFmtId="3" showAll="0"/>
    <pivotField numFmtId="3" showAll="0"/>
    <pivotField numFmtId="3" showAll="0"/>
    <pivotField numFmtId="3" showAll="0"/>
    <pivotField numFmtId="3" showAll="0"/>
    <pivotField numFmtId="3" showAll="0"/>
    <pivotField showAll="0"/>
    <pivotField showAll="0"/>
    <pivotField numFmtId="4" showAll="0"/>
    <pivotField numFmtId="4" showAll="0"/>
    <pivotField numFmtId="4" showAll="0"/>
    <pivotField showAll="0"/>
    <pivotField showAll="0"/>
    <pivotField numFmtId="3" showAll="0"/>
    <pivotField numFmtId="3"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4" showAll="0"/>
    <pivotField numFmtId="4" showAll="0"/>
    <pivotField numFmtId="4" showAll="0"/>
    <pivotField showAll="0"/>
    <pivotField numFmtId="4" showAll="0"/>
    <pivotField numFmtId="4" showAll="0"/>
    <pivotField showAll="0"/>
    <pivotField showAll="0"/>
    <pivotField showAll="0"/>
    <pivotField numFmtId="4" showAll="0"/>
    <pivotField numFmtId="4" showAll="0"/>
    <pivotField numFmtId="4" showAll="0"/>
    <pivotField numFmtId="4" showAll="0"/>
    <pivotField numFmtId="4" showAll="0"/>
    <pivotField showAll="0"/>
    <pivotField numFmtId="4" showAll="0"/>
    <pivotField showAll="0"/>
    <pivotField showAll="0"/>
    <pivotField showAll="0"/>
    <pivotField showAll="0"/>
    <pivotField showAll="0"/>
    <pivotField numFmtId="4" showAll="0"/>
    <pivotField showAll="0"/>
    <pivotField numFmtId="4" showAll="0"/>
    <pivotField showAll="0"/>
    <pivotField showAll="0"/>
    <pivotField showAll="0"/>
    <pivotField showAll="0"/>
    <pivotField numFmtId="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3" showAll="0"/>
    <pivotField showAll="0"/>
    <pivotField numFmtId="3" showAll="0"/>
    <pivotField showAll="0"/>
    <pivotField showAll="0"/>
    <pivotField showAll="0"/>
    <pivotField showAll="0"/>
    <pivotField showAll="0"/>
    <pivotField numFmtId="3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4" showAll="0"/>
    <pivotField showAll="0"/>
    <pivotField showAll="0"/>
    <pivotField showAll="0"/>
    <pivotField dataField="1" showAll="0">
      <items count="24">
        <item x="22"/>
        <item x="8"/>
        <item x="14"/>
        <item x="0"/>
        <item x="4"/>
        <item x="2"/>
        <item x="3"/>
        <item x="13"/>
        <item x="6"/>
        <item x="9"/>
        <item x="1"/>
        <item x="5"/>
        <item x="12"/>
        <item x="15"/>
        <item x="7"/>
        <item x="10"/>
        <item x="17"/>
        <item x="11"/>
        <item x="21"/>
        <item x="19"/>
        <item x="18"/>
        <item x="16"/>
        <item x="2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Items count="1">
    <i/>
  </colItems>
  <dataFields count="1">
    <dataField name="Soma de IN012 - Indicador de desempenho financeiro" fld="171" baseField="0" baseItem="0"/>
  </dataFields>
  <chartFormats count="2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8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9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0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1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2"/>
          </reference>
        </references>
      </pivotArea>
    </chartFormat>
    <chartFormat chart="0" format="2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28EB04-23D9-4D7D-8650-1376BA0DD42A}" name="Tabela dinâmica4" cacheId="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B32:D56" firstHeaderRow="0" firstDataRow="1" firstDataCol="1"/>
  <pivotFields count="235">
    <pivotField showAll="0"/>
    <pivotField showAll="0">
      <items count="2">
        <item x="0"/>
        <item t="default"/>
      </items>
    </pivotField>
    <pivotField showAll="0"/>
    <pivotField axis="axisRow" showAll="0">
      <items count="24"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3" showAll="0"/>
    <pivotField showAll="0"/>
    <pivotField numFmtId="3" showAll="0"/>
    <pivotField numFmtId="3" showAll="0"/>
    <pivotField numFmtId="3" showAll="0"/>
    <pivotField numFmtId="3" showAll="0"/>
    <pivotField numFmtId="3" showAll="0"/>
    <pivotField numFmtId="3" showAll="0"/>
    <pivotField numFmtId="3" showAll="0"/>
    <pivotField numFmtId="3" showAll="0"/>
    <pivotField showAll="0"/>
    <pivotField showAll="0"/>
    <pivotField numFmtId="4" showAll="0"/>
    <pivotField numFmtId="4" showAll="0"/>
    <pivotField numFmtId="4" showAll="0"/>
    <pivotField numFmtId="4" showAll="0"/>
    <pivotField numFmtId="4" showAll="0"/>
    <pivotField showAll="0"/>
    <pivotField numFmtId="3" showAll="0"/>
    <pivotField numFmtId="3" showAll="0"/>
    <pivotField numFmtId="3" showAll="0"/>
    <pivotField numFmtId="3" showAll="0"/>
    <pivotField numFmtId="4" showAll="0"/>
    <pivotField showAll="0"/>
    <pivotField showAll="0"/>
    <pivotField showAll="0"/>
    <pivotField numFmtId="4" showAll="0"/>
    <pivotField numFmtId="3" showAll="0"/>
    <pivotField numFmtId="3" showAll="0"/>
    <pivotField numFmtId="3" showAll="0"/>
    <pivotField numFmtId="3" showAll="0"/>
    <pivotField showAll="0"/>
    <pivotField showAll="0"/>
    <pivotField showAll="0"/>
    <pivotField showAll="0"/>
    <pivotField showAll="0"/>
    <pivotField showAll="0"/>
    <pivotField numFmtId="3" showAll="0"/>
    <pivotField numFmtId="3" showAll="0"/>
    <pivotField numFmtId="3" showAll="0"/>
    <pivotField numFmtId="3" showAll="0"/>
    <pivotField numFmtId="3" showAll="0"/>
    <pivotField numFmtId="3" showAll="0"/>
    <pivotField showAll="0"/>
    <pivotField showAll="0"/>
    <pivotField numFmtId="4" showAll="0"/>
    <pivotField numFmtId="4" showAll="0"/>
    <pivotField numFmtId="4" showAll="0"/>
    <pivotField showAll="0"/>
    <pivotField showAll="0"/>
    <pivotField numFmtId="3" showAll="0"/>
    <pivotField numFmtId="3"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4" showAll="0"/>
    <pivotField numFmtId="4" showAll="0"/>
    <pivotField numFmtId="4" showAll="0"/>
    <pivotField showAll="0"/>
    <pivotField numFmtId="4" showAll="0"/>
    <pivotField numFmtId="4" showAll="0"/>
    <pivotField showAll="0"/>
    <pivotField showAll="0"/>
    <pivotField showAll="0"/>
    <pivotField numFmtId="4" showAll="0"/>
    <pivotField numFmtId="4" showAll="0"/>
    <pivotField numFmtId="4" showAll="0"/>
    <pivotField numFmtId="4" showAll="0"/>
    <pivotField numFmtId="4" showAll="0"/>
    <pivotField showAll="0"/>
    <pivotField numFmtId="4" showAll="0"/>
    <pivotField showAll="0"/>
    <pivotField showAll="0"/>
    <pivotField showAll="0"/>
    <pivotField showAll="0"/>
    <pivotField showAll="0"/>
    <pivotField numFmtId="4" showAll="0"/>
    <pivotField showAll="0"/>
    <pivotField numFmtId="4" showAll="0"/>
    <pivotField showAll="0"/>
    <pivotField showAll="0"/>
    <pivotField showAll="0"/>
    <pivotField showAll="0"/>
    <pivotField numFmtId="4"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3" showAll="0"/>
    <pivotField showAll="0"/>
    <pivotField numFmtId="3" showAll="0"/>
    <pivotField showAll="0"/>
    <pivotField showAll="0"/>
    <pivotField showAll="0"/>
    <pivotField showAll="0"/>
    <pivotField showAll="0"/>
    <pivotField numFmtId="3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4" showAll="0"/>
    <pivotField showAll="0"/>
    <pivotField showAll="0"/>
    <pivotField showAll="0"/>
    <pivotField showAll="0">
      <items count="24">
        <item x="22"/>
        <item x="8"/>
        <item x="14"/>
        <item x="0"/>
        <item x="4"/>
        <item x="2"/>
        <item x="3"/>
        <item x="13"/>
        <item x="6"/>
        <item x="9"/>
        <item x="1"/>
        <item x="5"/>
        <item x="12"/>
        <item x="15"/>
        <item x="7"/>
        <item x="10"/>
        <item x="17"/>
        <item x="11"/>
        <item x="21"/>
        <item x="19"/>
        <item x="18"/>
        <item x="16"/>
        <item x="2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Fields count="1">
    <field x="-2"/>
  </colFields>
  <colItems count="2">
    <i>
      <x/>
    </i>
    <i i="1">
      <x v="1"/>
    </i>
  </colItems>
  <dataFields count="2">
    <dataField name="Soma de FN033 - Investimentos totais realizados pelo prestador de serviços" fld="116" baseField="3" baseItem="0" numFmtId="165"/>
    <dataField name="Soma de FN048 - Investimentos totais realizados pelo(s) município(s)" fld="130" baseField="0" baseItem="0"/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50951C-D325-4B76-A3AC-C0AA2D97C7D2}" name="Tabela dinâmica3" cacheId="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B2:C26" firstHeaderRow="1" firstDataRow="1" firstDataCol="1"/>
  <pivotFields count="235">
    <pivotField showAll="0"/>
    <pivotField showAll="0">
      <items count="2">
        <item x="0"/>
        <item t="default"/>
      </items>
    </pivotField>
    <pivotField showAll="0"/>
    <pivotField axis="axisRow" showAll="0">
      <items count="24"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3" showAll="0"/>
    <pivotField showAll="0"/>
    <pivotField numFmtId="3" showAll="0"/>
    <pivotField numFmtId="3" showAll="0"/>
    <pivotField numFmtId="3" showAll="0"/>
    <pivotField numFmtId="3" showAll="0"/>
    <pivotField numFmtId="3" showAll="0"/>
    <pivotField numFmtId="3" showAll="0"/>
    <pivotField numFmtId="3" showAll="0"/>
    <pivotField numFmtId="3" showAll="0"/>
    <pivotField showAll="0"/>
    <pivotField showAll="0"/>
    <pivotField numFmtId="4" showAll="0"/>
    <pivotField numFmtId="4" showAll="0"/>
    <pivotField numFmtId="4" showAll="0"/>
    <pivotField numFmtId="4" showAll="0"/>
    <pivotField numFmtId="4" showAll="0"/>
    <pivotField showAll="0"/>
    <pivotField numFmtId="3" showAll="0"/>
    <pivotField numFmtId="3" showAll="0"/>
    <pivotField numFmtId="3" showAll="0"/>
    <pivotField numFmtId="3" showAll="0"/>
    <pivotField numFmtId="4" showAll="0"/>
    <pivotField showAll="0"/>
    <pivotField showAll="0"/>
    <pivotField showAll="0"/>
    <pivotField numFmtId="4" showAll="0"/>
    <pivotField numFmtId="3" showAll="0"/>
    <pivotField numFmtId="3" showAll="0"/>
    <pivotField numFmtId="3" showAll="0"/>
    <pivotField numFmtId="3" showAll="0"/>
    <pivotField showAll="0"/>
    <pivotField showAll="0"/>
    <pivotField showAll="0"/>
    <pivotField showAll="0"/>
    <pivotField showAll="0"/>
    <pivotField showAll="0"/>
    <pivotField numFmtId="3" showAll="0"/>
    <pivotField numFmtId="3" showAll="0"/>
    <pivotField numFmtId="3" showAll="0"/>
    <pivotField numFmtId="3" showAll="0"/>
    <pivotField numFmtId="3" showAll="0"/>
    <pivotField numFmtId="3" showAll="0"/>
    <pivotField showAll="0"/>
    <pivotField showAll="0"/>
    <pivotField numFmtId="4" showAll="0"/>
    <pivotField numFmtId="4" showAll="0"/>
    <pivotField numFmtId="4" showAll="0"/>
    <pivotField showAll="0"/>
    <pivotField showAll="0"/>
    <pivotField numFmtId="3" showAll="0"/>
    <pivotField numFmtId="3"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4" showAll="0"/>
    <pivotField numFmtId="4" showAll="0"/>
    <pivotField numFmtId="4" showAll="0"/>
    <pivotField showAll="0"/>
    <pivotField numFmtId="4" showAll="0"/>
    <pivotField numFmtId="4" showAll="0"/>
    <pivotField showAll="0"/>
    <pivotField showAll="0"/>
    <pivotField showAll="0"/>
    <pivotField numFmtId="4" showAll="0"/>
    <pivotField numFmtId="4" showAll="0"/>
    <pivotField numFmtId="4" showAll="0"/>
    <pivotField numFmtId="4" showAll="0"/>
    <pivotField numFmtId="4" showAll="0"/>
    <pivotField showAll="0"/>
    <pivotField numFmtId="4" showAll="0"/>
    <pivotField showAll="0"/>
    <pivotField showAll="0"/>
    <pivotField showAll="0"/>
    <pivotField showAll="0"/>
    <pivotField showAll="0"/>
    <pivotField numFmtId="4" showAll="0"/>
    <pivotField showAll="0"/>
    <pivotField numFmtId="4" showAll="0"/>
    <pivotField showAll="0"/>
    <pivotField showAll="0"/>
    <pivotField showAll="0"/>
    <pivotField showAll="0"/>
    <pivotField numFmtId="4"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3" showAll="0"/>
    <pivotField showAll="0"/>
    <pivotField numFmtId="3" showAll="0"/>
    <pivotField showAll="0"/>
    <pivotField showAll="0"/>
    <pivotField showAll="0"/>
    <pivotField showAll="0"/>
    <pivotField showAll="0"/>
    <pivotField numFmtId="3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4" showAll="0"/>
    <pivotField showAll="0"/>
    <pivotField showAll="0"/>
    <pivotField showAll="0"/>
    <pivotField showAll="0">
      <items count="24">
        <item x="22"/>
        <item x="8"/>
        <item x="14"/>
        <item x="0"/>
        <item x="4"/>
        <item x="2"/>
        <item x="3"/>
        <item x="13"/>
        <item x="6"/>
        <item x="9"/>
        <item x="1"/>
        <item x="5"/>
        <item x="12"/>
        <item x="15"/>
        <item x="7"/>
        <item x="10"/>
        <item x="17"/>
        <item x="11"/>
        <item x="21"/>
        <item x="19"/>
        <item x="18"/>
        <item x="16"/>
        <item x="2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Items count="1">
    <i/>
  </colItems>
  <dataFields count="1">
    <dataField name="Soma de FN033 - Investimentos totais realizados pelo prestador de serviços" fld="116" baseField="3" baseItem="0" numFmtId="165"/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CCC163A-25EB-4656-93C3-16A77707BD09}" name="Tabela1" displayName="Tabela1" ref="A1:IA24" totalsRowShown="0">
  <autoFilter ref="A1:IA24" xr:uid="{0CCC163A-25EB-4656-93C3-16A77707BD09}"/>
  <tableColumns count="235">
    <tableColumn id="1" xr3:uid="{30A9B19A-5F4E-4286-864B-599DC43F0887}" name="Código do Município"/>
    <tableColumn id="2" xr3:uid="{6C76A305-8DA2-4011-B1F2-E3C2E75BD1AF}" name="Município"/>
    <tableColumn id="3" xr3:uid="{145E0FFE-34F6-4999-AF6E-29DB4EBA42C5}" name="Estado"/>
    <tableColumn id="4" xr3:uid="{C0589F7B-0920-4A38-9F2C-78CE08A156DB}" name="Ano de Referência"/>
    <tableColumn id="5" xr3:uid="{809492CB-96F7-44A3-9BB9-D3BF879C78AA}" name="Código do Prestador"/>
    <tableColumn id="6" xr3:uid="{4928FBF3-1E13-45F7-9679-FDDCE4EA0EEC}" name="Prestador"/>
    <tableColumn id="7" xr3:uid="{5D8154D7-B222-4D6A-89D4-5293BB12B94E}" name="Sigla do Prestador"/>
    <tableColumn id="8" xr3:uid="{E23D1D4E-27E9-4DAB-9080-6A87F192EAB6}" name="Abrangência"/>
    <tableColumn id="9" xr3:uid="{2BE31A61-E95B-4A90-A096-EDBD804DB550}" name="Tipo de serviço"/>
    <tableColumn id="10" xr3:uid="{EC7C862A-6AE9-4C39-BDF7-BB5C8B842DD7}" name="Natureza jurídica"/>
    <tableColumn id="11" xr3:uid="{E09D0305-5908-4641-AA67-7C677D3D3BB7}" name="GE001 - Quantidade de municípios atendidos com abastecimento de água com delegação em vigor"/>
    <tableColumn id="12" xr3:uid="{EA529CC4-909A-4D77-B41D-18F7444CECC2}" name="GE002 - Quantidade de municípios atendidos com abastecimento de água com delegação vencida"/>
    <tableColumn id="13" xr3:uid="{D6A4DC71-CDE3-4B95-8B2E-04D8A1037029}" name="GE003 - Quantidade de municípios atendidos com abastecimento de água sem delegação"/>
    <tableColumn id="14" xr3:uid="{FEFDE5D0-63DD-4862-8D17-84438B9726F8}" name="GE008 - Quantidade de Sedes municipais atendidas com abastecimento de água"/>
    <tableColumn id="15" xr3:uid="{14E99E22-7B06-474F-A71F-9EDCDAA27381}" name="GE009 - Quantidade de Sedes municipais atendidas com esgotamento sanitário"/>
    <tableColumn id="16" xr3:uid="{115722C0-411D-44D8-8716-D0C4586A40E0}" name="GE010 - Quantidade de Localidades (excluídas as sedes) atendidas com abastecimento de água"/>
    <tableColumn id="17" xr3:uid="{1CD174FD-48BB-46E9-A93D-9783490C7D2B}" name="GE011 - Quantidade de Localidades (excluídas as sedes) atendidas com esgotamento sanitário"/>
    <tableColumn id="18" xr3:uid="{CAF22770-7F09-4ECA-937D-89E03E270125}" name="GE014 - Quantidade de municípios atendidos com esgotamento sanitário com delegação em vigor"/>
    <tableColumn id="19" xr3:uid="{0595D327-AF41-4B8A-B2BC-40B456B6EEFA}" name="GE015 - Quantidade de municípios atendidos com esgotamento sanitário com delegação vencida"/>
    <tableColumn id="20" xr3:uid="{EB490268-B897-4ABF-9506-554D3F9A4860}" name="GE016 - Quantidade de municípios atendidos com esgotamento sanitário sem delegação"/>
    <tableColumn id="21" xr3:uid="{80B95AB4-9EBE-4379-916B-47532B092D2D}" name="GE017 - Ano de vencimento da delegação de abastecimento de água"/>
    <tableColumn id="22" xr3:uid="{68C35C99-DB85-4BC7-8262-73B3E99A3D9D}" name="GE018 - Ano de vencimento da delegação de esgotamento sanitário"/>
    <tableColumn id="23" xr3:uid="{B26804A9-9ED7-4514-AF90-4A18D3F90C92}" name="GE019 - Onde atende com abastecimento de água"/>
    <tableColumn id="24" xr3:uid="{3AC4534A-9BEC-47AD-A27F-193D44548267}" name="GE020 - Onde atende com esgotamento sanitário"/>
    <tableColumn id="25" xr3:uid="{22509A5A-60BF-4A7C-8650-6781EDA54239}" name="GE030 - Quantidade de municípios não atendidos com esgotamento sanitário e sem delegação para prestar esse serviço"/>
    <tableColumn id="26" xr3:uid="{04BE2DC3-9AF6-4082-ACFA-079C63955628}" name="POP_TOT - População total do município do ano de referência (Fonte: IBGE):" dataDxfId="64"/>
    <tableColumn id="27" xr3:uid="{E30C9BDA-88D5-481B-A3AE-518E13E58576}" name="POP_URB - População urbana do município do ano de referência (Fonte: IBGE):" dataDxfId="63"/>
    <tableColumn id="28" xr3:uid="{1E5F8F37-D350-42C1-93EF-E207B6A1B064}" name="AG001 - População total atendida com abastecimento de água" dataDxfId="62"/>
    <tableColumn id="29" xr3:uid="{AEE10963-A17F-4EDD-80EB-EDC6714B2132}" name="AG001A - População total atendida com abastecimento de água no ano anterior ao de referência." dataDxfId="61"/>
    <tableColumn id="30" xr3:uid="{82AC8533-04CC-4F36-8F5F-DBB4C8D3D6C0}" name="AG002 - Quantidade de ligações ativas de água" dataDxfId="60"/>
    <tableColumn id="31" xr3:uid="{EE9B4DB6-9845-4DEC-B936-3CA8F5D97F0C}" name="AG002A - Quantidade de ligações ativas de água no ano anterior ao de referência." dataDxfId="59"/>
    <tableColumn id="32" xr3:uid="{7522BD5A-B012-4355-84B7-2970795C67CA}" name="AG003 - Quantidade de economias ativas de água" dataDxfId="58"/>
    <tableColumn id="33" xr3:uid="{F8CF1E34-E13A-4FD6-903D-2338BA7309ED}" name="AG003A - Quantidade de economias ativas de água no ano anterior ao de referência." dataDxfId="57"/>
    <tableColumn id="34" xr3:uid="{31936297-5325-40B9-9C7C-3DC160F316DF}" name="AG004 - Quantidade de ligações ativas de água micromedidas" dataDxfId="56"/>
    <tableColumn id="35" xr3:uid="{BF3C30D1-BF73-4012-9DB6-D52D62D2C612}" name="AG004A - Quantidade de ligações ativas de água micromedidas no ano anterior ao de referência." dataDxfId="55"/>
    <tableColumn id="36" xr3:uid="{1E0E609C-8233-456E-AFDB-C65372FD20A1}" name="AG005 - Extensão da rede de água"/>
    <tableColumn id="37" xr3:uid="{B528936D-D459-4657-9214-9980D1637AA2}" name="AG005A - Extensão da rede de água no ano anterior ao de referência."/>
    <tableColumn id="38" xr3:uid="{7F7B71DE-07E4-455A-BD3E-834509937CE0}" name="AG006 - Volume de água produzido" dataDxfId="54"/>
    <tableColumn id="39" xr3:uid="{31E7093F-3505-4925-8128-3EB1F03E85DB}" name="AG007 - Volume de água tratada em ETAs" dataDxfId="53"/>
    <tableColumn id="40" xr3:uid="{6B39E494-B0A5-49F7-8019-72E8D199424E}" name="AG008 - Volume de água micromedido" dataDxfId="52"/>
    <tableColumn id="41" xr3:uid="{81D8E7E4-AA61-4283-8844-64D5FEAF393D}" name="AG010 - Volume de água consumido" dataDxfId="51"/>
    <tableColumn id="42" xr3:uid="{7205092C-E248-46CD-A706-6D71DABBD779}" name="AG011 - Volume de água faturado" dataDxfId="50"/>
    <tableColumn id="43" xr3:uid="{6C2119FF-BCCA-4041-BA2B-16BBFD3B6A6D}" name="AG012 - Volume de água macromedido"/>
    <tableColumn id="44" xr3:uid="{733F0BDB-CF49-40EA-A370-E366EA09172B}" name="AG013 - Quantidade de economias residenciais ativas de água" dataDxfId="49"/>
    <tableColumn id="45" xr3:uid="{35689641-5BA1-49B1-8158-04E98EE34033}" name="AG013A - Quantidade de economias residenciais ativas de água no ano anterior ao de referência." dataDxfId="48"/>
    <tableColumn id="46" xr3:uid="{B4E89321-2572-47EE-B473-AE23DB7B9452}" name="AG014 - Quantidade de economias ativas de água micromedidas" dataDxfId="47"/>
    <tableColumn id="47" xr3:uid="{967CB4D7-2CDD-4556-B85F-425D672A73A2}" name="AG014A - Quantidade de economias ativas de água micromedidas no ano anterior ao de referência." dataDxfId="46"/>
    <tableColumn id="48" xr3:uid="{881BF69E-13C4-490C-8C3F-A3EE6F981174}" name="AG015 - Volume de água tratada por simples desinfecção" dataDxfId="45"/>
    <tableColumn id="49" xr3:uid="{B7D5B746-ABC0-4973-B971-755A1A05FA2B}" name="AG017 - Volume de água bruta exportado"/>
    <tableColumn id="50" xr3:uid="{92DCA9DC-74A2-4F2C-8471-9F89D57BEDD8}" name="AG018 - Volume de água tratada importado"/>
    <tableColumn id="51" xr3:uid="{6B5754CE-3C69-44A7-9C8C-D0D5670B9E5E}" name="AG019 - Volume de água tratada exportado"/>
    <tableColumn id="52" xr3:uid="{39DFDD15-910F-4FC0-9E4A-653B358C99DA}" name="AG020 - Volume micromedido nas economias residenciais ativas de água" dataDxfId="44"/>
    <tableColumn id="53" xr3:uid="{AEC38DDA-2C0D-4C62-B6D6-7A95F19B56EB}" name="AG021 - Quantidade de ligações totais de água" dataDxfId="43"/>
    <tableColumn id="54" xr3:uid="{526BBACD-6581-4675-A42F-4C762E9659EA}" name="AG021A - Quantidade de ligações totais de água no ano anterior ao de referência." dataDxfId="42"/>
    <tableColumn id="55" xr3:uid="{F1E33E9E-7E01-4B72-A77B-9EE0AB1D3EF8}" name="AG022 - Quantidade de economias residenciais ativas de água micromedidas" dataDxfId="41"/>
    <tableColumn id="56" xr3:uid="{028E77D0-30FD-42DC-A458-666A3DE1445B}" name="AG022A - Quantidade de economias residenciais ativas de água micromedidas no ano anterior ao de referência." dataDxfId="40"/>
    <tableColumn id="57" xr3:uid="{6EE4A6A2-98BD-4B5D-8D99-ED4440906E3A}" name="AG024 - Volume de serviço"/>
    <tableColumn id="58" xr3:uid="{C318F8A9-3510-4FE8-BC7B-E8EB4CB0C851}" name="AG025A - População rural atendida com abastecimento de água no ano anterior ao de referência."/>
    <tableColumn id="59" xr3:uid="{B05B56A8-0931-462E-8AC3-B02CCF634398}" name="AG026 - População urbana atendida com abastecimento de água" dataDxfId="39"/>
    <tableColumn id="60" xr3:uid="{912996DF-6AEB-41EE-8E6E-215A78117D55}" name="AG026A - População urbana atendida com abastecimento de água no ano anterior ao de referência." dataDxfId="38"/>
    <tableColumn id="61" xr3:uid="{C709AAA7-0059-47F7-A423-F828259D1B6A}" name="AG027 - Volume de água fluoretada"/>
    <tableColumn id="62" xr3:uid="{1EF9C4A2-F16D-4C1A-B1DB-06632C20D5A9}" name="AG028 - Consumo total de energia elétrica nos sistemas de água"/>
    <tableColumn id="63" xr3:uid="{7BFC1410-0E1E-4762-BB7A-1DDF8382412A}" name="ES001 - População total atendida com esgotamento sanitário" dataDxfId="37"/>
    <tableColumn id="64" xr3:uid="{703EC83C-1881-48F0-9F0A-EB3BE80DF6E9}" name="ES001A - População total atendida com esgotamento sanitário no ano anterior ao de referência." dataDxfId="36"/>
    <tableColumn id="65" xr3:uid="{2ABD9AE4-9E7D-443D-88C6-AA9BCCF8A458}" name="ES002 - Quantidade de ligações ativas de esgotos" dataDxfId="35"/>
    <tableColumn id="66" xr3:uid="{F4D69FAE-88B9-4DC6-88DF-F938A556DE66}" name="ES002A - Quantidade de ligações ativas de esgoto no ano anterior ao de referência." dataDxfId="34"/>
    <tableColumn id="67" xr3:uid="{727E65E6-1A93-4439-B2C7-2296054517D0}" name="ES003 - Quantidade de economias ativas de esgotos" dataDxfId="33"/>
    <tableColumn id="68" xr3:uid="{00AF6C72-B879-48B7-B05F-FE0E06530CD4}" name="ES003A - Quantidade de economias ativas de esgoto no ano anterior ao de referência." dataDxfId="32"/>
    <tableColumn id="69" xr3:uid="{55BA0AC7-1D46-4913-BFC7-EDBB94199D8A}" name="ES004 - Extensão da rede de esgotos"/>
    <tableColumn id="70" xr3:uid="{FD57DED3-0620-4F1D-9038-C63405521DEA}" name="ES004A - Extensão da rede de esgoto no ano anterior ao de referência."/>
    <tableColumn id="71" xr3:uid="{9D590E72-3177-4731-A0D6-36CD10F6846D}" name="ES005 - Volume de esgotos coletado" dataDxfId="31"/>
    <tableColumn id="72" xr3:uid="{D47E9639-428B-4FF5-AF54-37F9CBFE7A79}" name="ES006 - Volume de esgotos tratado" dataDxfId="30"/>
    <tableColumn id="73" xr3:uid="{9ADB3D55-6C8C-4E84-AA9C-8EB1A344E290}" name="ES007 - Volume de esgotos faturado" dataDxfId="29"/>
    <tableColumn id="74" xr3:uid="{0A6814C1-926A-48B6-B1ED-8ECF9C9A86ED}" name="ES008 - Quantidade de economias residenciais ativas de esgotos" dataDxfId="28"/>
    <tableColumn id="75" xr3:uid="{05A84280-C6DF-4441-8CA4-90E62980FBEC}" name="ES008A - Quantidade de economias residenciais ativas de esgoto no ano anterior ao de referência." dataDxfId="27"/>
    <tableColumn id="76" xr3:uid="{0C299381-EAE4-45C4-9F26-0353FC17416C}" name="ES009 - Quantidade de ligações totais de esgotos" dataDxfId="26"/>
    <tableColumn id="77" xr3:uid="{35127532-BD76-4F85-8A07-04E32AB2227C}" name="ES009A - Quantidade de ligações totais de esgoto no ano anterior ao de referência." dataDxfId="25"/>
    <tableColumn id="78" xr3:uid="{432E233A-6979-4DD7-8073-6BEAEF0565AA}" name="ES012 - Volume de esgoto bruto exportado"/>
    <tableColumn id="79" xr3:uid="{B3D7DBFB-4A7B-4897-8FDE-BC791F457257}" name="ES013 - Volume de esgotos bruto importado"/>
    <tableColumn id="80" xr3:uid="{0CD5B061-81F1-4807-BD07-9A1ABEF409C8}" name="ES014 - Volume de esgoto importado tratado nas instalações do importador"/>
    <tableColumn id="81" xr3:uid="{DBBF2E76-2727-4676-B423-11AD79D81285}" name="ES015 - Volume de esgoto bruto exportado tratado nas instalações do importador"/>
    <tableColumn id="82" xr3:uid="{FDAE38F5-E1AF-4500-8E62-10492267650A}" name="ES025A - População rural atendida com esgotamento sanitário no ano anterior ao de referência."/>
    <tableColumn id="83" xr3:uid="{331F29A4-3169-4597-9F15-FB5AE0A48AAF}" name="ES026 - População urbana atendida com esgotamento sanitário" dataDxfId="24"/>
    <tableColumn id="84" xr3:uid="{9622BF24-A102-4134-8EB2-7B7EE7DCD9A8}" name="ES026A - População urbana atendida com esgotamento sanitário no ano anterior ao de referência." dataDxfId="23"/>
    <tableColumn id="85" xr3:uid="{15B4E720-949B-4342-9DA8-966B36FFB283}" name="ES028 - Consumo total de energia elétrica nos sistemas de esgotos"/>
    <tableColumn id="86" xr3:uid="{A54208F2-646A-424A-9718-B328D342CEFA}" name="FN001 - Receita operacional direta total" dataDxfId="22"/>
    <tableColumn id="87" xr3:uid="{8FB56614-ED29-4B02-B184-0418AC8A4BB7}" name="FN002 - Receita operacional direta de água" dataDxfId="21"/>
    <tableColumn id="88" xr3:uid="{E78D529D-5548-4FB9-8C93-BCE3647A02E9}" name="FN003 - Receita operacional direta de esgoto" dataDxfId="20"/>
    <tableColumn id="89" xr3:uid="{A03E52DB-682A-470C-908E-E1ADFC9AE5D6}" name="FN004 - Receita operacional indireta"/>
    <tableColumn id="90" xr3:uid="{FAB0B662-C136-4A8B-94D8-329AAC62FE4F}" name="FN005 - Receita operacional total (direta + indireta)" dataDxfId="19"/>
    <tableColumn id="91" xr3:uid="{73CE5BE2-0BE3-4AE0-A8A0-DF424E439C4A}" name="FN006 - Arrecadação total" dataDxfId="18"/>
    <tableColumn id="92" xr3:uid="{C8E7B617-9F0D-48BC-B711-E414DF92C6DA}" name="FN007 - Receita operacional direta de água exportada (bruta ou tratada)"/>
    <tableColumn id="93" xr3:uid="{219CF358-5B20-468D-B550-1F758AB601F3}" name="FN008 - Créditos de contas a receber" dataDxfId="17"/>
    <tableColumn id="94" xr3:uid="{557435C1-55BE-4BDF-9443-D238339E93CC}" name="FN008A - Crédito de contas a receber no ano anterior ao de referência." dataDxfId="16"/>
    <tableColumn id="95" xr3:uid="{2FA99B29-DF92-4B91-B13F-F68C08478DFA}" name="FN010 - Despesa com pessoal próprio" dataDxfId="15"/>
    <tableColumn id="96" xr3:uid="{B5E05CB8-9DE3-4E87-8A06-36B62F6BE12C}" name="FN011 - Despesa com produtos químicos" dataDxfId="14"/>
    <tableColumn id="97" xr3:uid="{5F60A30E-1A0F-4683-8C31-92DDDA5FC1A8}" name="FN013 - Despesa com energia elétrica" dataDxfId="13"/>
    <tableColumn id="98" xr3:uid="{3EF555FB-7A96-4FD5-A4DC-2047F7F8D073}" name="FN014 - Despesa com serviços de terceiros" dataDxfId="12"/>
    <tableColumn id="99" xr3:uid="{CFD32A02-C751-45C5-802B-248DD73FAD15}" name="FN015 - Despesas de Exploração (DEX), sendo FN015 = FN010 + FN011 + FN013 + FN014 + FN020 + FN039 + FN021 + FN027" dataDxfId="11"/>
    <tableColumn id="100" xr3:uid="{43CFADE4-2DEB-4873-9430-F98F7B876B91}" name="FN016 - Despesas com juros e encargos do serviço da dívida"/>
    <tableColumn id="101" xr3:uid="{730AC143-6978-40E3-BD1E-CE1B684AFEB6}" name="FN017 - Despesas totais com os serviços (DTS), sendo FN017 = FN015 + FN016 + FN019 + FN022 + FN028" dataDxfId="10"/>
    <tableColumn id="102" xr3:uid="{B1565652-1312-4EA6-A36D-3AECCCF0131F}" name="FN018 - Despesas capitalizáveis realizadas pelo prestador de serviços"/>
    <tableColumn id="103" xr3:uid="{D26F3037-9A60-42CB-83B8-099E6D88FDE6}" name="FN019 - Despesas com depreciação, amortização do ativo diferido e provisão para devedores duvidosos"/>
    <tableColumn id="104" xr3:uid="{E07F3833-FD0C-4237-B5B2-CA2F51C5A07D}" name="FN020 - Despesa com água importada (bruta ou tratada)"/>
    <tableColumn id="105" xr3:uid="{A3D2CE0F-A764-45D3-B0A7-0F273BCCD2A3}" name="FN021 - Despesas fiscais ou tributárias computadas na DEX"/>
    <tableColumn id="106" xr3:uid="{057DA5B1-EB59-4978-ADDC-F6248BCBEBAC}" name="FN022 - Despesas fiscais ou tributárias não computadas na DEX"/>
    <tableColumn id="107" xr3:uid="{29821D85-7F18-4FAE-A466-CFD7C299FF20}" name="FN023 - Investimento realizado em abastecimento de água pelo prestador de serviços" dataDxfId="9"/>
    <tableColumn id="108" xr3:uid="{B9D681BC-B2E8-4F1F-BC37-CD1338319180}" name="FN024 - Investimento realizado em esgotamento sanitário pelo prestador de serviços"/>
    <tableColumn id="109" xr3:uid="{2B477516-DB98-496E-BC82-B3D626ABFF31}" name="FN025 - Outros investimentos realizados pelo prestador de serviços" dataDxfId="8"/>
    <tableColumn id="110" xr3:uid="{431A2802-5427-4F20-9E59-8FC07E547ED9}" name="FN026 - Quantidade total de empregados próprios"/>
    <tableColumn id="111" xr3:uid="{76AC3C6A-FFBE-4EA2-A107-EE3CD928532D}" name="FN026A - Quantidade total de empregados próprios no ano anterior ao de referência."/>
    <tableColumn id="112" xr3:uid="{326D21C9-FC2A-4981-8EE6-6233AF86B3DE}" name="FN027 - Outras despesas de exploração"/>
    <tableColumn id="113" xr3:uid="{980C9287-82C9-4382-B5A5-9B5835BCE725}" name="FN028 - Outras despesas com os serviços"/>
    <tableColumn id="114" xr3:uid="{557529A4-4752-4DA9-A8AB-F3D0ABD40A8E}" name="FN030 - Investimento com recursos próprios realizado pelo prestador de serviços." dataDxfId="7"/>
    <tableColumn id="115" xr3:uid="{9904D3AF-69A7-405E-9643-56044B217096}" name="FN031 - Investimento com recursos onerosos realizado pelo prestador de serviços."/>
    <tableColumn id="116" xr3:uid="{4C62D537-CCD3-44AF-8FE8-82AEF4F99150}" name="FN032 - Investimento com recursos não onerosos realizado pelo prestador de serviços."/>
    <tableColumn id="117" xr3:uid="{188E1F12-3D0B-43DF-8496-77B437F36BF2}" name="FN033 - Investimentos totais realizados pelo prestador de serviços" dataDxfId="6"/>
    <tableColumn id="118" xr3:uid="{C865B889-5C77-43BD-928B-F7614C21B99A}" name="FN034 - Despesas com amortizações do serviço da dívida"/>
    <tableColumn id="119" xr3:uid="{6BF9C6B6-6E73-41D9-9686-FD1AD8060B3E}" name="FN035 - Despesas com juros e encargos do serviço da dívida, exceto variações monetária e cambial"/>
    <tableColumn id="120" xr3:uid="{2F0D9097-C18B-4135-9D91-755872F2515D}" name="FN036 - Despesa com variações monetárias e cambiais das dívidas"/>
    <tableColumn id="121" xr3:uid="{C0499B21-2E01-4B7E-B63C-96DCBE364E3E}" name="FN037 - Despesas totais com o serviço da dívida"/>
    <tableColumn id="122" xr3:uid="{A64F3F75-3D7F-4830-B0EA-B2AE0A65BA61}" name="FN038 - Receita operacional direta - esgoto bruto importado"/>
    <tableColumn id="123" xr3:uid="{F2219542-FAE2-47D3-9D1D-EEE1523503D1}" name="FN039 - Despesa com esgoto exportado"/>
    <tableColumn id="124" xr3:uid="{A14F104E-6997-4995-8259-0DC7211A65F7}" name="FN041 - Despesas capitalizáveis realizadas pelo(s) município(s)"/>
    <tableColumn id="125" xr3:uid="{DC9846BA-5CCD-4B1F-91F0-7840FBF55454}" name="FN042 - Investimento realizado em abastecimento de água pelo(s) município(s)"/>
    <tableColumn id="126" xr3:uid="{B79FE3D0-9506-46CB-911F-68124CD67284}" name="FN043 - Investimento realizado em esgotamento sanitário pelo(s) município(s)"/>
    <tableColumn id="127" xr3:uid="{07EFA794-E333-4A23-BF22-02134B227A4D}" name="FN044 - Outros investimentos realizados pelo(s) município(s)"/>
    <tableColumn id="128" xr3:uid="{1578E395-2194-405A-B0E2-E15A8F711287}" name="FN045 - Investimento com recursos próprios realizado pelo(s) município(s)"/>
    <tableColumn id="129" xr3:uid="{6EA1403F-93DA-4616-86C6-CB483CA304B6}" name="FN046 - Investimento com recursos onerosos realizado pelo(s) município(s)"/>
    <tableColumn id="130" xr3:uid="{3A02F111-872F-4EB4-8B90-BD7F270E5AD1}" name="FN047 - Investimento com recursos não onerosos realizado pelo(s) município(s)"/>
    <tableColumn id="131" xr3:uid="{E272DCC6-E3F3-43B0-A242-FE97FE173ED1}" name="FN048 - Investimentos totais realizados pelo(s) município(s)"/>
    <tableColumn id="132" xr3:uid="{EAAB3DD6-3B35-4810-AD43-CCDEE496457E}" name="FN051 - Despesas capitalizáveis realizadas pelo estado"/>
    <tableColumn id="133" xr3:uid="{8382F14C-02DA-4D90-9086-23FFCBC03B3F}" name="FN052 - Investimento realizado em abastecimento de água pelo estado"/>
    <tableColumn id="134" xr3:uid="{58E43B5A-DDE3-4676-AC00-8CA5A6CCB6DC}" name="FN053 - Investimento realizado em esgotamento sanitário pelo estado"/>
    <tableColumn id="135" xr3:uid="{AE5EA916-4A3B-4DB3-9C03-922AE2C80007}" name="FN054 - Outros investimentos realizados pelo estado"/>
    <tableColumn id="136" xr3:uid="{C1F39FEB-FC74-4027-93C0-028699C23CFE}" name="FN055 - Investimento com recursos próprios realizado pelo estado"/>
    <tableColumn id="137" xr3:uid="{7664B402-E31F-4CEA-86B2-B0D758E5F8F7}" name="FN056 - Investimento com recursos onerosos realizado pelo estado"/>
    <tableColumn id="138" xr3:uid="{55793C75-CEB2-44BF-BAD5-5701E77D4358}" name="FN057 - Investimento com recursos não onerosos realizado pelo estado"/>
    <tableColumn id="139" xr3:uid="{B9DF4E45-0FD2-4475-9F00-DD0426DDE01A}" name="FN058 - Investimentos totais realizados pelo estado"/>
    <tableColumn id="140" xr3:uid="{AC587247-BE8F-45AF-9C31-F347AD1AF646}" name="QD001 - Tipo de atendimento da portaria sobre qualidade da água"/>
    <tableColumn id="141" xr3:uid="{4C7A3103-4CC7-4A72-B640-7F3BF0A31A8E}" name="QD002 - Quantidades de paralisações no sistema de distribuição de água"/>
    <tableColumn id="142" xr3:uid="{BB59F4C5-650A-423B-9DBD-D170CE94D94B}" name="QD003 - Duração das paralisações"/>
    <tableColumn id="143" xr3:uid="{2427971D-7E89-4D1F-9498-169AB8726B6D}" name="QD004 - Quantidade de economias ativas atingidas por paralisações"/>
    <tableColumn id="144" xr3:uid="{04B12957-1791-40E8-B9D5-0C83B1502BC6}" name="QD006 - Quantidade de amostras para cloro residual (analisadas)" dataDxfId="5"/>
    <tableColumn id="145" xr3:uid="{E228CDC3-C7C5-45BF-B0CF-72ED811BB5CB}" name="QD007 - Quantidade de amostras para cloro residual com resultados fora do padrão"/>
    <tableColumn id="146" xr3:uid="{48EC97F8-A3B9-41F3-B9DA-D3D536869905}" name="QD008 - Quantidade de amostras para turbidez (analisadas)" dataDxfId="4"/>
    <tableColumn id="147" xr3:uid="{1810C368-6C2F-4DDD-9AFC-512F0312F08D}" name="QD009 - Quantidade de amostras para turbidez fora do padrão"/>
    <tableColumn id="148" xr3:uid="{DBCF7670-E005-4B7F-8E09-3001B075553D}" name="QD011 - Quantidades de extravasamentos de esgotos registrados"/>
    <tableColumn id="149" xr3:uid="{51AF894D-64D9-4742-A5D7-C2FE1AEB7E10}" name="QD012 - Duração dos extravasamentos registrados"/>
    <tableColumn id="150" xr3:uid="{13A1FF84-E258-4BB7-855D-A15722009C4A}" name="QD015 - Quantidade de economias ativas atingidas por interrupções sistemáticas"/>
    <tableColumn id="151" xr3:uid="{43AFBFFE-AC1A-4A77-B1E2-411EDAD6B9C8}" name="QD019 - Quantidade mínima de amostras para turbidez (obrigatórias)" dataDxfId="3"/>
    <tableColumn id="152" xr3:uid="{A17D4D00-CEBD-4804-BD36-B23C35B7B92D}" name="QD020 - Quantidade mínima de amostras para cloro residual (obrigatórias)" dataDxfId="2"/>
    <tableColumn id="153" xr3:uid="{87E41052-F983-4503-98B8-2F8E2CAD7C45}" name="QD021 - Quantidade de interrupções sistemáticas"/>
    <tableColumn id="154" xr3:uid="{7BFFD302-9F20-4BC7-ADA4-69A15BA569BC}" name="QD022 - Duração das interrupções sistemáticas"/>
    <tableColumn id="155" xr3:uid="{6ECC3795-8F54-4321-B92D-4749B966FFBF}" name="QD023 - Quantidade de reclamações ou solicitações de serviços"/>
    <tableColumn id="156" xr3:uid="{65EE4C53-64EE-4BFC-A932-CA457D77AE34}" name="QD024 - Quantidade de serviços executados"/>
    <tableColumn id="157" xr3:uid="{A7D4F832-B461-4E33-A2DD-7AD41419CE16}" name="QD025 - Tempo total de execução dos serviços"/>
    <tableColumn id="158" xr3:uid="{AADC1768-1000-41DF-8341-5B340CEEAE2D}" name="QD026 - Quantidade de amostras para coliformes totais (analisadas)"/>
    <tableColumn id="159" xr3:uid="{DC52EC1E-E6DB-482B-999F-F732E01B6B0E}" name="QD027 - Quantidade de amostras para coliformes totais com resultados fora do padrão"/>
    <tableColumn id="160" xr3:uid="{81BAA6A0-BA86-4D83-81EF-817FCA380BCD}" name="QD028 - Quantidade mínima de amostras para coliformes totais (obrigatórias)"/>
    <tableColumn id="161" xr3:uid="{97E99006-B849-409C-9D9F-EB7CE3D0E4EA}" name="IN001 - Densidade de economias de água por ligação"/>
    <tableColumn id="162" xr3:uid="{BE2928F7-D7A4-434B-BF29-891CAC199AF0}" name="IN002 - Índice de produtividade: economias ativas por pessoal próprio" dataDxfId="1"/>
    <tableColumn id="163" xr3:uid="{ACF2C9D2-A657-47D3-9CA6-F0D9D32040BB}" name="IN003 - Despesa total com os serviços por m3 faturado"/>
    <tableColumn id="164" xr3:uid="{C4BC3F85-7FCC-43B8-A10C-90CF6BA0FF0B}" name="IN004 - Tarifa média praticada"/>
    <tableColumn id="165" xr3:uid="{D86DB206-4A69-420A-B95C-8D169C83BFAE}" name="IN005 - Tarifa média de água"/>
    <tableColumn id="166" xr3:uid="{2BC39FD4-A554-4ED9-A43C-405A1E56C7AF}" name="IN006 - Tarifa média de esgoto"/>
    <tableColumn id="167" xr3:uid="{AC8D17B5-5506-40A4-A2BA-CCC7E98A55D7}" name="IN007 - Incidência da desp. de pessoal e de serv. de terc. nas despesas totais com os serviços"/>
    <tableColumn id="168" xr3:uid="{5129C946-3174-4741-BA0D-2EC914726F3E}" name="IN008 - Despesa média anual por empregado" dataDxfId="0"/>
    <tableColumn id="169" xr3:uid="{B4CB81D0-E646-463F-84F6-BF3760946DCF}" name="IN009 - Índice de hidrometração"/>
    <tableColumn id="170" xr3:uid="{989C0DF2-FEEF-4E39-81A6-A3F89BDABD5A}" name="IN010 - Índice de micromedição relativo ao volume disponibilizado"/>
    <tableColumn id="171" xr3:uid="{EBB61E33-8A84-4A48-86EF-D6E0155B9C9E}" name="IN011 - Índice de macromedição"/>
    <tableColumn id="172" xr3:uid="{69A3C3A5-17E4-474C-8891-DB2A24F5ECBB}" name="IN012 - Indicador de desempenho financeiro"/>
    <tableColumn id="173" xr3:uid="{03425CB6-CDEF-4EB3-8D11-44D92D40BED9}" name="IN013 - Índice de perdas faturamento"/>
    <tableColumn id="174" xr3:uid="{B40C8E39-0F44-40A2-8F4E-58DB3C68A599}" name="IN014 - Consumo micromedido por economia"/>
    <tableColumn id="175" xr3:uid="{73153B16-927B-4A32-8446-F65FE0390380}" name="IN015 - Índice de coleta de esgoto"/>
    <tableColumn id="176" xr3:uid="{360F6EAA-D65A-4CA2-9EB4-D3F1B23ED501}" name="IN016 - Índice de tratamento de esgoto"/>
    <tableColumn id="177" xr3:uid="{DE39E9D9-279C-4ADB-A865-C8DBE78E4937}" name="IN017 - Consumo de água faturado por economia"/>
    <tableColumn id="178" xr3:uid="{C25D6C60-CE2B-40DC-8C6E-A8615D2BE6E2}" name="IN018 - Quantidade equivalente de pessoal total"/>
    <tableColumn id="179" xr3:uid="{B1C7B007-6706-4071-A6C4-69A5FE2AEF3A}" name="IN019 - Índice de produtividade: economias ativas por pessoal total (equivalente)"/>
    <tableColumn id="180" xr3:uid="{8E81FDB8-F253-417A-B3B7-705979859FF2}" name="IN020 - Extensão da rede de água por ligação"/>
    <tableColumn id="181" xr3:uid="{27DA312D-7306-4587-933C-887994B6EEAC}" name="IN021 - Extensão da rede de esgoto por ligação"/>
    <tableColumn id="182" xr3:uid="{977BF0EE-C990-4482-894D-084085B8CBB8}" name="IN022 - Consumo médio percapita de água"/>
    <tableColumn id="183" xr3:uid="{082DB66D-2696-404E-85CE-E721D43EDCBC}" name="IN023 - Índice de atendimento urbano de água"/>
    <tableColumn id="184" xr3:uid="{985B9A52-4FAC-4099-BA8F-59F37A825D8A}" name="IN024 - Índice de atendimento urbano de esgoto referido aos municípios atendidos com água"/>
    <tableColumn id="185" xr3:uid="{399AAE46-D13E-48CD-BCF2-AB096441DA49}" name="IN025 - Volume de água disponibilizado por economia"/>
    <tableColumn id="186" xr3:uid="{F3E41A6C-2BED-43A8-A815-A693BB066B79}" name="IN026 - Despesa de exploração por m3 faturado"/>
    <tableColumn id="187" xr3:uid="{BCE5D01F-D464-4119-90D1-F4E6FF68D94F}" name="IN027 - Despesa de exploração por economia"/>
    <tableColumn id="188" xr3:uid="{188EB6A8-5C81-4FA1-9D34-C7AFAFDA4A9C}" name="IN028 - Índice de faturamento de água"/>
    <tableColumn id="189" xr3:uid="{DA749E85-1C3A-493F-85CF-4C6FEA63FAC7}" name="IN029 - Índice de evasão de receitas"/>
    <tableColumn id="190" xr3:uid="{8C24F690-5096-40D0-A779-EC6C8225DFC1}" name="IN030 - Margem da despesa de exploração"/>
    <tableColumn id="191" xr3:uid="{DCAD41A0-7788-40B9-9486-116A8DB8E93E}" name="IN031 - Margem da despesa com pessoal próprio"/>
    <tableColumn id="192" xr3:uid="{B8891B2F-071B-4379-9704-D173CC1C5F18}" name="IN032 - Margem da despesa com pessoal total (equivalente)"/>
    <tableColumn id="193" xr3:uid="{21F94CED-9567-4ECF-A7A4-BAFC86F8DF25}" name="IN033 - Margem do serviço da divida"/>
    <tableColumn id="194" xr3:uid="{EA5B8D48-75A9-4A96-A38F-EFA46716D720}" name="IN034 - Margem das outras despesas de exploração"/>
    <tableColumn id="195" xr3:uid="{3ECA648C-8C76-44B7-9D2E-2421A0A69A3D}" name="IN035 - Participação da despesa com pessoal próprio nas despesas de exploração"/>
    <tableColumn id="196" xr3:uid="{2D005590-D267-4E56-B116-C26862E6402C}" name="IN036 - Participação da despesa com pessoal total (equivalente) nas despesas de exploração"/>
    <tableColumn id="197" xr3:uid="{6E660E98-DEBF-4A61-BBB1-50AA8734F7CC}" name="IN037 - Participação da despesa com energia elétrica nas despesas de exploração"/>
    <tableColumn id="198" xr3:uid="{4FE16ACE-FAD2-4442-BA7F-D2382D7AE391}" name="IN038 - Participação da despesa com produtos químicos nas despesas de exploração (DEX)"/>
    <tableColumn id="199" xr3:uid="{4B4A1491-6ACA-4F7F-8B5A-263CBF18A91C}" name="IN039 - Participação das outras despesas nas despesas de exploração"/>
    <tableColumn id="200" xr3:uid="{28BE8364-8FE9-410B-90AB-477E1AF2B4BA}" name="IN040 - Participação da receita operacional direta de água na receita operacional total"/>
    <tableColumn id="201" xr3:uid="{7D9E3D51-5E6E-4767-BEDC-88F1019F528A}" name="IN041 - Participação da receita operacional direta de esgoto na receita operacional total"/>
    <tableColumn id="202" xr3:uid="{5D4BF6FD-3B98-44B6-906E-5B96C58EF44D}" name="IN042 - Participação da receita operacional indireta na receita operacional total"/>
    <tableColumn id="203" xr3:uid="{14A01955-4A73-4C9D-A129-905DAAF51B36}" name="IN043 - Participação das economias residenciais de água no total das economias de água"/>
    <tableColumn id="204" xr3:uid="{F5F9347B-5852-4071-852A-CDFEBBB02296}" name="IN044 - Índice de micromedição relativo ao consumo"/>
    <tableColumn id="205" xr3:uid="{8510E47F-F524-4102-B5B3-080D50F35D7A}" name="IN045 - Índice de produtividade: empregados próprios por 1000 ligações de água"/>
    <tableColumn id="206" xr3:uid="{FBF92066-38E2-401A-93A5-7AC2EE6C4C7E}" name="IN046 - Índice de esgoto tratado referido à água consumida"/>
    <tableColumn id="207" xr3:uid="{55AEDDEE-E73E-4F17-A0CC-7221F6CC8C7D}" name="IN047 - Índice de atendimento urbano de esgoto referido aos municípios atendidos com esgoto"/>
    <tableColumn id="208" xr3:uid="{E1CCCB15-02F2-44D8-85C8-6919E5B1D221}" name="IN048 - Índice de produtividade: empregados próprios por 1000 ligações de água + esgoto"/>
    <tableColumn id="209" xr3:uid="{3DE8E18C-BF2F-4F93-B54B-531AAF6C4DFE}" name="IN049 - Índice de perdas na distribuição"/>
    <tableColumn id="210" xr3:uid="{9F9DA2B9-0DD7-4F31-8E58-0AF7A88A908B}" name="IN050 - Índice bruto de perdas lineares"/>
    <tableColumn id="211" xr3:uid="{32D8279E-2781-41B1-B546-158B8AA1FADB}" name="IN051 - Índice de perdas por ligação"/>
    <tableColumn id="212" xr3:uid="{BE004E2B-2D0A-46E8-BB3B-7C2ECAE081A4}" name="IN052 - Índice de consumo de água"/>
    <tableColumn id="213" xr3:uid="{E8923E09-17B4-4772-9933-44D2D1C0D87B}" name="IN053 - Consumo médio de água por economia"/>
    <tableColumn id="214" xr3:uid="{7B40AB8E-952F-44BD-A4C2-02C2C3260DCC}" name="IN054 - Dias de faturamento comprometidos com contas a receber"/>
    <tableColumn id="215" xr3:uid="{AE5BE7E7-68CD-48C1-B3A1-4D06CEBE6ADD}" name="IN055 - Índice de atendimento total de água"/>
    <tableColumn id="216" xr3:uid="{4615862F-8C5F-44AD-BC9E-B6BDD63AFF17}" name="IN056 - Índice de atendimento total de esgoto referido aos municípios atendidos com água"/>
    <tableColumn id="217" xr3:uid="{E729D816-A70D-42DE-84FB-43136B3E5C0B}" name="IN057 - Índice de fluoretação de água"/>
    <tableColumn id="218" xr3:uid="{F1159028-CED6-4E82-BECD-F08F4A1D63D1}" name="IN058 - Índice de consumo de energia elétrica em sistemas de abastecimento de água"/>
    <tableColumn id="219" xr3:uid="{0FCF0CEC-D001-4B16-8C55-20CD549DEAE7}" name="IN059 - Índice de consumo de energia elétrica em sistemas de esgotamento sanitário"/>
    <tableColumn id="220" xr3:uid="{46E7CD3F-D35C-487F-8141-F5CDE1DE422A}" name="IN060 - Índice de despesas por consumo de energia elétrica nos sistemas de água e esgotos"/>
    <tableColumn id="221" xr3:uid="{B7ECFA5E-DBAD-4A18-8CCE-5AF3549BF9F1}" name="IN071 - Economias atingidas por paralisações"/>
    <tableColumn id="222" xr3:uid="{A7B2FC32-CCD8-42E4-AEE6-AFC0566FB092}" name="IN072 - Duração média das paralisações"/>
    <tableColumn id="223" xr3:uid="{4F8EC1F9-E465-45FF-B931-173ED4678E42}" name="IN073 - Economias atingidas por intermitências"/>
    <tableColumn id="224" xr3:uid="{B154D18E-BA28-49C4-82C1-6ED52242E2F6}" name="IN074 - Duração média das intermitências"/>
    <tableColumn id="225" xr3:uid="{7E1614B6-4BC2-4A25-B050-5B706318E427}" name="IN075 - Incidência das análises de cloro residual fora do padrão"/>
    <tableColumn id="226" xr3:uid="{D544086B-92DB-480E-A37C-6096120E605A}" name="IN076 - Incidência das análises de turbidez fora do padrão"/>
    <tableColumn id="227" xr3:uid="{6EAFE592-C98D-4A0B-952A-8D0EEC77C5AF}" name="IN077 - Duração média dos reparos de extravasamentos de esgotos"/>
    <tableColumn id="228" xr3:uid="{E2C12C17-4273-4521-9F2E-F71D6C5981B7}" name="IN079 - Índice de conformidade da quantidade de amostras - cloro residual"/>
    <tableColumn id="229" xr3:uid="{5986A58C-74E0-4291-B4EA-746D5E17925B}" name="IN080 - Índice de conformidade da quantidade de amostras - turbidez"/>
    <tableColumn id="230" xr3:uid="{EF1386FE-5A82-4963-8348-72E4F91A1544}" name="IN082 - Extravasamentos de esgotos por extensão de rede"/>
    <tableColumn id="231" xr3:uid="{B694BBDE-7537-4CEB-99AC-3320D00151F0}" name="IN083 - Duração média dos serviços executados"/>
    <tableColumn id="232" xr3:uid="{578B9376-20AE-433B-AB3B-5CC8C55B77EE}" name="IN084 - Incidência das análises de coliformes totais fora do padrão"/>
    <tableColumn id="233" xr3:uid="{4D71768D-7827-4AD8-A0C0-6A3C42D86E65}" name="IN085 - Índice de conformidade da quantidade de amostras - coliformes totais"/>
    <tableColumn id="234" xr3:uid="{799E429E-B63D-481B-AEA0-0CD03B30880C}" name="IN101 - Índice de suficiência de caixa"/>
    <tableColumn id="235" xr3:uid="{C8866E60-9414-4A0A-8629-FDF004A30C0E}" name="IN102 - Índice de produtividade de pessoal total (equivalente)"/>
  </tableColumns>
  <tableStyleInfo name="TableStyleLight5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392D9-AA1B-453C-9EEB-DB09E71DDC34}">
  <dimension ref="A1:IA26"/>
  <sheetViews>
    <sheetView topLeftCell="DL1" workbookViewId="0">
      <selection activeCell="DM23" sqref="DM2:DM23"/>
    </sheetView>
  </sheetViews>
  <sheetFormatPr defaultRowHeight="14.4" x14ac:dyDescent="0.3"/>
  <cols>
    <col min="1" max="1" width="20.21875" bestFit="1" customWidth="1"/>
    <col min="2" max="2" width="11.88671875" bestFit="1" customWidth="1"/>
    <col min="4" max="4" width="17.44140625" customWidth="1"/>
    <col min="5" max="5" width="19" customWidth="1"/>
    <col min="6" max="6" width="10.77734375" customWidth="1"/>
    <col min="7" max="7" width="17.21875" customWidth="1"/>
    <col min="8" max="8" width="13" customWidth="1"/>
    <col min="9" max="9" width="14.6640625" customWidth="1"/>
    <col min="10" max="10" width="17.6640625" bestFit="1" customWidth="1"/>
    <col min="11" max="20" width="57.109375" customWidth="1"/>
    <col min="21" max="21" width="56.88671875" customWidth="1"/>
    <col min="22" max="22" width="56.109375" customWidth="1"/>
    <col min="23" max="23" width="42.5546875" customWidth="1"/>
    <col min="24" max="24" width="41.77734375" customWidth="1"/>
    <col min="25" max="27" width="57.109375" customWidth="1"/>
    <col min="28" max="28" width="52.21875" customWidth="1"/>
    <col min="29" max="29" width="69.44140625" customWidth="1"/>
    <col min="30" max="30" width="39.88671875" customWidth="1"/>
    <col min="31" max="31" width="57.109375" customWidth="1"/>
    <col min="32" max="32" width="42.109375" customWidth="1"/>
    <col min="33" max="33" width="57.109375" customWidth="1"/>
    <col min="34" max="34" width="51.77734375" customWidth="1"/>
    <col min="35" max="35" width="57.109375" customWidth="1"/>
    <col min="36" max="36" width="29.77734375" customWidth="1"/>
    <col min="37" max="37" width="57.109375" customWidth="1"/>
    <col min="38" max="38" width="30.5546875" customWidth="1"/>
    <col min="39" max="39" width="35.5546875" customWidth="1"/>
    <col min="40" max="40" width="33.33203125" customWidth="1"/>
    <col min="41" max="41" width="31.5546875" customWidth="1"/>
    <col min="42" max="42" width="29.44140625" customWidth="1"/>
    <col min="43" max="43" width="33.88671875" customWidth="1"/>
    <col min="44" max="44" width="52.21875" customWidth="1"/>
    <col min="45" max="45" width="57.109375" customWidth="1"/>
    <col min="46" max="46" width="54" customWidth="1"/>
    <col min="47" max="47" width="57.109375" customWidth="1"/>
    <col min="48" max="48" width="48.21875" customWidth="1"/>
    <col min="49" max="49" width="35.21875" customWidth="1"/>
    <col min="50" max="50" width="37" customWidth="1"/>
    <col min="51" max="51" width="36.77734375" customWidth="1"/>
    <col min="52" max="52" width="57.109375" customWidth="1"/>
    <col min="53" max="53" width="39.6640625" customWidth="1"/>
    <col min="54" max="56" width="57.109375" customWidth="1"/>
    <col min="57" max="57" width="24.21875" customWidth="1"/>
    <col min="58" max="58" width="57.109375" customWidth="1"/>
    <col min="59" max="59" width="54.33203125" customWidth="1"/>
    <col min="60" max="60" width="57.109375" customWidth="1"/>
    <col min="61" max="61" width="30.88671875" customWidth="1"/>
    <col min="62" max="62" width="53.6640625" customWidth="1"/>
    <col min="63" max="63" width="51" customWidth="1"/>
    <col min="64" max="64" width="57.109375" customWidth="1"/>
    <col min="65" max="65" width="41.77734375" customWidth="1"/>
    <col min="66" max="66" width="57.109375" customWidth="1"/>
    <col min="67" max="67" width="44" customWidth="1"/>
    <col min="68" max="68" width="57.109375" customWidth="1"/>
    <col min="69" max="69" width="31.6640625" customWidth="1"/>
    <col min="70" max="70" width="57.109375" customWidth="1"/>
    <col min="71" max="71" width="31.5546875" customWidth="1"/>
    <col min="72" max="72" width="30.33203125" customWidth="1"/>
    <col min="73" max="73" width="31.33203125" customWidth="1"/>
    <col min="74" max="74" width="54.109375" customWidth="1"/>
    <col min="75" max="75" width="57.109375" customWidth="1"/>
    <col min="76" max="76" width="41.5546875" customWidth="1"/>
    <col min="77" max="77" width="57.109375" customWidth="1"/>
    <col min="78" max="78" width="36.21875" customWidth="1"/>
    <col min="79" max="79" width="37.33203125" customWidth="1"/>
    <col min="80" max="82" width="57.109375" customWidth="1"/>
    <col min="83" max="83" width="53.109375" customWidth="1"/>
    <col min="84" max="84" width="57.109375" customWidth="1"/>
    <col min="85" max="85" width="55.5546875" customWidth="1"/>
    <col min="86" max="86" width="34.44140625" customWidth="1"/>
    <col min="87" max="87" width="37.109375" customWidth="1"/>
    <col min="88" max="88" width="38.5546875" customWidth="1"/>
    <col min="89" max="89" width="32" customWidth="1"/>
    <col min="90" max="90" width="43.33203125" customWidth="1"/>
    <col min="91" max="91" width="23.88671875" customWidth="1"/>
    <col min="92" max="92" width="57.109375" customWidth="1"/>
    <col min="93" max="93" width="32.44140625" customWidth="1"/>
    <col min="94" max="94" width="57.109375" customWidth="1"/>
    <col min="95" max="95" width="33.109375" customWidth="1"/>
    <col min="96" max="96" width="35.5546875" customWidth="1"/>
    <col min="97" max="97" width="33.21875" customWidth="1"/>
    <col min="98" max="98" width="37.33203125" customWidth="1"/>
    <col min="99" max="99" width="57.109375" customWidth="1"/>
    <col min="100" max="100" width="50.5546875" customWidth="1"/>
    <col min="101" max="103" width="57.109375" customWidth="1"/>
    <col min="104" max="104" width="47.33203125" customWidth="1"/>
    <col min="105" max="105" width="50.109375" customWidth="1"/>
    <col min="106" max="106" width="53.44140625" customWidth="1"/>
    <col min="107" max="108" width="57.109375" customWidth="1"/>
    <col min="109" max="109" width="56.21875" customWidth="1"/>
    <col min="110" max="110" width="42.44140625" customWidth="1"/>
    <col min="111" max="111" width="57.109375" customWidth="1"/>
    <col min="112" max="112" width="34.5546875" customWidth="1"/>
    <col min="113" max="113" width="36.109375" customWidth="1"/>
    <col min="114" max="116" width="57.109375" customWidth="1"/>
    <col min="117" max="117" width="59.109375" bestFit="1" customWidth="1"/>
    <col min="118" max="118" width="48.33203125" customWidth="1"/>
    <col min="119" max="119" width="57.109375" customWidth="1"/>
    <col min="120" max="120" width="56.109375" customWidth="1"/>
    <col min="121" max="121" width="40.88671875" customWidth="1"/>
    <col min="122" max="122" width="50.33203125" customWidth="1"/>
    <col min="123" max="123" width="34.44140625" customWidth="1"/>
    <col min="124" max="124" width="53.109375" customWidth="1"/>
    <col min="125" max="126" width="57.109375" customWidth="1"/>
    <col min="127" max="127" width="51" customWidth="1"/>
    <col min="128" max="130" width="57.109375" customWidth="1"/>
    <col min="131" max="131" width="50" customWidth="1"/>
    <col min="132" max="132" width="46.6640625" customWidth="1"/>
    <col min="133" max="134" width="57.109375" customWidth="1"/>
    <col min="135" max="135" width="44.5546875" customWidth="1"/>
    <col min="136" max="136" width="55.33203125" customWidth="1"/>
    <col min="137" max="137" width="56.109375" customWidth="1"/>
    <col min="138" max="138" width="57.109375" customWidth="1"/>
    <col min="139" max="139" width="43.5546875" customWidth="1"/>
    <col min="140" max="140" width="54.5546875" customWidth="1"/>
    <col min="141" max="141" width="57.109375" customWidth="1"/>
    <col min="142" max="142" width="30.5546875" customWidth="1"/>
    <col min="143" max="143" width="56.88671875" customWidth="1"/>
    <col min="144" max="144" width="54.6640625" customWidth="1"/>
    <col min="145" max="145" width="57.109375" customWidth="1"/>
    <col min="146" max="146" width="50.21875" customWidth="1"/>
    <col min="147" max="147" width="52" customWidth="1"/>
    <col min="148" max="148" width="54.5546875" customWidth="1"/>
    <col min="149" max="149" width="43.21875" customWidth="1"/>
    <col min="150" max="152" width="57.109375" customWidth="1"/>
    <col min="153" max="153" width="42.5546875" customWidth="1"/>
    <col min="154" max="154" width="41" customWidth="1"/>
    <col min="155" max="155" width="54" customWidth="1"/>
    <col min="156" max="156" width="38" customWidth="1"/>
    <col min="157" max="157" width="39.77734375" customWidth="1"/>
    <col min="158" max="160" width="57.109375" customWidth="1"/>
    <col min="161" max="161" width="44.77734375" customWidth="1"/>
    <col min="162" max="162" width="57.109375" customWidth="1"/>
    <col min="163" max="163" width="46" customWidth="1"/>
    <col min="164" max="164" width="26.88671875" customWidth="1"/>
    <col min="165" max="165" width="25.44140625" customWidth="1"/>
    <col min="166" max="166" width="26.88671875" customWidth="1"/>
    <col min="167" max="167" width="57.109375" customWidth="1"/>
    <col min="168" max="168" width="38.5546875" customWidth="1"/>
    <col min="169" max="169" width="28.44140625" customWidth="1"/>
    <col min="170" max="170" width="55.109375" customWidth="1"/>
    <col min="171" max="171" width="28.77734375" customWidth="1"/>
    <col min="172" max="172" width="40.44140625" bestFit="1" customWidth="1"/>
    <col min="173" max="173" width="32.33203125" customWidth="1"/>
    <col min="174" max="174" width="39" customWidth="1"/>
    <col min="175" max="175" width="29.5546875" customWidth="1"/>
    <col min="176" max="176" width="33.44140625" customWidth="1"/>
    <col min="177" max="177" width="41.6640625" customWidth="1"/>
    <col min="178" max="178" width="40.6640625" customWidth="1"/>
    <col min="179" max="179" width="57.109375" customWidth="1"/>
    <col min="180" max="180" width="38.21875" customWidth="1"/>
    <col min="181" max="181" width="39.6640625" customWidth="1"/>
    <col min="182" max="182" width="36.5546875" customWidth="1"/>
    <col min="183" max="183" width="39.21875" customWidth="1"/>
    <col min="184" max="184" width="57.109375" customWidth="1"/>
    <col min="185" max="185" width="45.21875" customWidth="1"/>
    <col min="186" max="186" width="40.5546875" customWidth="1"/>
    <col min="187" max="187" width="38.88671875" customWidth="1"/>
    <col min="188" max="188" width="33" customWidth="1"/>
    <col min="189" max="189" width="31.44140625" customWidth="1"/>
    <col min="190" max="190" width="36.5546875" customWidth="1"/>
    <col min="191" max="191" width="41.5546875" customWidth="1"/>
    <col min="192" max="192" width="50" customWidth="1"/>
    <col min="193" max="193" width="31.33203125" customWidth="1"/>
    <col min="194" max="194" width="43.77734375" customWidth="1"/>
    <col min="195" max="203" width="57.109375" customWidth="1"/>
    <col min="204" max="204" width="44.5546875" customWidth="1"/>
    <col min="205" max="205" width="57.109375" customWidth="1"/>
    <col min="206" max="206" width="49.44140625" customWidth="1"/>
    <col min="207" max="208" width="57.109375" customWidth="1"/>
    <col min="209" max="209" width="34.21875" customWidth="1"/>
    <col min="210" max="210" width="33.44140625" customWidth="1"/>
    <col min="211" max="211" width="31.21875" customWidth="1"/>
    <col min="212" max="212" width="30.5546875" customWidth="1"/>
    <col min="213" max="213" width="39.88671875" customWidth="1"/>
    <col min="214" max="214" width="55.77734375" customWidth="1"/>
    <col min="215" max="215" width="37.109375" customWidth="1"/>
    <col min="216" max="216" width="57.109375" customWidth="1"/>
    <col min="217" max="217" width="32.33203125" customWidth="1"/>
    <col min="218" max="220" width="57.109375" customWidth="1"/>
    <col min="221" max="221" width="39.109375" customWidth="1"/>
    <col min="222" max="222" width="35.109375" customWidth="1"/>
    <col min="223" max="223" width="40.33203125" customWidth="1"/>
    <col min="224" max="224" width="36.33203125" customWidth="1"/>
    <col min="225" max="225" width="53" customWidth="1"/>
    <col min="226" max="226" width="48.5546875" customWidth="1"/>
    <col min="227" max="227" width="56.21875" customWidth="1"/>
    <col min="228" max="229" width="57.109375" customWidth="1"/>
    <col min="230" max="230" width="48.44140625" customWidth="1"/>
    <col min="231" max="231" width="41" customWidth="1"/>
    <col min="232" max="232" width="55.44140625" customWidth="1"/>
    <col min="233" max="233" width="57.109375" customWidth="1"/>
    <col min="234" max="234" width="32.21875" customWidth="1"/>
    <col min="235" max="235" width="50.88671875" customWidth="1"/>
  </cols>
  <sheetData>
    <row r="1" spans="1:23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</row>
    <row r="2" spans="1:235" x14ac:dyDescent="0.3">
      <c r="A2">
        <v>510760</v>
      </c>
      <c r="B2" t="s">
        <v>235</v>
      </c>
      <c r="C2" t="s">
        <v>236</v>
      </c>
      <c r="D2">
        <v>2022</v>
      </c>
      <c r="E2">
        <v>51076011</v>
      </c>
      <c r="F2" t="s">
        <v>237</v>
      </c>
      <c r="G2" t="s">
        <v>238</v>
      </c>
      <c r="H2" t="s">
        <v>239</v>
      </c>
      <c r="I2" t="s">
        <v>240</v>
      </c>
      <c r="J2" t="s">
        <v>241</v>
      </c>
      <c r="N2">
        <v>1</v>
      </c>
      <c r="O2">
        <v>1</v>
      </c>
      <c r="P2">
        <v>3</v>
      </c>
      <c r="Q2">
        <v>0</v>
      </c>
      <c r="W2" t="s">
        <v>242</v>
      </c>
      <c r="X2" t="s">
        <v>243</v>
      </c>
      <c r="Z2" s="1">
        <v>244911</v>
      </c>
      <c r="AB2" s="1">
        <v>244911</v>
      </c>
      <c r="AC2" s="1">
        <v>239613</v>
      </c>
      <c r="AD2" s="1">
        <v>90783</v>
      </c>
      <c r="AE2" s="1">
        <v>81679</v>
      </c>
      <c r="AF2" s="1">
        <v>93457</v>
      </c>
      <c r="AG2" s="1">
        <v>89721</v>
      </c>
      <c r="AH2" s="1">
        <v>83763</v>
      </c>
      <c r="AI2" s="1">
        <v>80798</v>
      </c>
      <c r="AJ2" s="2">
        <v>1701.73</v>
      </c>
      <c r="AK2" s="2">
        <v>1171.23</v>
      </c>
      <c r="AL2" s="2">
        <v>31733</v>
      </c>
      <c r="AM2" s="2">
        <v>11805</v>
      </c>
      <c r="AN2" s="2">
        <v>11894.8</v>
      </c>
      <c r="AO2" s="2">
        <v>11954.81</v>
      </c>
      <c r="AP2" s="2">
        <v>14721.96</v>
      </c>
      <c r="AQ2" s="2">
        <v>31733</v>
      </c>
      <c r="AR2" s="1">
        <v>87267</v>
      </c>
      <c r="AS2" s="1">
        <v>83674</v>
      </c>
      <c r="AT2" s="1">
        <v>90162</v>
      </c>
      <c r="AU2" s="1">
        <v>86532</v>
      </c>
      <c r="AV2" s="2">
        <v>19928</v>
      </c>
      <c r="AW2">
        <v>0</v>
      </c>
      <c r="AX2">
        <v>0</v>
      </c>
      <c r="AY2">
        <v>0</v>
      </c>
      <c r="AZ2" s="2">
        <v>10824.4</v>
      </c>
      <c r="BA2" s="1">
        <v>90797</v>
      </c>
      <c r="BB2" s="1">
        <v>87477</v>
      </c>
      <c r="BC2" s="1">
        <v>86629</v>
      </c>
      <c r="BD2" s="1">
        <v>83585</v>
      </c>
      <c r="BH2" s="1">
        <v>230483</v>
      </c>
      <c r="BI2">
        <v>0</v>
      </c>
      <c r="BJ2" s="2">
        <v>21343.15</v>
      </c>
      <c r="BK2" s="1">
        <v>244911</v>
      </c>
      <c r="BL2" s="1">
        <v>230483</v>
      </c>
      <c r="BM2" s="1">
        <v>85675</v>
      </c>
      <c r="BN2" s="1">
        <v>82109</v>
      </c>
      <c r="BO2" s="1">
        <v>93915</v>
      </c>
      <c r="BP2" s="1">
        <v>89632</v>
      </c>
      <c r="BQ2" s="2">
        <v>1593.8</v>
      </c>
      <c r="BR2">
        <v>785.03</v>
      </c>
      <c r="BS2" s="2">
        <v>9538.94</v>
      </c>
      <c r="BT2" s="2">
        <v>9081.81</v>
      </c>
      <c r="BU2" s="2">
        <v>13833.64</v>
      </c>
      <c r="BV2" s="1">
        <v>80971</v>
      </c>
      <c r="BW2" s="1">
        <v>76993</v>
      </c>
      <c r="BX2" s="1">
        <v>86212</v>
      </c>
      <c r="BY2" s="1">
        <v>82602</v>
      </c>
      <c r="BZ2">
        <v>0</v>
      </c>
      <c r="CA2">
        <v>0</v>
      </c>
      <c r="CB2">
        <v>0</v>
      </c>
      <c r="CC2">
        <v>0</v>
      </c>
      <c r="CF2" s="1">
        <v>230483</v>
      </c>
      <c r="CG2" s="2">
        <v>4793.3999999999996</v>
      </c>
      <c r="CH2" s="2">
        <v>92765069.049999997</v>
      </c>
      <c r="CI2" s="2">
        <v>58482326.140000001</v>
      </c>
      <c r="CJ2" s="2">
        <v>34282742.909999996</v>
      </c>
      <c r="CK2" s="2">
        <v>36684673.259999998</v>
      </c>
      <c r="CL2" s="2">
        <v>129449742.31</v>
      </c>
      <c r="CM2" s="2">
        <v>92765069.060000002</v>
      </c>
      <c r="CN2">
        <v>0</v>
      </c>
      <c r="CQ2" s="2">
        <v>6052886.6600000001</v>
      </c>
      <c r="CR2" s="2">
        <v>2901906.31</v>
      </c>
      <c r="CS2" s="2">
        <v>21627015.890000001</v>
      </c>
      <c r="CT2" s="2">
        <v>34162795.210000001</v>
      </c>
      <c r="CU2" s="2">
        <v>75042596.030000001</v>
      </c>
      <c r="CV2">
        <v>0</v>
      </c>
      <c r="CW2" s="2">
        <v>77461300.060000002</v>
      </c>
      <c r="CX2" s="2">
        <v>632760.03</v>
      </c>
      <c r="CY2" s="2">
        <v>2418704.0299999998</v>
      </c>
      <c r="CZ2">
        <v>0</v>
      </c>
      <c r="DA2" s="2">
        <v>1271234.42</v>
      </c>
      <c r="DB2">
        <v>0</v>
      </c>
      <c r="DC2" s="2">
        <v>6237527.0300000003</v>
      </c>
      <c r="DD2" s="2">
        <v>1565275.08</v>
      </c>
      <c r="DE2" s="2">
        <v>1572984.41</v>
      </c>
      <c r="DF2">
        <v>33</v>
      </c>
      <c r="DG2">
        <v>33</v>
      </c>
      <c r="DH2" s="2">
        <v>9026757.5399999991</v>
      </c>
      <c r="DI2">
        <v>0</v>
      </c>
      <c r="DJ2" s="2">
        <v>5192935.5</v>
      </c>
      <c r="DK2" s="2">
        <v>4815611.05</v>
      </c>
      <c r="DL2">
        <v>0</v>
      </c>
      <c r="DM2" s="2">
        <v>10008546.550000001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K2">
        <v>5</v>
      </c>
      <c r="EL2">
        <v>35</v>
      </c>
      <c r="EN2" s="1">
        <v>9347</v>
      </c>
      <c r="EO2">
        <v>124</v>
      </c>
      <c r="EP2" s="1">
        <v>9347</v>
      </c>
      <c r="EQ2">
        <v>619</v>
      </c>
      <c r="ER2" s="1">
        <v>7055</v>
      </c>
      <c r="EU2" s="1">
        <v>9347</v>
      </c>
      <c r="EV2" s="1">
        <v>9347</v>
      </c>
      <c r="EW2">
        <v>0</v>
      </c>
      <c r="EX2">
        <v>0</v>
      </c>
      <c r="EY2" s="1">
        <v>516146</v>
      </c>
      <c r="EZ2" s="1">
        <v>513214</v>
      </c>
      <c r="FB2" s="1">
        <v>5156</v>
      </c>
      <c r="FC2">
        <v>108</v>
      </c>
      <c r="FD2" s="1">
        <v>5156</v>
      </c>
      <c r="FE2">
        <v>1.06</v>
      </c>
      <c r="FF2" s="2">
        <v>5556.44</v>
      </c>
      <c r="FG2">
        <v>2.71</v>
      </c>
      <c r="FH2">
        <v>3.25</v>
      </c>
      <c r="FI2">
        <v>3.97</v>
      </c>
      <c r="FJ2">
        <v>2.48</v>
      </c>
      <c r="FK2">
        <v>51.92</v>
      </c>
      <c r="FL2" s="2">
        <v>183420.81</v>
      </c>
      <c r="FM2">
        <v>95.42</v>
      </c>
      <c r="FN2">
        <v>37.479999999999997</v>
      </c>
      <c r="FO2">
        <v>100</v>
      </c>
      <c r="FP2">
        <v>119.76</v>
      </c>
      <c r="FQ2">
        <v>53.61</v>
      </c>
      <c r="FR2">
        <v>11.22</v>
      </c>
      <c r="FS2">
        <v>79.790000000000006</v>
      </c>
      <c r="FT2">
        <v>95.21</v>
      </c>
      <c r="FU2">
        <v>13.39</v>
      </c>
      <c r="FV2">
        <v>219.25</v>
      </c>
      <c r="FW2">
        <v>836.3</v>
      </c>
      <c r="FX2">
        <v>16.12</v>
      </c>
      <c r="FY2">
        <v>14.09</v>
      </c>
      <c r="FZ2">
        <v>135.19999999999999</v>
      </c>
      <c r="GC2">
        <v>28.87</v>
      </c>
      <c r="GD2">
        <v>2.63</v>
      </c>
      <c r="GE2">
        <v>409.26</v>
      </c>
      <c r="GF2">
        <v>46.39</v>
      </c>
      <c r="GG2">
        <v>28.34</v>
      </c>
      <c r="GH2">
        <v>80.900000000000006</v>
      </c>
      <c r="GI2">
        <v>6.52</v>
      </c>
      <c r="GJ2">
        <v>43.35</v>
      </c>
      <c r="GK2">
        <v>0</v>
      </c>
      <c r="GL2">
        <v>9.73</v>
      </c>
      <c r="GM2">
        <v>8.07</v>
      </c>
      <c r="GN2">
        <v>53.59</v>
      </c>
      <c r="GO2">
        <v>28.82</v>
      </c>
      <c r="GP2">
        <v>3.87</v>
      </c>
      <c r="GQ2">
        <v>12.03</v>
      </c>
      <c r="GR2">
        <v>45.18</v>
      </c>
      <c r="GS2">
        <v>26.48</v>
      </c>
      <c r="GT2">
        <v>28.34</v>
      </c>
      <c r="GU2">
        <v>93.32</v>
      </c>
      <c r="GV2">
        <v>99.5</v>
      </c>
      <c r="GW2">
        <v>0.38</v>
      </c>
      <c r="GX2">
        <v>75.97</v>
      </c>
      <c r="GZ2">
        <v>0.19</v>
      </c>
      <c r="HA2">
        <v>62.33</v>
      </c>
      <c r="HB2">
        <v>37.72</v>
      </c>
      <c r="HC2">
        <v>628.39</v>
      </c>
      <c r="HD2">
        <v>37.67</v>
      </c>
      <c r="HE2">
        <v>10.88</v>
      </c>
      <c r="HG2">
        <v>100</v>
      </c>
      <c r="HH2">
        <v>100</v>
      </c>
      <c r="HI2">
        <v>0</v>
      </c>
      <c r="HJ2">
        <v>0.67</v>
      </c>
      <c r="HK2">
        <v>0.5</v>
      </c>
      <c r="HL2">
        <v>0.83</v>
      </c>
      <c r="HN2">
        <v>7</v>
      </c>
      <c r="HQ2">
        <v>1.33</v>
      </c>
      <c r="HR2">
        <v>6.62</v>
      </c>
      <c r="HT2">
        <v>100</v>
      </c>
      <c r="HU2">
        <v>100</v>
      </c>
      <c r="HV2">
        <v>4.43</v>
      </c>
      <c r="HX2">
        <v>2.09</v>
      </c>
      <c r="HY2">
        <v>100</v>
      </c>
      <c r="HZ2">
        <v>123.62</v>
      </c>
      <c r="IA2">
        <v>775.92</v>
      </c>
    </row>
    <row r="3" spans="1:235" x14ac:dyDescent="0.3">
      <c r="A3">
        <v>510760</v>
      </c>
      <c r="B3" t="s">
        <v>235</v>
      </c>
      <c r="C3" t="s">
        <v>236</v>
      </c>
      <c r="D3">
        <v>2021</v>
      </c>
      <c r="E3">
        <v>51076011</v>
      </c>
      <c r="F3" t="s">
        <v>237</v>
      </c>
      <c r="G3" t="s">
        <v>238</v>
      </c>
      <c r="H3" t="s">
        <v>239</v>
      </c>
      <c r="I3" t="s">
        <v>240</v>
      </c>
      <c r="J3" t="s">
        <v>241</v>
      </c>
      <c r="N3">
        <v>1</v>
      </c>
      <c r="O3">
        <v>1</v>
      </c>
      <c r="P3">
        <v>3</v>
      </c>
      <c r="Q3">
        <v>0</v>
      </c>
      <c r="W3" t="s">
        <v>242</v>
      </c>
      <c r="X3" t="s">
        <v>243</v>
      </c>
      <c r="Z3" s="1">
        <v>239613</v>
      </c>
      <c r="AA3" s="1">
        <v>230483</v>
      </c>
      <c r="AB3" s="1">
        <v>239613</v>
      </c>
      <c r="AC3" s="1">
        <v>236042</v>
      </c>
      <c r="AD3" s="1">
        <v>81679</v>
      </c>
      <c r="AE3" s="1">
        <v>80251</v>
      </c>
      <c r="AF3" s="1">
        <v>89721</v>
      </c>
      <c r="AG3" s="1">
        <v>87533</v>
      </c>
      <c r="AH3" s="1">
        <v>80798</v>
      </c>
      <c r="AI3" s="1">
        <v>79422</v>
      </c>
      <c r="AJ3" s="2">
        <v>1171.23</v>
      </c>
      <c r="AK3" s="2">
        <v>1167.68</v>
      </c>
      <c r="AL3" s="2">
        <v>22984</v>
      </c>
      <c r="AM3" s="2">
        <v>10993</v>
      </c>
      <c r="AN3" s="2">
        <v>11410.4</v>
      </c>
      <c r="AO3" s="2">
        <v>11474.22</v>
      </c>
      <c r="AP3" s="2">
        <v>14260.58</v>
      </c>
      <c r="AQ3" s="2">
        <v>22984</v>
      </c>
      <c r="AR3" s="1">
        <v>83674</v>
      </c>
      <c r="AS3" s="1">
        <v>83336</v>
      </c>
      <c r="AT3" s="1">
        <v>86532</v>
      </c>
      <c r="AU3" s="1">
        <v>84993</v>
      </c>
      <c r="AV3" s="2">
        <v>11991</v>
      </c>
      <c r="AW3">
        <v>0</v>
      </c>
      <c r="AX3">
        <v>0</v>
      </c>
      <c r="AY3">
        <v>0</v>
      </c>
      <c r="AZ3" s="2">
        <v>10569.38</v>
      </c>
      <c r="BA3" s="1">
        <v>87477</v>
      </c>
      <c r="BB3" s="1">
        <v>85314</v>
      </c>
      <c r="BC3" s="1">
        <v>83585</v>
      </c>
      <c r="BD3" s="1">
        <v>82844</v>
      </c>
      <c r="BG3" s="1">
        <v>230483</v>
      </c>
      <c r="BH3" s="1">
        <v>227048</v>
      </c>
      <c r="BI3">
        <v>0</v>
      </c>
      <c r="BJ3" s="2">
        <v>21018.27</v>
      </c>
      <c r="BK3" s="1">
        <v>230483</v>
      </c>
      <c r="BL3" s="1">
        <v>223868</v>
      </c>
      <c r="BM3" s="1">
        <v>82109</v>
      </c>
      <c r="BN3" s="1">
        <v>76245</v>
      </c>
      <c r="BO3" s="1">
        <v>89632</v>
      </c>
      <c r="BP3" s="1">
        <v>82914</v>
      </c>
      <c r="BQ3">
        <v>785.03</v>
      </c>
      <c r="BR3">
        <v>781.06</v>
      </c>
      <c r="BS3" s="2">
        <v>10338</v>
      </c>
      <c r="BT3" s="2">
        <v>10139</v>
      </c>
      <c r="BU3" s="2">
        <v>13001.29</v>
      </c>
      <c r="BV3" s="1">
        <v>76993</v>
      </c>
      <c r="BW3" s="1">
        <v>72237</v>
      </c>
      <c r="BX3" s="1">
        <v>82602</v>
      </c>
      <c r="BY3" s="1">
        <v>76601</v>
      </c>
      <c r="BZ3">
        <v>0</v>
      </c>
      <c r="CA3">
        <v>0</v>
      </c>
      <c r="CB3">
        <v>0</v>
      </c>
      <c r="CC3">
        <v>0</v>
      </c>
      <c r="CE3" s="1">
        <v>230483</v>
      </c>
      <c r="CF3" s="1">
        <v>223868</v>
      </c>
      <c r="CG3" s="2">
        <v>6368.13</v>
      </c>
      <c r="CH3" s="2">
        <v>91133259.450000003</v>
      </c>
      <c r="CI3" s="2">
        <v>57453576.609999999</v>
      </c>
      <c r="CJ3" s="2">
        <v>33679682.840000004</v>
      </c>
      <c r="CK3" s="2">
        <v>18090947.059999999</v>
      </c>
      <c r="CL3" s="2">
        <v>109224206.51000001</v>
      </c>
      <c r="CM3" s="2">
        <v>91133259.450000003</v>
      </c>
      <c r="CN3">
        <v>0</v>
      </c>
      <c r="CP3" s="2">
        <v>9011695.3900000006</v>
      </c>
      <c r="CQ3" s="2">
        <v>5038531.3899999997</v>
      </c>
      <c r="CR3" s="2">
        <v>1704644.7</v>
      </c>
      <c r="CS3" s="2">
        <v>22358864.73</v>
      </c>
      <c r="CT3" s="2">
        <v>27775215.309999999</v>
      </c>
      <c r="CU3" s="2">
        <v>63583559.740000002</v>
      </c>
      <c r="CV3">
        <v>0</v>
      </c>
      <c r="CW3" s="2">
        <v>65915794.840000004</v>
      </c>
      <c r="CX3" s="2">
        <v>349690.8</v>
      </c>
      <c r="CY3" s="2">
        <v>2332235.1</v>
      </c>
      <c r="CZ3">
        <v>0</v>
      </c>
      <c r="DA3" s="2">
        <v>1083962.96</v>
      </c>
      <c r="DB3">
        <v>0</v>
      </c>
      <c r="DC3" s="2">
        <v>4948758.22</v>
      </c>
      <c r="DD3" s="2">
        <v>1762983.46</v>
      </c>
      <c r="DE3" s="2">
        <v>1830151.84</v>
      </c>
      <c r="DF3">
        <v>33</v>
      </c>
      <c r="DG3">
        <v>33</v>
      </c>
      <c r="DH3" s="2">
        <v>5622340.6500000004</v>
      </c>
      <c r="DI3">
        <v>0</v>
      </c>
      <c r="DJ3" s="2">
        <v>2135782.09</v>
      </c>
      <c r="DK3">
        <v>0</v>
      </c>
      <c r="DL3" s="2">
        <v>6755802.2300000004</v>
      </c>
      <c r="DM3" s="2">
        <v>8891584.3200000003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K3">
        <v>61</v>
      </c>
      <c r="EL3">
        <v>366</v>
      </c>
      <c r="EN3" s="1">
        <v>12198</v>
      </c>
      <c r="EO3">
        <v>233</v>
      </c>
      <c r="EP3" s="1">
        <v>12198</v>
      </c>
      <c r="EQ3">
        <v>822</v>
      </c>
      <c r="ER3" s="1">
        <v>6495</v>
      </c>
      <c r="EU3" s="1">
        <v>12198</v>
      </c>
      <c r="EV3" s="1">
        <v>12198</v>
      </c>
      <c r="EW3">
        <v>32</v>
      </c>
      <c r="EX3">
        <v>208</v>
      </c>
      <c r="EY3" s="1">
        <v>475881</v>
      </c>
      <c r="EZ3" s="1">
        <v>474170</v>
      </c>
      <c r="FA3" s="2">
        <v>2684939.44</v>
      </c>
      <c r="FB3" s="1">
        <v>8012</v>
      </c>
      <c r="FC3">
        <v>155</v>
      </c>
      <c r="FD3" s="1">
        <v>8012</v>
      </c>
      <c r="FE3">
        <v>1.0900000000000001</v>
      </c>
      <c r="FF3" s="2">
        <v>5300</v>
      </c>
      <c r="FG3">
        <v>2.42</v>
      </c>
      <c r="FH3">
        <v>3.34</v>
      </c>
      <c r="FI3">
        <v>4.03</v>
      </c>
      <c r="FJ3">
        <v>2.59</v>
      </c>
      <c r="FK3">
        <v>49.78</v>
      </c>
      <c r="FL3" s="2">
        <v>152682.76999999999</v>
      </c>
      <c r="FM3">
        <v>98.94</v>
      </c>
      <c r="FN3">
        <v>49.64</v>
      </c>
      <c r="FO3">
        <v>100</v>
      </c>
      <c r="FP3">
        <v>138.26</v>
      </c>
      <c r="FQ3">
        <v>37.950000000000003</v>
      </c>
      <c r="FR3">
        <v>11.09</v>
      </c>
      <c r="FS3">
        <v>90.1</v>
      </c>
      <c r="FT3">
        <v>98.08</v>
      </c>
      <c r="FU3">
        <v>13.41</v>
      </c>
      <c r="FV3">
        <v>214.91</v>
      </c>
      <c r="FW3">
        <v>813.81</v>
      </c>
      <c r="FX3">
        <v>13.54</v>
      </c>
      <c r="FY3">
        <v>9.84</v>
      </c>
      <c r="FZ3">
        <v>132.18</v>
      </c>
      <c r="GA3">
        <v>100</v>
      </c>
      <c r="GB3">
        <v>100</v>
      </c>
      <c r="GC3">
        <v>21.61</v>
      </c>
      <c r="GD3">
        <v>2.33</v>
      </c>
      <c r="GE3">
        <v>363.54</v>
      </c>
      <c r="GF3">
        <v>62.05</v>
      </c>
      <c r="GG3">
        <v>16.559999999999999</v>
      </c>
      <c r="GH3">
        <v>69.77</v>
      </c>
      <c r="GI3">
        <v>5.53</v>
      </c>
      <c r="GJ3">
        <v>36.01</v>
      </c>
      <c r="GK3">
        <v>0</v>
      </c>
      <c r="GL3">
        <v>6.17</v>
      </c>
      <c r="GM3">
        <v>7.92</v>
      </c>
      <c r="GN3">
        <v>51.61</v>
      </c>
      <c r="GO3">
        <v>35.159999999999997</v>
      </c>
      <c r="GP3">
        <v>2.68</v>
      </c>
      <c r="GQ3">
        <v>8.84</v>
      </c>
      <c r="GR3">
        <v>52.6</v>
      </c>
      <c r="GS3">
        <v>30.84</v>
      </c>
      <c r="GT3">
        <v>16.559999999999999</v>
      </c>
      <c r="GU3">
        <v>94.22</v>
      </c>
      <c r="GV3">
        <v>99.44</v>
      </c>
      <c r="GW3">
        <v>0.41</v>
      </c>
      <c r="GX3">
        <v>88.36</v>
      </c>
      <c r="GY3">
        <v>100</v>
      </c>
      <c r="GZ3">
        <v>0.21</v>
      </c>
      <c r="HA3">
        <v>50.08</v>
      </c>
      <c r="HB3">
        <v>26.96</v>
      </c>
      <c r="HC3">
        <v>389.47</v>
      </c>
      <c r="HD3">
        <v>49.92</v>
      </c>
      <c r="HE3">
        <v>10.79</v>
      </c>
      <c r="HG3">
        <v>100</v>
      </c>
      <c r="HH3">
        <v>96.19</v>
      </c>
      <c r="HI3">
        <v>0</v>
      </c>
      <c r="HJ3">
        <v>0.91</v>
      </c>
      <c r="HK3">
        <v>0.62</v>
      </c>
      <c r="HL3">
        <v>0.82</v>
      </c>
      <c r="HN3">
        <v>6</v>
      </c>
      <c r="HP3">
        <v>6.5</v>
      </c>
      <c r="HQ3">
        <v>1.91</v>
      </c>
      <c r="HR3">
        <v>6.74</v>
      </c>
      <c r="HT3">
        <v>100</v>
      </c>
      <c r="HU3">
        <v>100</v>
      </c>
      <c r="HV3">
        <v>8.27</v>
      </c>
      <c r="HW3">
        <v>5.66</v>
      </c>
      <c r="HX3">
        <v>1.93</v>
      </c>
      <c r="HY3">
        <v>100</v>
      </c>
      <c r="HZ3">
        <v>143.33000000000001</v>
      </c>
      <c r="IA3">
        <v>745.14</v>
      </c>
    </row>
    <row r="4" spans="1:235" x14ac:dyDescent="0.3">
      <c r="A4">
        <v>510760</v>
      </c>
      <c r="B4" t="s">
        <v>235</v>
      </c>
      <c r="C4" t="s">
        <v>236</v>
      </c>
      <c r="D4">
        <v>2020</v>
      </c>
      <c r="E4">
        <v>51076011</v>
      </c>
      <c r="F4" t="s">
        <v>237</v>
      </c>
      <c r="G4" t="s">
        <v>238</v>
      </c>
      <c r="H4" t="s">
        <v>239</v>
      </c>
      <c r="I4" t="s">
        <v>240</v>
      </c>
      <c r="J4" t="s">
        <v>241</v>
      </c>
      <c r="N4">
        <v>1</v>
      </c>
      <c r="O4">
        <v>1</v>
      </c>
      <c r="P4">
        <v>3</v>
      </c>
      <c r="Q4">
        <v>0</v>
      </c>
      <c r="W4" t="s">
        <v>242</v>
      </c>
      <c r="X4" t="s">
        <v>243</v>
      </c>
      <c r="Z4" s="1">
        <v>236042</v>
      </c>
      <c r="AA4" s="1">
        <v>227048</v>
      </c>
      <c r="AB4" s="1">
        <v>236042</v>
      </c>
      <c r="AC4" s="1">
        <v>232491</v>
      </c>
      <c r="AD4" s="1">
        <v>80251</v>
      </c>
      <c r="AE4" s="1">
        <v>78588</v>
      </c>
      <c r="AF4" s="1">
        <v>87533</v>
      </c>
      <c r="AG4" s="1">
        <v>85897</v>
      </c>
      <c r="AH4" s="1">
        <v>79422</v>
      </c>
      <c r="AI4" s="1">
        <v>77821</v>
      </c>
      <c r="AJ4" s="2">
        <v>1167.68</v>
      </c>
      <c r="AK4" s="2">
        <v>1136.07</v>
      </c>
      <c r="AL4" s="2">
        <v>29703</v>
      </c>
      <c r="AM4" s="2">
        <v>10731</v>
      </c>
      <c r="AN4" s="2">
        <v>11522.08</v>
      </c>
      <c r="AO4" s="2">
        <v>11577</v>
      </c>
      <c r="AP4" s="2">
        <v>14137.1</v>
      </c>
      <c r="AQ4" s="2">
        <v>29703</v>
      </c>
      <c r="AR4" s="1">
        <v>83336</v>
      </c>
      <c r="AS4" s="1">
        <v>81843</v>
      </c>
      <c r="AT4" s="1">
        <v>84993</v>
      </c>
      <c r="AU4" s="1">
        <v>83421</v>
      </c>
      <c r="AV4" s="2">
        <v>18972</v>
      </c>
      <c r="AW4">
        <v>0</v>
      </c>
      <c r="AX4">
        <v>0</v>
      </c>
      <c r="AY4">
        <v>0</v>
      </c>
      <c r="AZ4" s="2">
        <v>10813</v>
      </c>
      <c r="BA4" s="1">
        <v>85314</v>
      </c>
      <c r="BB4" s="1">
        <v>82959</v>
      </c>
      <c r="BC4" s="1">
        <v>82844</v>
      </c>
      <c r="BD4" s="1">
        <v>81052</v>
      </c>
      <c r="BE4" s="2">
        <v>10731</v>
      </c>
      <c r="BG4" s="1">
        <v>227048</v>
      </c>
      <c r="BH4" s="1">
        <v>223633</v>
      </c>
      <c r="BI4">
        <v>0</v>
      </c>
      <c r="BJ4" s="2">
        <v>17812.5</v>
      </c>
      <c r="BK4" s="1">
        <v>223868</v>
      </c>
      <c r="BL4" s="1">
        <v>209938</v>
      </c>
      <c r="BM4" s="1">
        <v>76245</v>
      </c>
      <c r="BN4" s="1">
        <v>69818</v>
      </c>
      <c r="BO4" s="1">
        <v>82914</v>
      </c>
      <c r="BP4" s="1">
        <v>76500</v>
      </c>
      <c r="BQ4">
        <v>781.06</v>
      </c>
      <c r="BR4">
        <v>704.23</v>
      </c>
      <c r="BS4" s="2">
        <v>9819</v>
      </c>
      <c r="BT4" s="2">
        <v>9608</v>
      </c>
      <c r="BU4" s="2">
        <v>12134</v>
      </c>
      <c r="BV4" s="1">
        <v>72237</v>
      </c>
      <c r="BW4" s="1">
        <v>66647</v>
      </c>
      <c r="BX4" s="1">
        <v>76601</v>
      </c>
      <c r="BY4" s="1">
        <v>70129</v>
      </c>
      <c r="BZ4">
        <v>0</v>
      </c>
      <c r="CA4">
        <v>0</v>
      </c>
      <c r="CB4">
        <v>0</v>
      </c>
      <c r="CC4">
        <v>0</v>
      </c>
      <c r="CE4" s="1">
        <v>223868</v>
      </c>
      <c r="CF4" s="1">
        <v>209938</v>
      </c>
      <c r="CG4" s="2">
        <v>5937.28</v>
      </c>
      <c r="CH4" s="2">
        <v>79292752.709999993</v>
      </c>
      <c r="CI4" s="2">
        <v>49954434.210000001</v>
      </c>
      <c r="CJ4" s="2">
        <v>29338318.5</v>
      </c>
      <c r="CK4" s="2">
        <v>18988714.84</v>
      </c>
      <c r="CL4" s="2">
        <v>98281467.549999997</v>
      </c>
      <c r="CM4" s="2">
        <v>79292752.709999993</v>
      </c>
      <c r="CN4">
        <v>0</v>
      </c>
      <c r="CO4" s="2">
        <v>9011695.3900000006</v>
      </c>
      <c r="CP4" s="2">
        <v>12383501.310000001</v>
      </c>
      <c r="CQ4" s="2">
        <v>5052923.63</v>
      </c>
      <c r="CR4" s="2">
        <v>1529856.38</v>
      </c>
      <c r="CS4" s="2">
        <v>14926364.68</v>
      </c>
      <c r="CT4" s="2">
        <v>30827015.559999999</v>
      </c>
      <c r="CU4" s="2">
        <v>59584222.439999998</v>
      </c>
      <c r="CV4">
        <v>0</v>
      </c>
      <c r="CW4" s="2">
        <v>61507888.030000001</v>
      </c>
      <c r="CX4" s="2">
        <v>519245.05</v>
      </c>
      <c r="CY4" s="2">
        <v>1923665.59</v>
      </c>
      <c r="CZ4">
        <v>0</v>
      </c>
      <c r="DA4" s="2">
        <v>892668.94</v>
      </c>
      <c r="DB4">
        <v>0</v>
      </c>
      <c r="DC4" s="2">
        <v>5766297.0499999998</v>
      </c>
      <c r="DD4" s="2">
        <v>4198647.18</v>
      </c>
      <c r="DE4" s="2">
        <v>2932912.7</v>
      </c>
      <c r="DF4">
        <v>33</v>
      </c>
      <c r="DG4">
        <v>33</v>
      </c>
      <c r="DH4" s="2">
        <v>6355393.25</v>
      </c>
      <c r="DI4">
        <v>0</v>
      </c>
      <c r="DJ4" s="2">
        <v>4646287.34</v>
      </c>
      <c r="DK4" s="2">
        <v>7415656.6399999997</v>
      </c>
      <c r="DL4" s="2">
        <v>1355158</v>
      </c>
      <c r="DM4" s="2">
        <v>13417101.98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K4">
        <v>5</v>
      </c>
      <c r="EL4">
        <v>51</v>
      </c>
      <c r="EN4" s="1">
        <v>12404</v>
      </c>
      <c r="EO4">
        <v>201</v>
      </c>
      <c r="EP4" s="1">
        <v>12404</v>
      </c>
      <c r="EQ4">
        <v>349</v>
      </c>
      <c r="ER4" s="1">
        <v>5971</v>
      </c>
      <c r="EU4" s="1">
        <v>12404</v>
      </c>
      <c r="EV4" s="1">
        <v>12404</v>
      </c>
      <c r="EW4">
        <v>28</v>
      </c>
      <c r="EX4">
        <v>196</v>
      </c>
      <c r="EY4" s="1">
        <v>415040</v>
      </c>
      <c r="EZ4" s="1">
        <v>414150</v>
      </c>
      <c r="FA4" s="2">
        <v>2057527.16</v>
      </c>
      <c r="FB4" s="1">
        <v>8176</v>
      </c>
      <c r="FC4">
        <v>97</v>
      </c>
      <c r="FD4" s="1">
        <v>8176</v>
      </c>
      <c r="FE4">
        <v>1.0900000000000001</v>
      </c>
      <c r="FF4" s="2">
        <v>5043.09</v>
      </c>
      <c r="FG4">
        <v>2.34</v>
      </c>
      <c r="FH4">
        <v>3.02</v>
      </c>
      <c r="FI4">
        <v>3.53</v>
      </c>
      <c r="FJ4">
        <v>2.42</v>
      </c>
      <c r="FK4">
        <v>58.33</v>
      </c>
      <c r="FL4" s="2">
        <v>153118.9</v>
      </c>
      <c r="FM4">
        <v>99</v>
      </c>
      <c r="FN4">
        <v>60.73</v>
      </c>
      <c r="FO4">
        <v>100</v>
      </c>
      <c r="FP4">
        <v>128.91</v>
      </c>
      <c r="FQ4">
        <v>25.48</v>
      </c>
      <c r="FR4">
        <v>11.4</v>
      </c>
      <c r="FS4">
        <v>84.81</v>
      </c>
      <c r="FT4">
        <v>97.85</v>
      </c>
      <c r="FU4">
        <v>13.59</v>
      </c>
      <c r="FV4">
        <v>234.33</v>
      </c>
      <c r="FW4">
        <v>710.21</v>
      </c>
      <c r="FX4">
        <v>13.69</v>
      </c>
      <c r="FY4">
        <v>10.119999999999999</v>
      </c>
      <c r="FZ4">
        <v>135.38999999999999</v>
      </c>
      <c r="GA4">
        <v>100</v>
      </c>
      <c r="GB4">
        <v>98.6</v>
      </c>
      <c r="GC4">
        <v>28.54</v>
      </c>
      <c r="GD4">
        <v>2.27</v>
      </c>
      <c r="GE4">
        <v>358.03</v>
      </c>
      <c r="GF4">
        <v>74.52</v>
      </c>
      <c r="GG4">
        <v>19.32</v>
      </c>
      <c r="GH4">
        <v>75.14</v>
      </c>
      <c r="GI4">
        <v>6.37</v>
      </c>
      <c r="GJ4">
        <v>45.25</v>
      </c>
      <c r="GK4">
        <v>0</v>
      </c>
      <c r="GL4">
        <v>8.02</v>
      </c>
      <c r="GM4">
        <v>8.48</v>
      </c>
      <c r="GN4">
        <v>60.22</v>
      </c>
      <c r="GO4">
        <v>25.05</v>
      </c>
      <c r="GP4">
        <v>2.57</v>
      </c>
      <c r="GQ4">
        <v>10.67</v>
      </c>
      <c r="GR4">
        <v>50.83</v>
      </c>
      <c r="GS4">
        <v>29.85</v>
      </c>
      <c r="GT4">
        <v>19.32</v>
      </c>
      <c r="GU4">
        <v>95.24</v>
      </c>
      <c r="GV4">
        <v>99.53</v>
      </c>
      <c r="GW4">
        <v>0.42</v>
      </c>
      <c r="GX4">
        <v>82.99</v>
      </c>
      <c r="GY4">
        <v>98.6</v>
      </c>
      <c r="GZ4">
        <v>0.22</v>
      </c>
      <c r="HA4">
        <v>38.979999999999997</v>
      </c>
      <c r="HB4">
        <v>17.59</v>
      </c>
      <c r="HC4">
        <v>255.1</v>
      </c>
      <c r="HD4">
        <v>61.02</v>
      </c>
      <c r="HE4">
        <v>11.13</v>
      </c>
      <c r="HF4">
        <v>33.01</v>
      </c>
      <c r="HG4">
        <v>100</v>
      </c>
      <c r="HH4">
        <v>94.84</v>
      </c>
      <c r="HI4">
        <v>0</v>
      </c>
      <c r="HJ4">
        <v>0.6</v>
      </c>
      <c r="HK4">
        <v>0.6</v>
      </c>
      <c r="HL4">
        <v>0.63</v>
      </c>
      <c r="HN4">
        <v>10.199999999999999</v>
      </c>
      <c r="HP4">
        <v>7</v>
      </c>
      <c r="HQ4">
        <v>1.62</v>
      </c>
      <c r="HR4">
        <v>2.81</v>
      </c>
      <c r="HT4">
        <v>100</v>
      </c>
      <c r="HU4">
        <v>100</v>
      </c>
      <c r="HV4">
        <v>7.64</v>
      </c>
      <c r="HW4">
        <v>4.97</v>
      </c>
      <c r="HX4">
        <v>1.19</v>
      </c>
      <c r="HY4">
        <v>100</v>
      </c>
      <c r="HZ4">
        <v>133.08000000000001</v>
      </c>
      <c r="IA4">
        <v>650.59</v>
      </c>
    </row>
    <row r="5" spans="1:235" x14ac:dyDescent="0.3">
      <c r="A5">
        <v>510760</v>
      </c>
      <c r="B5" t="s">
        <v>235</v>
      </c>
      <c r="C5" t="s">
        <v>236</v>
      </c>
      <c r="D5">
        <v>2019</v>
      </c>
      <c r="E5">
        <v>51076011</v>
      </c>
      <c r="F5" t="s">
        <v>237</v>
      </c>
      <c r="G5" t="s">
        <v>238</v>
      </c>
      <c r="H5" t="s">
        <v>239</v>
      </c>
      <c r="I5" t="s">
        <v>240</v>
      </c>
      <c r="J5" t="s">
        <v>241</v>
      </c>
      <c r="N5">
        <v>1</v>
      </c>
      <c r="O5">
        <v>1</v>
      </c>
      <c r="P5">
        <v>3</v>
      </c>
      <c r="Q5">
        <v>0</v>
      </c>
      <c r="W5" t="s">
        <v>242</v>
      </c>
      <c r="X5" t="s">
        <v>243</v>
      </c>
      <c r="Z5" s="1">
        <v>232491</v>
      </c>
      <c r="AA5" s="1">
        <v>223633</v>
      </c>
      <c r="AB5" s="1">
        <v>232491</v>
      </c>
      <c r="AC5" s="1">
        <v>228857</v>
      </c>
      <c r="AD5" s="1">
        <v>78588</v>
      </c>
      <c r="AE5" s="1">
        <v>77133</v>
      </c>
      <c r="AF5" s="1">
        <v>85897</v>
      </c>
      <c r="AG5" s="1">
        <v>84352</v>
      </c>
      <c r="AH5" s="1">
        <v>77821</v>
      </c>
      <c r="AI5" s="1">
        <v>76376</v>
      </c>
      <c r="AJ5" s="2">
        <v>1136.07</v>
      </c>
      <c r="AK5" s="2">
        <v>1124.8499999999999</v>
      </c>
      <c r="AL5" s="2">
        <v>27573</v>
      </c>
      <c r="AM5" s="2">
        <v>10920</v>
      </c>
      <c r="AN5" s="2">
        <v>10808.22</v>
      </c>
      <c r="AO5" s="2">
        <v>10860.13</v>
      </c>
      <c r="AP5" s="2">
        <v>13520.01</v>
      </c>
      <c r="AQ5" s="2">
        <v>27573</v>
      </c>
      <c r="AR5" s="1">
        <v>81843</v>
      </c>
      <c r="AS5" s="1">
        <v>80269</v>
      </c>
      <c r="AT5" s="1">
        <v>83421</v>
      </c>
      <c r="AU5" s="1">
        <v>82078</v>
      </c>
      <c r="AV5" s="2">
        <v>16653</v>
      </c>
      <c r="AW5">
        <v>0</v>
      </c>
      <c r="AX5">
        <v>0</v>
      </c>
      <c r="AY5">
        <v>0</v>
      </c>
      <c r="AZ5" s="2">
        <v>10123.25</v>
      </c>
      <c r="BA5" s="1">
        <v>82959</v>
      </c>
      <c r="BB5" s="1">
        <v>80768</v>
      </c>
      <c r="BC5" s="1">
        <v>81052</v>
      </c>
      <c r="BD5" s="1">
        <v>79464</v>
      </c>
      <c r="BG5" s="1">
        <v>223633</v>
      </c>
      <c r="BH5" s="1">
        <v>220137</v>
      </c>
      <c r="BI5">
        <v>0</v>
      </c>
      <c r="BK5" s="1">
        <v>209938</v>
      </c>
      <c r="BL5" s="1">
        <v>220137</v>
      </c>
      <c r="BM5" s="1">
        <v>69818</v>
      </c>
      <c r="BN5" s="1">
        <v>60071</v>
      </c>
      <c r="BO5" s="1">
        <v>76500</v>
      </c>
      <c r="BP5" s="1">
        <v>66371</v>
      </c>
      <c r="BQ5">
        <v>704.23</v>
      </c>
      <c r="BR5">
        <v>609.78</v>
      </c>
      <c r="BS5" s="2">
        <v>9991</v>
      </c>
      <c r="BT5" s="2">
        <v>9781</v>
      </c>
      <c r="BU5" s="2">
        <v>10519.63</v>
      </c>
      <c r="BV5" s="1">
        <v>66647</v>
      </c>
      <c r="BW5" s="1">
        <v>62359</v>
      </c>
      <c r="BX5" s="1">
        <v>70129</v>
      </c>
      <c r="BY5" s="1">
        <v>60072</v>
      </c>
      <c r="BZ5">
        <v>0</v>
      </c>
      <c r="CA5">
        <v>0</v>
      </c>
      <c r="CB5">
        <v>0</v>
      </c>
      <c r="CC5">
        <v>0</v>
      </c>
      <c r="CE5" s="1">
        <v>209938</v>
      </c>
      <c r="CF5" s="1">
        <v>220137</v>
      </c>
      <c r="CH5" s="2">
        <v>72677499.579999998</v>
      </c>
      <c r="CI5" s="2">
        <v>45378219.479999997</v>
      </c>
      <c r="CJ5" s="2">
        <v>27299280.100000001</v>
      </c>
      <c r="CK5" s="2">
        <v>14968800.949999999</v>
      </c>
      <c r="CL5" s="2">
        <v>87646300.530000001</v>
      </c>
      <c r="CM5" s="2">
        <v>72677499.579999998</v>
      </c>
      <c r="CN5">
        <v>0</v>
      </c>
      <c r="CO5" s="2">
        <v>12383501.310000001</v>
      </c>
      <c r="CP5" s="2">
        <v>9166170.3499999996</v>
      </c>
      <c r="CQ5" s="2">
        <v>4428121.34</v>
      </c>
      <c r="CR5" s="2">
        <v>1384172.12</v>
      </c>
      <c r="CS5" s="2">
        <v>14982385.07</v>
      </c>
      <c r="CT5" s="2">
        <v>27891595.91</v>
      </c>
      <c r="CU5" s="2">
        <v>55048192.399999999</v>
      </c>
      <c r="CV5">
        <v>0</v>
      </c>
      <c r="CW5" s="2">
        <v>55679874.560000002</v>
      </c>
      <c r="CX5" s="2">
        <v>304148.56</v>
      </c>
      <c r="CY5" s="2">
        <v>631682.16</v>
      </c>
      <c r="CZ5">
        <v>0</v>
      </c>
      <c r="DA5" s="2">
        <v>784442.63</v>
      </c>
      <c r="DB5">
        <v>0</v>
      </c>
      <c r="DC5" s="2">
        <v>5675617.6900000004</v>
      </c>
      <c r="DD5" s="2">
        <v>12852913.220000001</v>
      </c>
      <c r="DE5" s="2">
        <v>818143.9</v>
      </c>
      <c r="DF5">
        <v>33</v>
      </c>
      <c r="DG5">
        <v>33</v>
      </c>
      <c r="DH5" s="2">
        <v>5577475.3300000001</v>
      </c>
      <c r="DI5">
        <v>0</v>
      </c>
      <c r="DJ5" s="2">
        <v>5039258.6399999997</v>
      </c>
      <c r="DK5" s="2">
        <v>11107107.300000001</v>
      </c>
      <c r="DL5" s="2">
        <v>3504457.43</v>
      </c>
      <c r="DM5" s="2">
        <v>19650823.370000001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K5">
        <v>7</v>
      </c>
      <c r="EL5">
        <v>60</v>
      </c>
      <c r="EM5" s="1">
        <v>53647</v>
      </c>
      <c r="EN5" s="1">
        <v>11964</v>
      </c>
      <c r="EO5">
        <v>163</v>
      </c>
      <c r="EP5" s="1">
        <v>11964</v>
      </c>
      <c r="EQ5">
        <v>204</v>
      </c>
      <c r="ER5" s="1">
        <v>5330</v>
      </c>
      <c r="ES5" s="2">
        <v>204714.21</v>
      </c>
      <c r="ET5" s="1">
        <v>1126</v>
      </c>
      <c r="EU5" s="1">
        <v>11964</v>
      </c>
      <c r="EV5" s="1">
        <v>11964</v>
      </c>
      <c r="EW5">
        <v>3</v>
      </c>
      <c r="EX5">
        <v>57</v>
      </c>
      <c r="EY5" s="1">
        <v>428739</v>
      </c>
      <c r="EZ5" s="1">
        <v>427349</v>
      </c>
      <c r="FA5" s="2">
        <v>1818505.05</v>
      </c>
      <c r="FB5" s="1">
        <v>7764</v>
      </c>
      <c r="FC5">
        <v>6</v>
      </c>
      <c r="FD5" s="1">
        <v>7764</v>
      </c>
      <c r="FE5">
        <v>1.0900000000000001</v>
      </c>
      <c r="FF5" s="2">
        <v>4744.24</v>
      </c>
      <c r="FG5">
        <v>2.3199999999999998</v>
      </c>
      <c r="FH5">
        <v>3.02</v>
      </c>
      <c r="FI5">
        <v>3.36</v>
      </c>
      <c r="FJ5">
        <v>2.6</v>
      </c>
      <c r="FK5">
        <v>58.05</v>
      </c>
      <c r="FL5" s="2">
        <v>134185.5</v>
      </c>
      <c r="FM5">
        <v>99.02</v>
      </c>
      <c r="FN5">
        <v>39.200000000000003</v>
      </c>
      <c r="FO5">
        <v>100</v>
      </c>
      <c r="FP5">
        <v>130.53</v>
      </c>
      <c r="FQ5">
        <v>50.97</v>
      </c>
      <c r="FR5">
        <v>10.88</v>
      </c>
      <c r="FS5">
        <v>92</v>
      </c>
      <c r="FT5">
        <v>97.9</v>
      </c>
      <c r="FU5">
        <v>13.24</v>
      </c>
      <c r="FV5">
        <v>240.86</v>
      </c>
      <c r="FW5">
        <v>650.01</v>
      </c>
      <c r="FX5">
        <v>13.81</v>
      </c>
      <c r="FY5">
        <v>10.09</v>
      </c>
      <c r="FZ5">
        <v>128.99</v>
      </c>
      <c r="GA5">
        <v>100</v>
      </c>
      <c r="GB5">
        <v>93.88</v>
      </c>
      <c r="GC5">
        <v>26.99</v>
      </c>
      <c r="GD5">
        <v>2.29</v>
      </c>
      <c r="GE5">
        <v>351.61</v>
      </c>
      <c r="GF5">
        <v>49.03</v>
      </c>
      <c r="GG5">
        <v>17.079999999999998</v>
      </c>
      <c r="GH5">
        <v>75.739999999999995</v>
      </c>
      <c r="GI5">
        <v>6.09</v>
      </c>
      <c r="GJ5">
        <v>44.47</v>
      </c>
      <c r="GK5">
        <v>0</v>
      </c>
      <c r="GL5">
        <v>7.67</v>
      </c>
      <c r="GM5">
        <v>8.0399999999999991</v>
      </c>
      <c r="GN5">
        <v>58.71</v>
      </c>
      <c r="GO5">
        <v>27.22</v>
      </c>
      <c r="GP5">
        <v>2.5099999999999998</v>
      </c>
      <c r="GQ5">
        <v>10.130000000000001</v>
      </c>
      <c r="GR5">
        <v>51.77</v>
      </c>
      <c r="GS5">
        <v>31.15</v>
      </c>
      <c r="GT5">
        <v>17.079999999999998</v>
      </c>
      <c r="GU5">
        <v>95.22</v>
      </c>
      <c r="GV5">
        <v>99.52</v>
      </c>
      <c r="GW5">
        <v>0.42</v>
      </c>
      <c r="GX5">
        <v>90.06</v>
      </c>
      <c r="GY5">
        <v>93.88</v>
      </c>
      <c r="GZ5">
        <v>0.23</v>
      </c>
      <c r="HA5">
        <v>60.61</v>
      </c>
      <c r="HB5">
        <v>40.5</v>
      </c>
      <c r="HC5">
        <v>588.09</v>
      </c>
      <c r="HD5">
        <v>39.39</v>
      </c>
      <c r="HE5">
        <v>10.63</v>
      </c>
      <c r="HF5">
        <v>50.86</v>
      </c>
      <c r="HG5">
        <v>100</v>
      </c>
      <c r="HH5">
        <v>90.3</v>
      </c>
      <c r="HI5">
        <v>0</v>
      </c>
      <c r="HM5" s="2">
        <v>7663.86</v>
      </c>
      <c r="HN5">
        <v>8.57</v>
      </c>
      <c r="HO5">
        <v>375.33</v>
      </c>
      <c r="HP5">
        <v>19</v>
      </c>
      <c r="HQ5">
        <v>1.36</v>
      </c>
      <c r="HR5">
        <v>1.71</v>
      </c>
      <c r="HS5">
        <v>38.409999999999997</v>
      </c>
      <c r="HT5">
        <v>100</v>
      </c>
      <c r="HU5">
        <v>100</v>
      </c>
      <c r="HV5">
        <v>7.57</v>
      </c>
      <c r="HW5">
        <v>4.26</v>
      </c>
      <c r="HX5">
        <v>0.08</v>
      </c>
      <c r="HY5">
        <v>100</v>
      </c>
      <c r="HZ5">
        <v>132.03</v>
      </c>
      <c r="IA5">
        <v>592.9</v>
      </c>
    </row>
    <row r="6" spans="1:235" x14ac:dyDescent="0.3">
      <c r="A6">
        <v>510760</v>
      </c>
      <c r="B6" t="s">
        <v>235</v>
      </c>
      <c r="C6" t="s">
        <v>236</v>
      </c>
      <c r="D6">
        <v>2018</v>
      </c>
      <c r="E6">
        <v>51076011</v>
      </c>
      <c r="F6" t="s">
        <v>237</v>
      </c>
      <c r="G6" t="s">
        <v>238</v>
      </c>
      <c r="H6" t="s">
        <v>239</v>
      </c>
      <c r="I6" t="s">
        <v>240</v>
      </c>
      <c r="J6" t="s">
        <v>241</v>
      </c>
      <c r="N6">
        <v>1</v>
      </c>
      <c r="O6">
        <v>1</v>
      </c>
      <c r="P6">
        <v>3</v>
      </c>
      <c r="Q6">
        <v>0</v>
      </c>
      <c r="W6" t="s">
        <v>242</v>
      </c>
      <c r="X6" t="s">
        <v>243</v>
      </c>
      <c r="Z6" s="1">
        <v>228857</v>
      </c>
      <c r="AA6" s="1">
        <v>220137</v>
      </c>
      <c r="AB6" s="1">
        <v>228857</v>
      </c>
      <c r="AC6" s="1">
        <v>222316</v>
      </c>
      <c r="AD6" s="1">
        <v>77133</v>
      </c>
      <c r="AE6" s="1">
        <v>74177</v>
      </c>
      <c r="AF6" s="1">
        <v>84352</v>
      </c>
      <c r="AG6" s="1">
        <v>81262</v>
      </c>
      <c r="AH6" s="1">
        <v>76376</v>
      </c>
      <c r="AI6" s="1">
        <v>73466</v>
      </c>
      <c r="AJ6" s="2">
        <v>1124.8499999999999</v>
      </c>
      <c r="AK6" s="2">
        <v>1057.8699999999999</v>
      </c>
      <c r="AL6" s="2">
        <v>26653</v>
      </c>
      <c r="AM6" s="2">
        <v>12085</v>
      </c>
      <c r="AN6" s="2">
        <v>9987.76</v>
      </c>
      <c r="AO6" s="2">
        <v>10039.780000000001</v>
      </c>
      <c r="AP6" s="2">
        <v>12837.4</v>
      </c>
      <c r="AQ6" s="2">
        <v>26653</v>
      </c>
      <c r="AR6" s="1">
        <v>80269</v>
      </c>
      <c r="AS6" s="1">
        <v>77428</v>
      </c>
      <c r="AT6" s="1">
        <v>82078</v>
      </c>
      <c r="AU6" s="1">
        <v>79129</v>
      </c>
      <c r="AV6" s="2">
        <v>14568</v>
      </c>
      <c r="AW6">
        <v>0</v>
      </c>
      <c r="AX6">
        <v>0</v>
      </c>
      <c r="AY6">
        <v>0</v>
      </c>
      <c r="AZ6" s="2">
        <v>6734.71</v>
      </c>
      <c r="BA6" s="1">
        <v>80768</v>
      </c>
      <c r="BB6" s="1">
        <v>79259</v>
      </c>
      <c r="BC6" s="1">
        <v>79464</v>
      </c>
      <c r="BD6" s="1">
        <v>76033</v>
      </c>
      <c r="BG6" s="1">
        <v>220137</v>
      </c>
      <c r="BH6" s="1">
        <v>213845</v>
      </c>
      <c r="BI6">
        <v>0</v>
      </c>
      <c r="BK6" s="1">
        <v>220137</v>
      </c>
      <c r="BL6" s="1">
        <v>213316</v>
      </c>
      <c r="BM6" s="1">
        <v>60071</v>
      </c>
      <c r="BN6" s="1">
        <v>55305</v>
      </c>
      <c r="BO6" s="1">
        <v>66371</v>
      </c>
      <c r="BP6" s="1">
        <v>61553</v>
      </c>
      <c r="BQ6">
        <v>609.78</v>
      </c>
      <c r="BR6">
        <v>567.84</v>
      </c>
      <c r="BS6" s="2">
        <v>9584</v>
      </c>
      <c r="BT6" s="2">
        <v>9374</v>
      </c>
      <c r="BU6" s="2">
        <v>9196.5400000000009</v>
      </c>
      <c r="BV6" s="1">
        <v>62359</v>
      </c>
      <c r="BW6" s="1">
        <v>58014</v>
      </c>
      <c r="BX6" s="1">
        <v>60072</v>
      </c>
      <c r="BY6" s="1">
        <v>55307</v>
      </c>
      <c r="BZ6">
        <v>0</v>
      </c>
      <c r="CA6">
        <v>0</v>
      </c>
      <c r="CB6">
        <v>0</v>
      </c>
      <c r="CC6">
        <v>0</v>
      </c>
      <c r="CE6" s="1">
        <v>220137</v>
      </c>
      <c r="CF6" s="1">
        <v>213316</v>
      </c>
      <c r="CH6" s="2">
        <v>61483606.229999997</v>
      </c>
      <c r="CI6" s="2">
        <v>39397584.049999997</v>
      </c>
      <c r="CJ6" s="2">
        <v>22086022.18</v>
      </c>
      <c r="CK6" s="2">
        <v>13891264.949999999</v>
      </c>
      <c r="CL6" s="2">
        <v>75374871.180000007</v>
      </c>
      <c r="CM6" s="2">
        <v>61483606.229999997</v>
      </c>
      <c r="CN6">
        <v>0</v>
      </c>
      <c r="CO6" s="2">
        <v>9166170.3499999996</v>
      </c>
      <c r="CP6" s="2">
        <v>9881649.4399999995</v>
      </c>
      <c r="CQ6" s="2">
        <v>4405125.4000000004</v>
      </c>
      <c r="CR6" s="2">
        <v>1274426.4099999999</v>
      </c>
      <c r="CS6" s="2">
        <v>13315727.779999999</v>
      </c>
      <c r="CT6" s="2">
        <v>25486511.98</v>
      </c>
      <c r="CU6" s="2">
        <v>46897463.93</v>
      </c>
      <c r="CV6">
        <v>0</v>
      </c>
      <c r="CW6" s="2">
        <v>48201404.68</v>
      </c>
      <c r="CX6" s="2">
        <v>1091385.71</v>
      </c>
      <c r="CY6" s="2">
        <v>1303940.75</v>
      </c>
      <c r="CZ6">
        <v>0</v>
      </c>
      <c r="DA6" s="2">
        <v>691839.26</v>
      </c>
      <c r="DB6">
        <v>0</v>
      </c>
      <c r="DC6" s="2">
        <v>8233180.6699999999</v>
      </c>
      <c r="DD6" s="2">
        <v>12194370.73</v>
      </c>
      <c r="DE6" s="2">
        <v>1599380.14</v>
      </c>
      <c r="DF6">
        <v>33</v>
      </c>
      <c r="DG6">
        <v>34</v>
      </c>
      <c r="DH6" s="2">
        <v>1723833.1</v>
      </c>
      <c r="DI6">
        <v>0</v>
      </c>
      <c r="DJ6" s="2">
        <v>1599380.14</v>
      </c>
      <c r="DK6" s="2">
        <v>21348505.530000001</v>
      </c>
      <c r="DL6" s="2">
        <v>170431.58</v>
      </c>
      <c r="DM6" s="2">
        <v>23118317.25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K6">
        <v>49</v>
      </c>
      <c r="EL6">
        <v>792</v>
      </c>
      <c r="EN6" s="1">
        <v>11948</v>
      </c>
      <c r="EO6">
        <v>246</v>
      </c>
      <c r="EP6" s="1">
        <v>11948</v>
      </c>
      <c r="EQ6">
        <v>222</v>
      </c>
      <c r="ER6">
        <v>545</v>
      </c>
      <c r="ES6">
        <v>560</v>
      </c>
      <c r="EU6" s="1">
        <v>11948</v>
      </c>
      <c r="EV6" s="1">
        <v>11948</v>
      </c>
      <c r="EW6">
        <v>365</v>
      </c>
      <c r="EX6" s="2">
        <v>8760</v>
      </c>
      <c r="EY6" s="1">
        <v>334592</v>
      </c>
      <c r="EZ6" s="1">
        <v>334592</v>
      </c>
      <c r="FB6" s="1">
        <v>7732</v>
      </c>
      <c r="FC6">
        <v>0</v>
      </c>
      <c r="FD6" s="1">
        <v>7732</v>
      </c>
      <c r="FE6">
        <v>1.0900000000000001</v>
      </c>
      <c r="FF6" s="2">
        <v>4381.16</v>
      </c>
      <c r="FG6">
        <v>2.19</v>
      </c>
      <c r="FH6">
        <v>2.79</v>
      </c>
      <c r="FI6">
        <v>3.07</v>
      </c>
      <c r="FJ6">
        <v>2.4</v>
      </c>
      <c r="FK6">
        <v>62.01</v>
      </c>
      <c r="FL6" s="2">
        <v>131496.28</v>
      </c>
      <c r="FM6">
        <v>99.03</v>
      </c>
      <c r="FN6">
        <v>37.47</v>
      </c>
      <c r="FO6">
        <v>100</v>
      </c>
      <c r="FP6">
        <v>127.56</v>
      </c>
      <c r="FQ6">
        <v>51.84</v>
      </c>
      <c r="FR6">
        <v>10.33</v>
      </c>
      <c r="FS6">
        <v>95.46</v>
      </c>
      <c r="FT6">
        <v>97.81</v>
      </c>
      <c r="FU6">
        <v>12.92</v>
      </c>
      <c r="FV6">
        <v>227.32</v>
      </c>
      <c r="FW6">
        <v>645.65</v>
      </c>
      <c r="FX6">
        <v>13.64</v>
      </c>
      <c r="FY6">
        <v>10.210000000000001</v>
      </c>
      <c r="FZ6">
        <v>121.93</v>
      </c>
      <c r="GA6">
        <v>100</v>
      </c>
      <c r="GB6">
        <v>100</v>
      </c>
      <c r="GC6">
        <v>26.82</v>
      </c>
      <c r="GD6">
        <v>2.13</v>
      </c>
      <c r="GE6">
        <v>319.52999999999997</v>
      </c>
      <c r="GF6">
        <v>48.16</v>
      </c>
      <c r="GG6">
        <v>18.43</v>
      </c>
      <c r="GH6">
        <v>76.28</v>
      </c>
      <c r="GI6">
        <v>7.16</v>
      </c>
      <c r="GJ6">
        <v>48.62</v>
      </c>
      <c r="GK6">
        <v>0</v>
      </c>
      <c r="GL6">
        <v>2.8</v>
      </c>
      <c r="GM6">
        <v>9.39</v>
      </c>
      <c r="GN6">
        <v>63.74</v>
      </c>
      <c r="GO6">
        <v>28.39</v>
      </c>
      <c r="GP6">
        <v>2.72</v>
      </c>
      <c r="GQ6">
        <v>3.68</v>
      </c>
      <c r="GR6">
        <v>52.27</v>
      </c>
      <c r="GS6">
        <v>29.3</v>
      </c>
      <c r="GT6">
        <v>18.43</v>
      </c>
      <c r="GU6">
        <v>95.22</v>
      </c>
      <c r="GV6">
        <v>99.48</v>
      </c>
      <c r="GW6">
        <v>0.44</v>
      </c>
      <c r="GX6">
        <v>93.37</v>
      </c>
      <c r="GY6">
        <v>100</v>
      </c>
      <c r="GZ6">
        <v>0.25</v>
      </c>
      <c r="HA6">
        <v>62.33</v>
      </c>
      <c r="HB6">
        <v>41.71</v>
      </c>
      <c r="HC6">
        <v>601.62</v>
      </c>
      <c r="HD6">
        <v>37.67</v>
      </c>
      <c r="HE6">
        <v>10.1</v>
      </c>
      <c r="HF6">
        <v>43.78</v>
      </c>
      <c r="HG6">
        <v>100</v>
      </c>
      <c r="HH6">
        <v>96.19</v>
      </c>
      <c r="HI6">
        <v>0</v>
      </c>
      <c r="HN6">
        <v>16.16</v>
      </c>
      <c r="HP6">
        <v>24</v>
      </c>
      <c r="HQ6">
        <v>2.06</v>
      </c>
      <c r="HR6">
        <v>1.86</v>
      </c>
      <c r="HS6">
        <v>1.03</v>
      </c>
      <c r="HT6">
        <v>100</v>
      </c>
      <c r="HU6">
        <v>100</v>
      </c>
      <c r="HV6">
        <v>0.89</v>
      </c>
      <c r="HX6">
        <v>0</v>
      </c>
      <c r="HY6">
        <v>100</v>
      </c>
      <c r="HZ6">
        <v>131.1</v>
      </c>
      <c r="IA6">
        <v>586.59</v>
      </c>
    </row>
    <row r="7" spans="1:235" x14ac:dyDescent="0.3">
      <c r="A7">
        <v>510760</v>
      </c>
      <c r="B7" t="s">
        <v>235</v>
      </c>
      <c r="C7" t="s">
        <v>236</v>
      </c>
      <c r="D7">
        <v>2017</v>
      </c>
      <c r="E7">
        <v>51076011</v>
      </c>
      <c r="F7" t="s">
        <v>237</v>
      </c>
      <c r="G7" t="s">
        <v>238</v>
      </c>
      <c r="H7" t="s">
        <v>239</v>
      </c>
      <c r="I7" t="s">
        <v>240</v>
      </c>
      <c r="J7" t="s">
        <v>241</v>
      </c>
      <c r="N7">
        <v>1</v>
      </c>
      <c r="O7">
        <v>1</v>
      </c>
      <c r="P7">
        <v>3</v>
      </c>
      <c r="Q7">
        <v>0</v>
      </c>
      <c r="W7" t="s">
        <v>242</v>
      </c>
      <c r="X7" t="s">
        <v>243</v>
      </c>
      <c r="Z7" s="1">
        <v>222316</v>
      </c>
      <c r="AA7" s="1">
        <v>213845</v>
      </c>
      <c r="AB7" s="1">
        <v>222316</v>
      </c>
      <c r="AC7" s="1">
        <v>218899</v>
      </c>
      <c r="AD7" s="1">
        <v>77133</v>
      </c>
      <c r="AE7" s="1">
        <v>70566</v>
      </c>
      <c r="AF7" s="1">
        <v>81262</v>
      </c>
      <c r="AG7" s="1">
        <v>86992</v>
      </c>
      <c r="AH7" s="1">
        <v>73466</v>
      </c>
      <c r="AI7" s="1">
        <v>70552</v>
      </c>
      <c r="AJ7" s="2">
        <v>1057.8699999999999</v>
      </c>
      <c r="AK7" s="2">
        <v>1056.6099999999999</v>
      </c>
      <c r="AL7" s="2">
        <v>25111</v>
      </c>
      <c r="AM7" s="2">
        <v>11018</v>
      </c>
      <c r="AN7" s="2">
        <v>12362.8</v>
      </c>
      <c r="AO7" s="2">
        <v>12362.8</v>
      </c>
      <c r="AP7" s="2">
        <v>13222.15</v>
      </c>
      <c r="AQ7" s="2">
        <v>25111</v>
      </c>
      <c r="AR7" s="1">
        <v>77428</v>
      </c>
      <c r="AS7" s="1">
        <v>72617</v>
      </c>
      <c r="AT7" s="1">
        <v>79129</v>
      </c>
      <c r="AU7" s="1">
        <v>76386</v>
      </c>
      <c r="AV7" s="2">
        <v>14093</v>
      </c>
      <c r="AW7">
        <v>0</v>
      </c>
      <c r="AX7">
        <v>0</v>
      </c>
      <c r="AY7">
        <v>0</v>
      </c>
      <c r="AZ7" s="2">
        <v>8075.81</v>
      </c>
      <c r="BA7" s="1">
        <v>79259</v>
      </c>
      <c r="BB7" s="1">
        <v>81677</v>
      </c>
      <c r="BC7" s="1">
        <v>76033</v>
      </c>
      <c r="BD7" s="1">
        <v>72600</v>
      </c>
      <c r="BG7" s="1">
        <v>213845</v>
      </c>
      <c r="BH7" s="1">
        <v>210559</v>
      </c>
      <c r="BI7">
        <v>0</v>
      </c>
      <c r="BK7" s="1">
        <v>213316</v>
      </c>
      <c r="BL7" s="1">
        <v>159194</v>
      </c>
      <c r="BM7" s="1">
        <v>55305</v>
      </c>
      <c r="BN7" s="1">
        <v>48673</v>
      </c>
      <c r="BO7" s="1">
        <v>61553</v>
      </c>
      <c r="BP7" s="1">
        <v>55895</v>
      </c>
      <c r="BQ7">
        <v>567.84</v>
      </c>
      <c r="BR7">
        <v>567.84</v>
      </c>
      <c r="BS7" s="2">
        <v>9423</v>
      </c>
      <c r="BT7" s="2">
        <v>9126</v>
      </c>
      <c r="BU7" s="2">
        <v>8938</v>
      </c>
      <c r="BV7" s="1">
        <v>58014</v>
      </c>
      <c r="BX7" s="1">
        <v>55307</v>
      </c>
      <c r="BY7" s="1">
        <v>51353</v>
      </c>
      <c r="BZ7">
        <v>0</v>
      </c>
      <c r="CA7">
        <v>0</v>
      </c>
      <c r="CB7">
        <v>0</v>
      </c>
      <c r="CC7">
        <v>0</v>
      </c>
      <c r="CE7" s="1">
        <v>213316</v>
      </c>
      <c r="CF7" s="1">
        <v>159194</v>
      </c>
      <c r="CH7" s="2">
        <v>59766360.18</v>
      </c>
      <c r="CI7" s="2">
        <v>38578009.549999997</v>
      </c>
      <c r="CJ7" s="2">
        <v>21188350.629999999</v>
      </c>
      <c r="CK7" s="2">
        <v>8871547.1199999992</v>
      </c>
      <c r="CL7" s="2">
        <v>68637907.299999997</v>
      </c>
      <c r="CM7" s="2">
        <v>59766360.18</v>
      </c>
      <c r="CN7">
        <v>0</v>
      </c>
      <c r="CO7" s="2">
        <v>9881649.4399999995</v>
      </c>
      <c r="CP7" s="2">
        <v>8183781.25</v>
      </c>
      <c r="CQ7" s="2">
        <v>3145501.52</v>
      </c>
      <c r="CR7" s="2">
        <v>1238202.9099999999</v>
      </c>
      <c r="CS7" s="2">
        <v>12939208.779999999</v>
      </c>
      <c r="CT7" s="2">
        <v>20150142.309999999</v>
      </c>
      <c r="CU7" s="2">
        <v>40858848.939999998</v>
      </c>
      <c r="CV7">
        <v>0</v>
      </c>
      <c r="CW7" s="2">
        <v>42128797.100000001</v>
      </c>
      <c r="CX7" s="2">
        <v>318177.34999999998</v>
      </c>
      <c r="CY7" s="2">
        <v>1269948.1599999999</v>
      </c>
      <c r="CZ7">
        <v>0</v>
      </c>
      <c r="DA7" s="2">
        <v>628007.92000000004</v>
      </c>
      <c r="DB7">
        <v>0</v>
      </c>
      <c r="DC7" s="2">
        <v>2323997.3199999998</v>
      </c>
      <c r="DD7" s="2">
        <v>7061390.9400000004</v>
      </c>
      <c r="DE7" s="2">
        <v>1036975.77</v>
      </c>
      <c r="DF7">
        <v>34</v>
      </c>
      <c r="DG7">
        <v>37</v>
      </c>
      <c r="DH7" s="2">
        <v>2757785.5</v>
      </c>
      <c r="DI7">
        <v>0</v>
      </c>
      <c r="DJ7" s="2">
        <v>3034882.83</v>
      </c>
      <c r="DK7" s="2">
        <v>7062359.3399999999</v>
      </c>
      <c r="DL7" s="2">
        <v>643299.21</v>
      </c>
      <c r="DM7" s="2">
        <v>10740541.380000001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K7">
        <v>21</v>
      </c>
      <c r="EL7">
        <v>792</v>
      </c>
      <c r="EN7" s="1">
        <v>11882</v>
      </c>
      <c r="EO7">
        <v>247</v>
      </c>
      <c r="EP7" s="1">
        <v>11882</v>
      </c>
      <c r="EQ7" s="1">
        <v>1095</v>
      </c>
      <c r="ER7">
        <v>335</v>
      </c>
      <c r="ES7">
        <v>341</v>
      </c>
      <c r="EU7" s="1">
        <v>11882</v>
      </c>
      <c r="EV7" s="1">
        <v>11882</v>
      </c>
      <c r="EW7">
        <v>365</v>
      </c>
      <c r="EX7" s="2">
        <v>8760</v>
      </c>
      <c r="EY7" s="1">
        <v>295536</v>
      </c>
      <c r="EZ7" s="1">
        <v>295536</v>
      </c>
      <c r="FB7" s="1">
        <v>7655</v>
      </c>
      <c r="FC7">
        <v>10</v>
      </c>
      <c r="FD7" s="1">
        <v>7655</v>
      </c>
      <c r="FE7">
        <v>1.1599999999999999</v>
      </c>
      <c r="FF7" s="2">
        <v>4023.97</v>
      </c>
      <c r="FG7">
        <v>1.9</v>
      </c>
      <c r="FH7">
        <v>2.7</v>
      </c>
      <c r="FI7">
        <v>2.92</v>
      </c>
      <c r="FJ7">
        <v>2.37</v>
      </c>
      <c r="FK7">
        <v>55.3</v>
      </c>
      <c r="FL7" s="2">
        <v>88605.68</v>
      </c>
      <c r="FM7">
        <v>99.5</v>
      </c>
      <c r="FN7">
        <v>49.23</v>
      </c>
      <c r="FO7">
        <v>100</v>
      </c>
      <c r="FP7">
        <v>141.87</v>
      </c>
      <c r="FQ7">
        <v>47.35</v>
      </c>
      <c r="FR7">
        <v>13.25</v>
      </c>
      <c r="FS7">
        <v>76.22</v>
      </c>
      <c r="FT7">
        <v>96.85</v>
      </c>
      <c r="FU7">
        <v>13.1</v>
      </c>
      <c r="FV7">
        <v>262.91000000000003</v>
      </c>
      <c r="FW7">
        <v>543.34</v>
      </c>
      <c r="FX7">
        <v>13.14</v>
      </c>
      <c r="FY7">
        <v>10.65</v>
      </c>
      <c r="FZ7">
        <v>153.53</v>
      </c>
      <c r="GA7">
        <v>100</v>
      </c>
      <c r="GB7">
        <v>99.75</v>
      </c>
      <c r="GC7">
        <v>24.87</v>
      </c>
      <c r="GD7">
        <v>1.84</v>
      </c>
      <c r="GE7">
        <v>286.02</v>
      </c>
      <c r="GF7">
        <v>52.65</v>
      </c>
      <c r="GG7">
        <v>12.93</v>
      </c>
      <c r="GH7">
        <v>68.36</v>
      </c>
      <c r="GI7">
        <v>5.26</v>
      </c>
      <c r="GJ7">
        <v>38.979999999999997</v>
      </c>
      <c r="GK7">
        <v>0</v>
      </c>
      <c r="GL7">
        <v>4.6100000000000003</v>
      </c>
      <c r="GM7">
        <v>7.7</v>
      </c>
      <c r="GN7">
        <v>57.01</v>
      </c>
      <c r="GO7">
        <v>31.67</v>
      </c>
      <c r="GP7">
        <v>3.03</v>
      </c>
      <c r="GQ7">
        <v>6.75</v>
      </c>
      <c r="GR7">
        <v>56.21</v>
      </c>
      <c r="GS7">
        <v>30.87</v>
      </c>
      <c r="GT7">
        <v>12.93</v>
      </c>
      <c r="GU7">
        <v>89.18</v>
      </c>
      <c r="GV7">
        <v>100</v>
      </c>
      <c r="GW7">
        <v>0.49</v>
      </c>
      <c r="GX7">
        <v>73.819999999999993</v>
      </c>
      <c r="GY7">
        <v>99.75</v>
      </c>
      <c r="GZ7">
        <v>0.28999999999999998</v>
      </c>
      <c r="HA7">
        <v>50.77</v>
      </c>
      <c r="HB7">
        <v>33.04</v>
      </c>
      <c r="HC7">
        <v>482.6</v>
      </c>
      <c r="HD7">
        <v>49.23</v>
      </c>
      <c r="HE7">
        <v>12.25</v>
      </c>
      <c r="HF7">
        <v>51.83</v>
      </c>
      <c r="HG7">
        <v>100</v>
      </c>
      <c r="HH7">
        <v>95.95</v>
      </c>
      <c r="HI7">
        <v>0</v>
      </c>
      <c r="HN7">
        <v>37.71</v>
      </c>
      <c r="HP7">
        <v>24</v>
      </c>
      <c r="HQ7">
        <v>2.08</v>
      </c>
      <c r="HR7">
        <v>9.2200000000000006</v>
      </c>
      <c r="HS7">
        <v>1.02</v>
      </c>
      <c r="HT7">
        <v>100</v>
      </c>
      <c r="HU7">
        <v>100</v>
      </c>
      <c r="HV7">
        <v>0.59</v>
      </c>
      <c r="HX7">
        <v>0.13</v>
      </c>
      <c r="HY7">
        <v>100</v>
      </c>
      <c r="HZ7">
        <v>146.28</v>
      </c>
      <c r="IA7">
        <v>473.01</v>
      </c>
    </row>
    <row r="8" spans="1:235" x14ac:dyDescent="0.3">
      <c r="A8">
        <v>510760</v>
      </c>
      <c r="B8" t="s">
        <v>235</v>
      </c>
      <c r="C8" t="s">
        <v>236</v>
      </c>
      <c r="D8">
        <v>2016</v>
      </c>
      <c r="E8">
        <v>51076011</v>
      </c>
      <c r="F8" t="s">
        <v>237</v>
      </c>
      <c r="G8" t="s">
        <v>238</v>
      </c>
      <c r="H8" t="s">
        <v>239</v>
      </c>
      <c r="I8" t="s">
        <v>240</v>
      </c>
      <c r="J8" t="s">
        <v>241</v>
      </c>
      <c r="N8">
        <v>1</v>
      </c>
      <c r="O8">
        <v>1</v>
      </c>
      <c r="P8">
        <v>3</v>
      </c>
      <c r="Q8">
        <v>0</v>
      </c>
      <c r="W8" t="s">
        <v>242</v>
      </c>
      <c r="X8" t="s">
        <v>243</v>
      </c>
      <c r="Z8" s="1">
        <v>218899</v>
      </c>
      <c r="AA8" s="1">
        <v>210559</v>
      </c>
      <c r="AB8" s="1">
        <v>218899</v>
      </c>
      <c r="AC8" s="1">
        <v>215320</v>
      </c>
      <c r="AD8" s="1">
        <v>70566</v>
      </c>
      <c r="AE8" s="1">
        <v>69053</v>
      </c>
      <c r="AF8" s="1">
        <v>86992</v>
      </c>
      <c r="AG8" s="1">
        <v>75971</v>
      </c>
      <c r="AH8" s="1">
        <v>70552</v>
      </c>
      <c r="AI8" s="1">
        <v>68618</v>
      </c>
      <c r="AJ8" s="2">
        <v>1056.6099999999999</v>
      </c>
      <c r="AK8">
        <v>954.37</v>
      </c>
      <c r="AL8" s="2">
        <v>24642</v>
      </c>
      <c r="AM8" s="2">
        <v>10980</v>
      </c>
      <c r="AN8" s="2">
        <v>12625.17</v>
      </c>
      <c r="AO8" s="2">
        <v>13542.88</v>
      </c>
      <c r="AP8" s="2">
        <v>13497.68</v>
      </c>
      <c r="AQ8" s="2">
        <v>24642</v>
      </c>
      <c r="AR8" s="1">
        <v>72617</v>
      </c>
      <c r="AS8" s="1">
        <v>70138</v>
      </c>
      <c r="AT8" s="1">
        <v>76386</v>
      </c>
      <c r="AU8" s="1">
        <v>75520</v>
      </c>
      <c r="AV8" s="2">
        <v>13662</v>
      </c>
      <c r="AW8">
        <v>0</v>
      </c>
      <c r="AX8">
        <v>0</v>
      </c>
      <c r="AY8">
        <v>0</v>
      </c>
      <c r="AZ8" s="2">
        <v>11372.75</v>
      </c>
      <c r="BA8" s="1">
        <v>81677</v>
      </c>
      <c r="BB8" s="1">
        <v>81677</v>
      </c>
      <c r="BC8" s="1">
        <v>72600</v>
      </c>
      <c r="BD8" s="1">
        <v>69713</v>
      </c>
      <c r="BG8" s="1">
        <v>210559</v>
      </c>
      <c r="BH8" s="1">
        <v>207116</v>
      </c>
      <c r="BI8">
        <v>0</v>
      </c>
      <c r="BK8" s="1">
        <v>159194</v>
      </c>
      <c r="BL8" s="1">
        <v>144767</v>
      </c>
      <c r="BM8" s="1">
        <v>48673</v>
      </c>
      <c r="BN8" s="1">
        <v>39302</v>
      </c>
      <c r="BO8" s="1">
        <v>55895</v>
      </c>
      <c r="BP8" s="1">
        <v>45586</v>
      </c>
      <c r="BQ8">
        <v>567.84</v>
      </c>
      <c r="BR8">
        <v>462.57</v>
      </c>
      <c r="BS8" s="2">
        <v>5728.43</v>
      </c>
      <c r="BT8" s="2">
        <v>5459.79</v>
      </c>
      <c r="BU8" s="2">
        <v>6572.58</v>
      </c>
      <c r="BW8" s="1">
        <v>41362</v>
      </c>
      <c r="BX8" s="1">
        <v>51353</v>
      </c>
      <c r="BY8" s="1">
        <v>46125</v>
      </c>
      <c r="BZ8">
        <v>0</v>
      </c>
      <c r="CA8">
        <v>0</v>
      </c>
      <c r="CB8">
        <v>0</v>
      </c>
      <c r="CC8">
        <v>0</v>
      </c>
      <c r="CE8" s="1">
        <v>159194</v>
      </c>
      <c r="CF8" s="1">
        <v>144767</v>
      </c>
      <c r="CH8" s="2">
        <v>54209800.880000003</v>
      </c>
      <c r="CI8" s="2">
        <v>36233421.079999998</v>
      </c>
      <c r="CJ8" s="2">
        <v>17976379.800000001</v>
      </c>
      <c r="CK8" s="2">
        <v>1818664.58</v>
      </c>
      <c r="CL8" s="2">
        <v>56028465.460000001</v>
      </c>
      <c r="CM8" s="2">
        <v>54209800.880000003</v>
      </c>
      <c r="CN8">
        <v>0</v>
      </c>
      <c r="CO8" s="2">
        <v>8183781.25</v>
      </c>
      <c r="CP8" s="2">
        <v>7489459.3099999996</v>
      </c>
      <c r="CQ8" s="2">
        <v>4051407.97</v>
      </c>
      <c r="CR8" s="2">
        <v>863569</v>
      </c>
      <c r="CS8" s="2">
        <v>13301355.25</v>
      </c>
      <c r="CT8" s="2">
        <v>17046413.66</v>
      </c>
      <c r="CU8" s="2">
        <v>39532767.609999999</v>
      </c>
      <c r="CV8">
        <v>0</v>
      </c>
      <c r="CW8" s="2">
        <v>40548474.380000003</v>
      </c>
      <c r="CX8" s="2">
        <v>1626656.91</v>
      </c>
      <c r="CY8" s="2">
        <v>1015706.77</v>
      </c>
      <c r="CZ8">
        <v>0</v>
      </c>
      <c r="DA8" s="2">
        <v>510571.86</v>
      </c>
      <c r="DB8">
        <v>0</v>
      </c>
      <c r="DC8" s="2">
        <v>1298289.19</v>
      </c>
      <c r="DD8" s="2">
        <v>6444040.1600000001</v>
      </c>
      <c r="DE8" s="2">
        <v>27044.2</v>
      </c>
      <c r="DF8">
        <v>37</v>
      </c>
      <c r="DG8">
        <v>35</v>
      </c>
      <c r="DH8" s="2">
        <v>3759449.87</v>
      </c>
      <c r="DI8">
        <v>0</v>
      </c>
      <c r="DJ8" s="2">
        <v>4073519.76</v>
      </c>
      <c r="DK8" s="2">
        <v>5084271.68</v>
      </c>
      <c r="DL8" s="2">
        <v>238239.02</v>
      </c>
      <c r="DM8" s="2">
        <v>9396030.4600000009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K8">
        <v>24</v>
      </c>
      <c r="EL8">
        <v>792</v>
      </c>
      <c r="EN8" s="1">
        <v>11800</v>
      </c>
      <c r="EO8">
        <v>321</v>
      </c>
      <c r="EP8" s="1">
        <v>11800</v>
      </c>
      <c r="EQ8" s="1">
        <v>1429</v>
      </c>
      <c r="ER8">
        <v>287</v>
      </c>
      <c r="ES8">
        <v>290.3</v>
      </c>
      <c r="EU8" s="1">
        <v>11800</v>
      </c>
      <c r="EV8" s="1">
        <v>11800</v>
      </c>
      <c r="EW8">
        <v>365</v>
      </c>
      <c r="EX8" s="2">
        <v>8760</v>
      </c>
      <c r="EY8" s="1">
        <v>182692</v>
      </c>
      <c r="EZ8" s="1">
        <v>178404</v>
      </c>
      <c r="FB8" s="1">
        <v>7608</v>
      </c>
      <c r="FC8">
        <v>28</v>
      </c>
      <c r="FD8" s="1">
        <v>7608</v>
      </c>
      <c r="FE8">
        <v>1.17</v>
      </c>
      <c r="FF8" s="2">
        <v>3672.83</v>
      </c>
      <c r="FG8">
        <v>2.02</v>
      </c>
      <c r="FH8">
        <v>2.7</v>
      </c>
      <c r="FI8">
        <v>2.68</v>
      </c>
      <c r="FJ8">
        <v>2.74</v>
      </c>
      <c r="FK8">
        <v>52.03</v>
      </c>
      <c r="FL8" s="2">
        <v>112539.11</v>
      </c>
      <c r="FM8">
        <v>99.68</v>
      </c>
      <c r="FN8">
        <v>51.23</v>
      </c>
      <c r="FO8">
        <v>100</v>
      </c>
      <c r="FP8">
        <v>133.69</v>
      </c>
      <c r="FQ8">
        <v>45.22</v>
      </c>
      <c r="FR8">
        <v>13.85</v>
      </c>
      <c r="FS8">
        <v>42.3</v>
      </c>
      <c r="FT8">
        <v>95.31</v>
      </c>
      <c r="FU8">
        <v>13.8</v>
      </c>
      <c r="FV8">
        <v>187.47</v>
      </c>
      <c r="FW8">
        <v>705.29</v>
      </c>
      <c r="FX8">
        <v>12.31</v>
      </c>
      <c r="FY8">
        <v>10.57</v>
      </c>
      <c r="FZ8">
        <v>170.9</v>
      </c>
      <c r="GA8">
        <v>100</v>
      </c>
      <c r="GB8">
        <v>75.61</v>
      </c>
      <c r="GC8">
        <v>25.2</v>
      </c>
      <c r="GD8">
        <v>1.97</v>
      </c>
      <c r="GE8">
        <v>298.99</v>
      </c>
      <c r="GF8">
        <v>54.78</v>
      </c>
      <c r="GG8">
        <v>3.25</v>
      </c>
      <c r="GH8">
        <v>72.930000000000007</v>
      </c>
      <c r="GI8">
        <v>7.47</v>
      </c>
      <c r="GJ8">
        <v>38.92</v>
      </c>
      <c r="GK8">
        <v>0</v>
      </c>
      <c r="GL8">
        <v>6.94</v>
      </c>
      <c r="GM8">
        <v>10.25</v>
      </c>
      <c r="GN8">
        <v>53.37</v>
      </c>
      <c r="GO8">
        <v>33.65</v>
      </c>
      <c r="GP8">
        <v>2.1800000000000002</v>
      </c>
      <c r="GQ8">
        <v>9.51</v>
      </c>
      <c r="GR8">
        <v>64.67</v>
      </c>
      <c r="GS8">
        <v>32.08</v>
      </c>
      <c r="GT8">
        <v>3.25</v>
      </c>
      <c r="GU8">
        <v>87.6</v>
      </c>
      <c r="GV8">
        <v>93.22</v>
      </c>
      <c r="GW8">
        <v>0.52</v>
      </c>
      <c r="GX8">
        <v>40.31</v>
      </c>
      <c r="GY8">
        <v>75.61</v>
      </c>
      <c r="GZ8">
        <v>0.32</v>
      </c>
      <c r="HA8">
        <v>45.04</v>
      </c>
      <c r="HB8">
        <v>30.24</v>
      </c>
      <c r="HC8">
        <v>435.59</v>
      </c>
      <c r="HD8">
        <v>54.96</v>
      </c>
      <c r="HE8">
        <v>13.85</v>
      </c>
      <c r="HF8">
        <v>52.58</v>
      </c>
      <c r="HG8">
        <v>100</v>
      </c>
      <c r="HH8">
        <v>72.72</v>
      </c>
      <c r="HI8">
        <v>0</v>
      </c>
      <c r="HN8">
        <v>33</v>
      </c>
      <c r="HP8">
        <v>24</v>
      </c>
      <c r="HQ8">
        <v>2.72</v>
      </c>
      <c r="HR8">
        <v>12.11</v>
      </c>
      <c r="HS8">
        <v>1.01</v>
      </c>
      <c r="HT8">
        <v>100</v>
      </c>
      <c r="HU8">
        <v>100</v>
      </c>
      <c r="HV8">
        <v>0.51</v>
      </c>
      <c r="HX8">
        <v>0.37</v>
      </c>
      <c r="HY8">
        <v>100</v>
      </c>
      <c r="HZ8">
        <v>137.13</v>
      </c>
      <c r="IA8">
        <v>607.01</v>
      </c>
    </row>
    <row r="9" spans="1:235" x14ac:dyDescent="0.3">
      <c r="A9">
        <v>510760</v>
      </c>
      <c r="B9" t="s">
        <v>235</v>
      </c>
      <c r="C9" t="s">
        <v>236</v>
      </c>
      <c r="D9">
        <v>2015</v>
      </c>
      <c r="E9">
        <v>51076011</v>
      </c>
      <c r="F9" t="s">
        <v>237</v>
      </c>
      <c r="G9" t="s">
        <v>238</v>
      </c>
      <c r="H9" t="s">
        <v>239</v>
      </c>
      <c r="I9" t="s">
        <v>240</v>
      </c>
      <c r="J9" t="s">
        <v>241</v>
      </c>
      <c r="N9">
        <v>1</v>
      </c>
      <c r="O9">
        <v>1</v>
      </c>
      <c r="P9">
        <v>3</v>
      </c>
      <c r="Q9">
        <v>0</v>
      </c>
      <c r="W9" t="s">
        <v>242</v>
      </c>
      <c r="X9" t="s">
        <v>243</v>
      </c>
      <c r="Z9" s="1">
        <v>215320</v>
      </c>
      <c r="AA9" s="1">
        <v>207116</v>
      </c>
      <c r="AB9" s="1">
        <v>215320</v>
      </c>
      <c r="AC9" s="1">
        <v>211718</v>
      </c>
      <c r="AD9" s="1">
        <v>69053</v>
      </c>
      <c r="AE9" s="1">
        <v>63776</v>
      </c>
      <c r="AF9" s="1">
        <v>75971</v>
      </c>
      <c r="AG9" s="1">
        <v>70565</v>
      </c>
      <c r="AH9" s="1">
        <v>68618</v>
      </c>
      <c r="AI9" s="1">
        <v>63212</v>
      </c>
      <c r="AJ9">
        <v>954.37</v>
      </c>
      <c r="AK9">
        <v>948.85</v>
      </c>
      <c r="AL9" s="2">
        <v>23807.71</v>
      </c>
      <c r="AM9" s="2">
        <v>10185.31</v>
      </c>
      <c r="AN9" s="2">
        <v>12887.03</v>
      </c>
      <c r="AO9" s="2">
        <v>13542.88</v>
      </c>
      <c r="AP9" s="2">
        <v>12873.14</v>
      </c>
      <c r="AQ9" s="2">
        <v>23807.71</v>
      </c>
      <c r="AR9" s="1">
        <v>70138</v>
      </c>
      <c r="AS9" s="1">
        <v>65022</v>
      </c>
      <c r="AT9" s="1">
        <v>75520</v>
      </c>
      <c r="AU9" s="1">
        <v>69984</v>
      </c>
      <c r="AV9" s="2">
        <v>13622.4</v>
      </c>
      <c r="AW9">
        <v>0</v>
      </c>
      <c r="AX9">
        <v>0</v>
      </c>
      <c r="AY9">
        <v>0</v>
      </c>
      <c r="AZ9" s="2">
        <v>11372.75</v>
      </c>
      <c r="BA9" s="1">
        <v>81677</v>
      </c>
      <c r="BB9" s="1">
        <v>76338</v>
      </c>
      <c r="BC9" s="1">
        <v>69713</v>
      </c>
      <c r="BD9" s="1">
        <v>64474</v>
      </c>
      <c r="BG9" s="1">
        <v>207116</v>
      </c>
      <c r="BH9" s="1">
        <v>203651</v>
      </c>
      <c r="BI9">
        <v>0</v>
      </c>
      <c r="BK9" s="1">
        <v>144767</v>
      </c>
      <c r="BL9" s="1">
        <v>116559</v>
      </c>
      <c r="BM9" s="1">
        <v>39302</v>
      </c>
      <c r="BN9" s="1">
        <v>25460</v>
      </c>
      <c r="BO9" s="1">
        <v>45586</v>
      </c>
      <c r="BP9" s="1">
        <v>37003</v>
      </c>
      <c r="BQ9">
        <v>462.57</v>
      </c>
      <c r="BR9">
        <v>443.67</v>
      </c>
      <c r="BS9" s="2">
        <v>5775.24</v>
      </c>
      <c r="BT9" s="2">
        <v>5105.42</v>
      </c>
      <c r="BU9" s="2">
        <v>6572.58</v>
      </c>
      <c r="BV9" s="1">
        <v>41362</v>
      </c>
      <c r="BW9" s="1">
        <v>33216</v>
      </c>
      <c r="BX9" s="1">
        <v>46125</v>
      </c>
      <c r="BY9" s="1">
        <v>37807</v>
      </c>
      <c r="BZ9">
        <v>0</v>
      </c>
      <c r="CA9">
        <v>0</v>
      </c>
      <c r="CB9">
        <v>0</v>
      </c>
      <c r="CC9">
        <v>0</v>
      </c>
      <c r="CE9" s="1">
        <v>144767</v>
      </c>
      <c r="CF9" s="1">
        <v>116559</v>
      </c>
      <c r="CH9" s="2">
        <v>48013253.920000002</v>
      </c>
      <c r="CI9" s="2">
        <v>32562417.920000002</v>
      </c>
      <c r="CJ9" s="2">
        <v>15450836</v>
      </c>
      <c r="CK9" s="2">
        <v>2178018.4500000002</v>
      </c>
      <c r="CL9" s="2">
        <v>50191272.369999997</v>
      </c>
      <c r="CM9" s="2">
        <v>48013253.920000002</v>
      </c>
      <c r="CN9">
        <v>0</v>
      </c>
      <c r="CO9" s="2">
        <v>7489459.3099999996</v>
      </c>
      <c r="CP9" s="2">
        <v>9101075.0500000007</v>
      </c>
      <c r="CQ9" s="2">
        <v>3260310.4</v>
      </c>
      <c r="CR9" s="2">
        <v>914269.18</v>
      </c>
      <c r="CS9" s="2">
        <v>8775831.7400000002</v>
      </c>
      <c r="CT9" s="2">
        <v>14725455.26</v>
      </c>
      <c r="CU9" s="2">
        <v>30144633.02</v>
      </c>
      <c r="CV9">
        <v>0</v>
      </c>
      <c r="CW9" s="2">
        <v>31686452.640000001</v>
      </c>
      <c r="CX9" s="2">
        <v>354326.24</v>
      </c>
      <c r="CY9" s="2">
        <v>1541819.62</v>
      </c>
      <c r="CZ9">
        <v>0</v>
      </c>
      <c r="DA9" s="2">
        <v>454078.12</v>
      </c>
      <c r="DB9">
        <v>0</v>
      </c>
      <c r="DC9" s="2">
        <v>2921330.93</v>
      </c>
      <c r="DD9" s="2">
        <v>1789554.67</v>
      </c>
      <c r="DE9" s="2">
        <v>113222.25</v>
      </c>
      <c r="DF9">
        <v>35</v>
      </c>
      <c r="DG9">
        <v>37</v>
      </c>
      <c r="DH9" s="2">
        <v>2014688.32</v>
      </c>
      <c r="DI9">
        <v>0</v>
      </c>
      <c r="DJ9" s="2">
        <v>2196872.67</v>
      </c>
      <c r="DK9" s="2">
        <v>1147129.3999999999</v>
      </c>
      <c r="DL9" s="2">
        <v>1834432.02</v>
      </c>
      <c r="DM9" s="2">
        <v>5178434.09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K9">
        <v>36</v>
      </c>
      <c r="EL9">
        <v>792</v>
      </c>
      <c r="EN9" s="1">
        <v>11800</v>
      </c>
      <c r="EO9">
        <v>543</v>
      </c>
      <c r="EP9" s="1">
        <v>11800</v>
      </c>
      <c r="EQ9" s="1">
        <v>1487</v>
      </c>
      <c r="ER9">
        <v>391</v>
      </c>
      <c r="ES9">
        <v>332.08</v>
      </c>
      <c r="EU9" s="1">
        <v>11800</v>
      </c>
      <c r="EV9" s="1">
        <v>11800</v>
      </c>
      <c r="EW9">
        <v>366</v>
      </c>
      <c r="EX9" s="2">
        <v>8784</v>
      </c>
      <c r="EY9" s="1">
        <v>182692</v>
      </c>
      <c r="EZ9" s="1">
        <v>114629</v>
      </c>
      <c r="FA9" s="2">
        <v>6421787</v>
      </c>
      <c r="FB9" s="1">
        <v>7756</v>
      </c>
      <c r="FC9">
        <v>14</v>
      </c>
      <c r="FD9" s="1">
        <v>7756</v>
      </c>
      <c r="FE9">
        <v>1.1000000000000001</v>
      </c>
      <c r="FF9" s="2">
        <v>3182.29</v>
      </c>
      <c r="FG9">
        <v>1.63</v>
      </c>
      <c r="FH9">
        <v>2.4700000000000002</v>
      </c>
      <c r="FI9">
        <v>2.5299999999999998</v>
      </c>
      <c r="FJ9">
        <v>2.35</v>
      </c>
      <c r="FK9">
        <v>56.76</v>
      </c>
      <c r="FL9" s="2">
        <v>90564.18</v>
      </c>
      <c r="FM9">
        <v>99.25</v>
      </c>
      <c r="FN9">
        <v>54.13</v>
      </c>
      <c r="FO9">
        <v>100</v>
      </c>
      <c r="FP9">
        <v>151.53</v>
      </c>
      <c r="FQ9">
        <v>45.93</v>
      </c>
      <c r="FR9">
        <v>14.76</v>
      </c>
      <c r="FS9">
        <v>42.64</v>
      </c>
      <c r="FT9">
        <v>88.4</v>
      </c>
      <c r="FU9">
        <v>14.64</v>
      </c>
      <c r="FV9">
        <v>198.6</v>
      </c>
      <c r="FW9">
        <v>576.86</v>
      </c>
      <c r="FX9">
        <v>12.04</v>
      </c>
      <c r="FY9">
        <v>10.8</v>
      </c>
      <c r="FZ9">
        <v>173.77</v>
      </c>
      <c r="GA9">
        <v>100</v>
      </c>
      <c r="GB9">
        <v>69.900000000000006</v>
      </c>
      <c r="GC9">
        <v>27.08</v>
      </c>
      <c r="GD9">
        <v>1.55</v>
      </c>
      <c r="GE9">
        <v>263.13</v>
      </c>
      <c r="GF9">
        <v>54.07</v>
      </c>
      <c r="GG9">
        <v>4.34</v>
      </c>
      <c r="GH9">
        <v>62.78</v>
      </c>
      <c r="GI9">
        <v>6.79</v>
      </c>
      <c r="GJ9">
        <v>37.46</v>
      </c>
      <c r="GK9">
        <v>0</v>
      </c>
      <c r="GL9">
        <v>4.2</v>
      </c>
      <c r="GM9">
        <v>10.82</v>
      </c>
      <c r="GN9">
        <v>59.66</v>
      </c>
      <c r="GO9">
        <v>29.11</v>
      </c>
      <c r="GP9">
        <v>3.03</v>
      </c>
      <c r="GQ9">
        <v>6.68</v>
      </c>
      <c r="GR9">
        <v>64.88</v>
      </c>
      <c r="GS9">
        <v>30.78</v>
      </c>
      <c r="GT9">
        <v>4.34</v>
      </c>
      <c r="GU9">
        <v>92.24</v>
      </c>
      <c r="GV9">
        <v>95.16</v>
      </c>
      <c r="GW9">
        <v>0.54</v>
      </c>
      <c r="GX9">
        <v>37.700000000000003</v>
      </c>
      <c r="GY9">
        <v>69.900000000000006</v>
      </c>
      <c r="GZ9">
        <v>0.36</v>
      </c>
      <c r="HA9">
        <v>43.12</v>
      </c>
      <c r="HB9">
        <v>29.55</v>
      </c>
      <c r="HC9">
        <v>423.44</v>
      </c>
      <c r="HD9">
        <v>56.88</v>
      </c>
      <c r="HE9">
        <v>15.4</v>
      </c>
      <c r="HF9">
        <v>53.72</v>
      </c>
      <c r="HG9">
        <v>100</v>
      </c>
      <c r="HH9">
        <v>67.23</v>
      </c>
      <c r="HI9">
        <v>0</v>
      </c>
      <c r="HN9">
        <v>22</v>
      </c>
      <c r="HP9">
        <v>24</v>
      </c>
      <c r="HQ9">
        <v>4.5999999999999996</v>
      </c>
      <c r="HR9">
        <v>12.6</v>
      </c>
      <c r="HS9">
        <v>0.85</v>
      </c>
      <c r="HT9">
        <v>100</v>
      </c>
      <c r="HU9">
        <v>100</v>
      </c>
      <c r="HV9">
        <v>0.85</v>
      </c>
      <c r="HW9">
        <v>56.02</v>
      </c>
      <c r="HX9">
        <v>0.18</v>
      </c>
      <c r="HY9">
        <v>100</v>
      </c>
      <c r="HZ9">
        <v>159.28</v>
      </c>
      <c r="IA9">
        <v>497.47</v>
      </c>
    </row>
    <row r="10" spans="1:235" x14ac:dyDescent="0.3">
      <c r="A10">
        <v>510760</v>
      </c>
      <c r="B10" t="s">
        <v>235</v>
      </c>
      <c r="C10" t="s">
        <v>236</v>
      </c>
      <c r="D10">
        <v>2014</v>
      </c>
      <c r="E10">
        <v>51076011</v>
      </c>
      <c r="F10" t="s">
        <v>237</v>
      </c>
      <c r="G10" t="s">
        <v>238</v>
      </c>
      <c r="H10" t="s">
        <v>239</v>
      </c>
      <c r="I10" t="s">
        <v>240</v>
      </c>
      <c r="J10" t="s">
        <v>241</v>
      </c>
      <c r="N10">
        <v>1</v>
      </c>
      <c r="O10">
        <v>1</v>
      </c>
      <c r="P10">
        <v>3</v>
      </c>
      <c r="Q10">
        <v>0</v>
      </c>
      <c r="W10" t="s">
        <v>242</v>
      </c>
      <c r="X10" t="s">
        <v>243</v>
      </c>
      <c r="Z10" s="1">
        <v>211718</v>
      </c>
      <c r="AA10" s="1">
        <v>203651</v>
      </c>
      <c r="AB10" s="1">
        <v>211718</v>
      </c>
      <c r="AC10" s="1">
        <v>208019</v>
      </c>
      <c r="AD10" s="1">
        <v>63776</v>
      </c>
      <c r="AE10" s="1">
        <v>61572</v>
      </c>
      <c r="AF10" s="1">
        <v>70565</v>
      </c>
      <c r="AG10" s="1">
        <v>67967</v>
      </c>
      <c r="AH10" s="1">
        <v>63212</v>
      </c>
      <c r="AI10" s="1">
        <v>60440</v>
      </c>
      <c r="AJ10">
        <v>948.85</v>
      </c>
      <c r="AK10" s="2">
        <v>1237.3900000000001</v>
      </c>
      <c r="AL10" s="2">
        <v>23304.86</v>
      </c>
      <c r="AM10" s="2">
        <v>10985.95</v>
      </c>
      <c r="AN10" s="2">
        <v>12933.66</v>
      </c>
      <c r="AO10" s="2">
        <v>13813.1</v>
      </c>
      <c r="AP10" s="2">
        <v>12623.5</v>
      </c>
      <c r="AQ10" s="2">
        <v>23304.86</v>
      </c>
      <c r="AR10" s="1">
        <v>65022</v>
      </c>
      <c r="AS10" s="1">
        <v>62856</v>
      </c>
      <c r="AT10" s="1">
        <v>69984</v>
      </c>
      <c r="AU10" s="1">
        <v>65929</v>
      </c>
      <c r="AV10" s="2">
        <v>12318.91</v>
      </c>
      <c r="AW10">
        <v>0</v>
      </c>
      <c r="AX10">
        <v>0</v>
      </c>
      <c r="AY10">
        <v>0</v>
      </c>
      <c r="AZ10" s="2">
        <v>11442.91</v>
      </c>
      <c r="BA10" s="1">
        <v>76338</v>
      </c>
      <c r="BB10" s="1">
        <v>73685</v>
      </c>
      <c r="BC10" s="1">
        <v>64474</v>
      </c>
      <c r="BD10" s="1">
        <v>61731</v>
      </c>
      <c r="BG10" s="1">
        <v>203651</v>
      </c>
      <c r="BH10" s="1">
        <v>200093</v>
      </c>
      <c r="BI10">
        <v>0</v>
      </c>
      <c r="BK10" s="1">
        <v>116559</v>
      </c>
      <c r="BL10" s="1">
        <v>81621</v>
      </c>
      <c r="BM10" s="1">
        <v>25460</v>
      </c>
      <c r="BN10" s="1">
        <v>25460</v>
      </c>
      <c r="BO10" s="1">
        <v>37003</v>
      </c>
      <c r="BP10" s="1">
        <v>30531</v>
      </c>
      <c r="BQ10">
        <v>443.67</v>
      </c>
      <c r="BR10">
        <v>298</v>
      </c>
      <c r="BS10" s="2">
        <v>5504.64</v>
      </c>
      <c r="BT10" s="2">
        <v>4743.68</v>
      </c>
      <c r="BU10" s="2">
        <v>5612.22</v>
      </c>
      <c r="BV10" s="1">
        <v>33216</v>
      </c>
      <c r="BW10" s="1">
        <v>27207</v>
      </c>
      <c r="BX10" s="1">
        <v>37807</v>
      </c>
      <c r="BY10" s="1">
        <v>32144</v>
      </c>
      <c r="BZ10">
        <v>0</v>
      </c>
      <c r="CA10">
        <v>0</v>
      </c>
      <c r="CB10">
        <v>0</v>
      </c>
      <c r="CC10">
        <v>0</v>
      </c>
      <c r="CE10" s="1">
        <v>116559</v>
      </c>
      <c r="CF10" s="1">
        <v>81621</v>
      </c>
      <c r="CH10" s="2">
        <v>41095329.5</v>
      </c>
      <c r="CI10" s="2">
        <v>28658879.039999999</v>
      </c>
      <c r="CJ10" s="2">
        <v>12436450.460000001</v>
      </c>
      <c r="CK10" s="2">
        <v>1209066.57</v>
      </c>
      <c r="CL10" s="2">
        <v>42304396.07</v>
      </c>
      <c r="CM10" s="2">
        <v>41095329.5</v>
      </c>
      <c r="CN10">
        <v>0</v>
      </c>
      <c r="CO10" s="2">
        <v>9101075.0500000007</v>
      </c>
      <c r="CP10" s="2">
        <v>8093180.4800000004</v>
      </c>
      <c r="CQ10" s="2">
        <v>2855472.4</v>
      </c>
      <c r="CR10" s="2">
        <v>822291.2</v>
      </c>
      <c r="CS10" s="2">
        <v>9024872.9299999997</v>
      </c>
      <c r="CT10" s="2">
        <v>12593448.619999999</v>
      </c>
      <c r="CU10" s="2">
        <v>38823889.549999997</v>
      </c>
      <c r="CV10">
        <v>0</v>
      </c>
      <c r="CW10" s="2">
        <v>40078202.039999999</v>
      </c>
      <c r="CX10" s="2">
        <v>5236</v>
      </c>
      <c r="CY10" s="2">
        <v>1254312.49</v>
      </c>
      <c r="CZ10">
        <v>0</v>
      </c>
      <c r="DA10" s="2">
        <v>460215.48</v>
      </c>
      <c r="DB10">
        <v>0</v>
      </c>
      <c r="DC10" s="2">
        <v>7684669.4500000002</v>
      </c>
      <c r="DD10" s="2">
        <v>3248449.37</v>
      </c>
      <c r="DE10" s="2">
        <v>855102.48</v>
      </c>
      <c r="DF10">
        <v>37</v>
      </c>
      <c r="DG10">
        <v>39</v>
      </c>
      <c r="DH10" s="2">
        <v>13067588.92</v>
      </c>
      <c r="DI10">
        <v>0</v>
      </c>
      <c r="DJ10" s="2">
        <v>1795371.27</v>
      </c>
      <c r="DK10" s="2">
        <v>587124.01</v>
      </c>
      <c r="DL10" s="2">
        <v>9410962.0199999996</v>
      </c>
      <c r="DM10" s="2">
        <v>11793457.300000001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K10">
        <v>36</v>
      </c>
      <c r="EL10">
        <v>792</v>
      </c>
      <c r="EN10" s="1">
        <v>22152</v>
      </c>
      <c r="EO10">
        <v>288</v>
      </c>
      <c r="EP10" s="1">
        <v>11823</v>
      </c>
      <c r="EQ10">
        <v>49</v>
      </c>
      <c r="ER10">
        <v>255</v>
      </c>
      <c r="ES10">
        <v>320.14999999999998</v>
      </c>
      <c r="EU10" s="1">
        <v>11823</v>
      </c>
      <c r="EV10" s="1">
        <v>11823</v>
      </c>
      <c r="EW10">
        <v>365</v>
      </c>
      <c r="EX10" s="2">
        <v>8760</v>
      </c>
      <c r="EY10" s="1">
        <v>135811</v>
      </c>
      <c r="EZ10" s="1">
        <v>93407</v>
      </c>
      <c r="FA10" s="2">
        <v>5256023</v>
      </c>
      <c r="FB10" s="1">
        <v>7644</v>
      </c>
      <c r="FC10">
        <v>3</v>
      </c>
      <c r="FD10" s="1">
        <v>7644</v>
      </c>
      <c r="FE10">
        <v>1.1100000000000001</v>
      </c>
      <c r="FF10" s="2">
        <v>2711.39</v>
      </c>
      <c r="FG10">
        <v>2.2000000000000002</v>
      </c>
      <c r="FH10">
        <v>2.25</v>
      </c>
      <c r="FI10">
        <v>2.27</v>
      </c>
      <c r="FJ10">
        <v>2.2200000000000002</v>
      </c>
      <c r="FK10">
        <v>38.549999999999997</v>
      </c>
      <c r="FL10" s="2">
        <v>75144.009999999995</v>
      </c>
      <c r="FM10">
        <v>98.65</v>
      </c>
      <c r="FN10">
        <v>55.5</v>
      </c>
      <c r="FO10">
        <v>100</v>
      </c>
      <c r="FP10">
        <v>102.54</v>
      </c>
      <c r="FQ10">
        <v>45.83</v>
      </c>
      <c r="FR10">
        <v>15.86</v>
      </c>
      <c r="FS10">
        <v>39.85</v>
      </c>
      <c r="FT10">
        <v>86.18</v>
      </c>
      <c r="FU10">
        <v>15.19</v>
      </c>
      <c r="FV10">
        <v>205.59</v>
      </c>
      <c r="FW10">
        <v>501.16</v>
      </c>
      <c r="FX10">
        <v>14.57</v>
      </c>
      <c r="FY10">
        <v>10.6</v>
      </c>
      <c r="FZ10">
        <v>180.32</v>
      </c>
      <c r="GA10">
        <v>100</v>
      </c>
      <c r="GB10">
        <v>57.23</v>
      </c>
      <c r="GC10">
        <v>28.04</v>
      </c>
      <c r="GD10">
        <v>2.13</v>
      </c>
      <c r="GE10">
        <v>376.81</v>
      </c>
      <c r="GF10">
        <v>54.17</v>
      </c>
      <c r="GG10">
        <v>2.86</v>
      </c>
      <c r="GH10">
        <v>94.47</v>
      </c>
      <c r="GI10">
        <v>6.95</v>
      </c>
      <c r="GJ10">
        <v>37.590000000000003</v>
      </c>
      <c r="GK10">
        <v>0</v>
      </c>
      <c r="GL10">
        <v>31.8</v>
      </c>
      <c r="GM10">
        <v>7.35</v>
      </c>
      <c r="GN10">
        <v>39.79</v>
      </c>
      <c r="GO10">
        <v>23.25</v>
      </c>
      <c r="GP10">
        <v>2.12</v>
      </c>
      <c r="GQ10">
        <v>33.659999999999997</v>
      </c>
      <c r="GR10">
        <v>67.739999999999995</v>
      </c>
      <c r="GS10">
        <v>29.4</v>
      </c>
      <c r="GT10">
        <v>2.86</v>
      </c>
      <c r="GU10">
        <v>92.31</v>
      </c>
      <c r="GV10">
        <v>93.63</v>
      </c>
      <c r="GW10">
        <v>0.61</v>
      </c>
      <c r="GX10">
        <v>34.340000000000003</v>
      </c>
      <c r="GY10">
        <v>57.23</v>
      </c>
      <c r="GZ10">
        <v>0.43</v>
      </c>
      <c r="HA10">
        <v>40.729999999999997</v>
      </c>
      <c r="HB10">
        <v>23.79</v>
      </c>
      <c r="HC10">
        <v>414.92</v>
      </c>
      <c r="HD10">
        <v>59.27</v>
      </c>
      <c r="HE10">
        <v>16.62</v>
      </c>
      <c r="HF10">
        <v>77.45</v>
      </c>
      <c r="HG10">
        <v>100</v>
      </c>
      <c r="HH10">
        <v>55.05</v>
      </c>
      <c r="HI10">
        <v>0</v>
      </c>
      <c r="HN10">
        <v>22</v>
      </c>
      <c r="HP10">
        <v>24</v>
      </c>
      <c r="HQ10">
        <v>1.3</v>
      </c>
      <c r="HR10">
        <v>0.41</v>
      </c>
      <c r="HS10">
        <v>1.26</v>
      </c>
      <c r="HT10">
        <v>187.36</v>
      </c>
      <c r="HU10">
        <v>100</v>
      </c>
      <c r="HV10">
        <v>0.56999999999999995</v>
      </c>
      <c r="HW10">
        <v>56.27</v>
      </c>
      <c r="HX10">
        <v>0.04</v>
      </c>
      <c r="HY10">
        <v>100</v>
      </c>
      <c r="HZ10">
        <v>105.85</v>
      </c>
      <c r="IA10">
        <v>428.69</v>
      </c>
    </row>
    <row r="11" spans="1:235" x14ac:dyDescent="0.3">
      <c r="A11">
        <v>510760</v>
      </c>
      <c r="B11" t="s">
        <v>235</v>
      </c>
      <c r="C11" t="s">
        <v>236</v>
      </c>
      <c r="D11">
        <v>2013</v>
      </c>
      <c r="E11">
        <v>51076011</v>
      </c>
      <c r="F11" t="s">
        <v>237</v>
      </c>
      <c r="G11" t="s">
        <v>238</v>
      </c>
      <c r="H11" t="s">
        <v>239</v>
      </c>
      <c r="I11" t="s">
        <v>240</v>
      </c>
      <c r="J11" t="s">
        <v>241</v>
      </c>
      <c r="N11">
        <v>1</v>
      </c>
      <c r="O11">
        <v>1</v>
      </c>
      <c r="P11">
        <v>3</v>
      </c>
      <c r="Q11">
        <v>0</v>
      </c>
      <c r="W11" t="s">
        <v>242</v>
      </c>
      <c r="X11" t="s">
        <v>243</v>
      </c>
      <c r="Z11" s="1">
        <v>208019</v>
      </c>
      <c r="AA11" s="1">
        <v>200093</v>
      </c>
      <c r="AB11" s="1">
        <v>208019</v>
      </c>
      <c r="AC11" s="1">
        <v>202309</v>
      </c>
      <c r="AD11" s="1">
        <v>61572</v>
      </c>
      <c r="AE11" s="1">
        <v>60735</v>
      </c>
      <c r="AF11" s="1">
        <v>67967</v>
      </c>
      <c r="AG11" s="1">
        <v>67211</v>
      </c>
      <c r="AH11" s="1">
        <v>60440</v>
      </c>
      <c r="AI11" s="1">
        <v>59452</v>
      </c>
      <c r="AJ11" s="2">
        <v>1237.3900000000001</v>
      </c>
      <c r="AK11">
        <v>57.14</v>
      </c>
      <c r="AL11" s="2">
        <v>21741.33</v>
      </c>
      <c r="AM11" s="2">
        <v>11111.02</v>
      </c>
      <c r="AN11" s="2">
        <v>13906.44</v>
      </c>
      <c r="AO11" s="2">
        <v>14713.4</v>
      </c>
      <c r="AP11" s="2">
        <v>12226.17</v>
      </c>
      <c r="AQ11" s="2">
        <v>21741.33</v>
      </c>
      <c r="AR11" s="1">
        <v>62856</v>
      </c>
      <c r="AS11" s="1">
        <v>62118</v>
      </c>
      <c r="AT11" s="1">
        <v>65929</v>
      </c>
      <c r="AU11" s="1">
        <v>65824</v>
      </c>
      <c r="AV11" s="2">
        <v>10630.31</v>
      </c>
      <c r="AW11">
        <v>0</v>
      </c>
      <c r="AX11">
        <v>0</v>
      </c>
      <c r="AY11">
        <v>0</v>
      </c>
      <c r="AZ11" s="2">
        <v>12400.95</v>
      </c>
      <c r="BA11" s="1">
        <v>73685</v>
      </c>
      <c r="BB11" s="1">
        <v>70181</v>
      </c>
      <c r="BC11" s="1">
        <v>61731</v>
      </c>
      <c r="BD11" s="1">
        <v>60838</v>
      </c>
      <c r="BG11" s="1">
        <v>200093</v>
      </c>
      <c r="BH11" s="1">
        <v>194601</v>
      </c>
      <c r="BI11">
        <v>0</v>
      </c>
      <c r="BK11" s="1">
        <v>81621</v>
      </c>
      <c r="BL11" s="1">
        <v>67385</v>
      </c>
      <c r="BM11" s="1">
        <v>25460</v>
      </c>
      <c r="BN11" s="1">
        <v>17975</v>
      </c>
      <c r="BO11" s="1">
        <v>30531</v>
      </c>
      <c r="BP11" s="1">
        <v>22426</v>
      </c>
      <c r="BQ11">
        <v>298</v>
      </c>
      <c r="BR11">
        <v>56.97</v>
      </c>
      <c r="BS11" s="2">
        <v>5474.98</v>
      </c>
      <c r="BT11" s="2">
        <v>5013.54</v>
      </c>
      <c r="BU11" s="2">
        <v>4213.22</v>
      </c>
      <c r="BV11" s="1">
        <v>27207</v>
      </c>
      <c r="BW11" s="1">
        <v>19253</v>
      </c>
      <c r="BX11" s="1">
        <v>32144</v>
      </c>
      <c r="BY11" s="1">
        <v>21161</v>
      </c>
      <c r="BZ11">
        <v>0</v>
      </c>
      <c r="CA11">
        <v>0</v>
      </c>
      <c r="CB11">
        <v>0</v>
      </c>
      <c r="CC11">
        <v>0</v>
      </c>
      <c r="CE11" s="1">
        <v>81621</v>
      </c>
      <c r="CF11" s="1">
        <v>67385</v>
      </c>
      <c r="CH11" s="2">
        <v>36046199.340000004</v>
      </c>
      <c r="CI11" s="2">
        <v>26598022.98</v>
      </c>
      <c r="CJ11" s="2">
        <v>9448176.3599999994</v>
      </c>
      <c r="CK11" s="2">
        <v>1072810.9099999999</v>
      </c>
      <c r="CL11" s="2">
        <v>37119010.25</v>
      </c>
      <c r="CM11" s="2">
        <v>36046199.340000004</v>
      </c>
      <c r="CN11">
        <v>0</v>
      </c>
      <c r="CO11" s="2">
        <v>8093180.4800000004</v>
      </c>
      <c r="CP11" s="2">
        <v>7721643.9500000002</v>
      </c>
      <c r="CQ11" s="2">
        <v>2597774.17</v>
      </c>
      <c r="CR11" s="2">
        <v>571303.5</v>
      </c>
      <c r="CS11" s="2">
        <v>6450938.2800000003</v>
      </c>
      <c r="CT11" s="2">
        <v>12261594.6</v>
      </c>
      <c r="CU11" s="2">
        <v>23981960.530000001</v>
      </c>
      <c r="CV11">
        <v>0</v>
      </c>
      <c r="CW11" s="2">
        <v>26673421.920000002</v>
      </c>
      <c r="CX11" s="2">
        <v>255300.26</v>
      </c>
      <c r="CY11" s="2">
        <v>959932.94</v>
      </c>
      <c r="CZ11">
        <v>0</v>
      </c>
      <c r="DA11" s="2">
        <v>368821.53</v>
      </c>
      <c r="DB11">
        <v>0</v>
      </c>
      <c r="DC11" s="2">
        <v>3640568.36</v>
      </c>
      <c r="DD11" s="2">
        <v>2591024.36</v>
      </c>
      <c r="DE11" s="2">
        <v>75901.19</v>
      </c>
      <c r="DF11">
        <v>39</v>
      </c>
      <c r="DG11">
        <v>38</v>
      </c>
      <c r="DH11" s="2">
        <v>1731528.45</v>
      </c>
      <c r="DI11" s="2">
        <v>1731528.45</v>
      </c>
      <c r="DJ11" s="2">
        <v>628924.76</v>
      </c>
      <c r="DK11" s="2">
        <v>3620017.98</v>
      </c>
      <c r="DL11" s="2">
        <v>2313851.4300000002</v>
      </c>
      <c r="DM11" s="2">
        <v>6562794.1699999999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K11">
        <v>6</v>
      </c>
      <c r="EL11">
        <v>50</v>
      </c>
      <c r="EN11" s="1">
        <v>21199</v>
      </c>
      <c r="EO11">
        <v>596</v>
      </c>
      <c r="EP11" s="1">
        <v>11503</v>
      </c>
      <c r="EQ11">
        <v>62</v>
      </c>
      <c r="ER11">
        <v>281</v>
      </c>
      <c r="ES11">
        <v>361</v>
      </c>
      <c r="EU11" s="1">
        <v>11503</v>
      </c>
      <c r="EV11" s="1">
        <v>11503</v>
      </c>
      <c r="EW11">
        <v>365</v>
      </c>
      <c r="EX11" s="2">
        <v>8760</v>
      </c>
      <c r="EY11" s="1">
        <v>128231</v>
      </c>
      <c r="EZ11" s="1">
        <v>89900</v>
      </c>
      <c r="FA11" s="2">
        <v>5092793</v>
      </c>
      <c r="FB11" s="1">
        <v>7288</v>
      </c>
      <c r="FC11">
        <v>4</v>
      </c>
      <c r="FD11" s="1">
        <v>7288</v>
      </c>
      <c r="FE11">
        <v>1.1100000000000001</v>
      </c>
      <c r="FF11" s="2">
        <v>2443.31</v>
      </c>
      <c r="FG11">
        <v>1.62</v>
      </c>
      <c r="FH11">
        <v>2.19</v>
      </c>
      <c r="FI11">
        <v>2.1800000000000002</v>
      </c>
      <c r="FJ11">
        <v>2.2400000000000002</v>
      </c>
      <c r="FK11">
        <v>55.71</v>
      </c>
      <c r="FL11" s="2">
        <v>67474.649999999994</v>
      </c>
      <c r="FM11">
        <v>98.03</v>
      </c>
      <c r="FN11">
        <v>63.96</v>
      </c>
      <c r="FO11">
        <v>100</v>
      </c>
      <c r="FP11">
        <v>135.13999999999999</v>
      </c>
      <c r="FQ11">
        <v>43.77</v>
      </c>
      <c r="FR11">
        <v>17.59</v>
      </c>
      <c r="FS11">
        <v>37.21</v>
      </c>
      <c r="FT11">
        <v>91.57</v>
      </c>
      <c r="FU11">
        <v>15.07</v>
      </c>
      <c r="FV11">
        <v>220.22</v>
      </c>
      <c r="FW11">
        <v>427.15</v>
      </c>
      <c r="FX11">
        <v>9</v>
      </c>
      <c r="FY11">
        <v>6.66</v>
      </c>
      <c r="FZ11">
        <v>196.48</v>
      </c>
      <c r="GA11">
        <v>100</v>
      </c>
      <c r="GB11">
        <v>40.79</v>
      </c>
      <c r="GC11">
        <v>26.81</v>
      </c>
      <c r="GD11">
        <v>1.46</v>
      </c>
      <c r="GE11">
        <v>254.94</v>
      </c>
      <c r="GF11">
        <v>56.23</v>
      </c>
      <c r="GG11">
        <v>2.89</v>
      </c>
      <c r="GH11">
        <v>66.53</v>
      </c>
      <c r="GI11">
        <v>7.21</v>
      </c>
      <c r="GJ11">
        <v>41.22</v>
      </c>
      <c r="GK11">
        <v>0</v>
      </c>
      <c r="GL11">
        <v>4.8</v>
      </c>
      <c r="GM11">
        <v>10.83</v>
      </c>
      <c r="GN11">
        <v>61.96</v>
      </c>
      <c r="GO11">
        <v>26.9</v>
      </c>
      <c r="GP11">
        <v>2.38</v>
      </c>
      <c r="GQ11">
        <v>7.22</v>
      </c>
      <c r="GR11">
        <v>71.66</v>
      </c>
      <c r="GS11">
        <v>25.45</v>
      </c>
      <c r="GT11">
        <v>2.89</v>
      </c>
      <c r="GU11">
        <v>92.45</v>
      </c>
      <c r="GV11">
        <v>94.52</v>
      </c>
      <c r="GW11">
        <v>0.63</v>
      </c>
      <c r="GX11">
        <v>34.07</v>
      </c>
      <c r="GY11">
        <v>40.79</v>
      </c>
      <c r="GZ11">
        <v>0.46</v>
      </c>
      <c r="HA11">
        <v>32.33</v>
      </c>
      <c r="HB11">
        <v>29.75</v>
      </c>
      <c r="HC11">
        <v>314.86</v>
      </c>
      <c r="HD11">
        <v>67.67</v>
      </c>
      <c r="HE11">
        <v>18.14</v>
      </c>
      <c r="HF11">
        <v>78.489999999999995</v>
      </c>
      <c r="HG11">
        <v>100</v>
      </c>
      <c r="HH11">
        <v>39.24</v>
      </c>
      <c r="HI11">
        <v>0</v>
      </c>
      <c r="HN11">
        <v>8.33</v>
      </c>
      <c r="HP11">
        <v>24</v>
      </c>
      <c r="HQ11">
        <v>2.81</v>
      </c>
      <c r="HR11">
        <v>0.54</v>
      </c>
      <c r="HS11">
        <v>1.28</v>
      </c>
      <c r="HT11">
        <v>184.29</v>
      </c>
      <c r="HU11">
        <v>100</v>
      </c>
      <c r="HV11">
        <v>0.94</v>
      </c>
      <c r="HW11">
        <v>56.65</v>
      </c>
      <c r="HX11">
        <v>0.05</v>
      </c>
      <c r="HY11">
        <v>100</v>
      </c>
      <c r="HZ11">
        <v>150.31</v>
      </c>
      <c r="IA11">
        <v>376.31</v>
      </c>
    </row>
    <row r="12" spans="1:235" x14ac:dyDescent="0.3">
      <c r="A12">
        <v>510760</v>
      </c>
      <c r="B12" t="s">
        <v>235</v>
      </c>
      <c r="C12" t="s">
        <v>236</v>
      </c>
      <c r="D12">
        <v>2012</v>
      </c>
      <c r="E12">
        <v>51076011</v>
      </c>
      <c r="F12" t="s">
        <v>237</v>
      </c>
      <c r="G12" t="s">
        <v>238</v>
      </c>
      <c r="H12" t="s">
        <v>239</v>
      </c>
      <c r="I12" t="s">
        <v>240</v>
      </c>
      <c r="J12" t="s">
        <v>241</v>
      </c>
      <c r="N12">
        <v>1</v>
      </c>
      <c r="O12">
        <v>1</v>
      </c>
      <c r="P12">
        <v>3</v>
      </c>
      <c r="Q12">
        <v>0</v>
      </c>
      <c r="W12" t="s">
        <v>242</v>
      </c>
      <c r="X12" t="s">
        <v>243</v>
      </c>
      <c r="Z12" s="1">
        <v>202309</v>
      </c>
      <c r="AA12" s="1">
        <v>194601</v>
      </c>
      <c r="AB12" s="1">
        <v>202309</v>
      </c>
      <c r="AC12" s="1">
        <v>192721</v>
      </c>
      <c r="AD12" s="1">
        <v>60735</v>
      </c>
      <c r="AE12" s="1">
        <v>58384</v>
      </c>
      <c r="AF12" s="1">
        <v>67211</v>
      </c>
      <c r="AG12" s="1">
        <v>64723</v>
      </c>
      <c r="AH12" s="1">
        <v>59452</v>
      </c>
      <c r="AI12" s="1">
        <v>57033</v>
      </c>
      <c r="AJ12">
        <v>57.14</v>
      </c>
      <c r="AK12">
        <v>43.61</v>
      </c>
      <c r="AL12" s="2">
        <v>21331.66</v>
      </c>
      <c r="AM12" s="2">
        <v>11316.67</v>
      </c>
      <c r="AN12" s="2">
        <v>12209.16</v>
      </c>
      <c r="AO12" s="2">
        <v>12651.66</v>
      </c>
      <c r="AP12" s="2">
        <v>11605.34</v>
      </c>
      <c r="AQ12" s="2">
        <v>21259.54</v>
      </c>
      <c r="AR12" s="1">
        <v>62118</v>
      </c>
      <c r="AS12" s="1">
        <v>59802</v>
      </c>
      <c r="AT12" s="1">
        <v>65824</v>
      </c>
      <c r="AU12" s="1">
        <v>63280</v>
      </c>
      <c r="AV12" s="2">
        <v>10014.99</v>
      </c>
      <c r="AW12">
        <v>0</v>
      </c>
      <c r="AX12">
        <v>0</v>
      </c>
      <c r="AY12">
        <v>0</v>
      </c>
      <c r="AZ12" s="2">
        <v>10902.05</v>
      </c>
      <c r="BA12" s="1">
        <v>70181</v>
      </c>
      <c r="BB12" s="1">
        <v>66425</v>
      </c>
      <c r="BC12" s="1">
        <v>60838</v>
      </c>
      <c r="BD12" s="1">
        <v>58414</v>
      </c>
      <c r="BG12" s="1">
        <v>194601</v>
      </c>
      <c r="BH12" s="1">
        <v>191370</v>
      </c>
      <c r="BI12">
        <v>0</v>
      </c>
      <c r="BK12" s="1">
        <v>67385</v>
      </c>
      <c r="BL12" s="1">
        <v>65037</v>
      </c>
      <c r="BM12" s="1">
        <v>17975</v>
      </c>
      <c r="BN12" s="1">
        <v>18400</v>
      </c>
      <c r="BO12" s="1">
        <v>22426</v>
      </c>
      <c r="BP12" s="1">
        <v>21464</v>
      </c>
      <c r="BQ12">
        <v>56.97</v>
      </c>
      <c r="BR12">
        <v>198.66</v>
      </c>
      <c r="BS12" s="2">
        <v>5007.8500000000004</v>
      </c>
      <c r="BT12" s="2">
        <v>4139.1899999999996</v>
      </c>
      <c r="BU12" s="2">
        <v>3666.04</v>
      </c>
      <c r="BV12" s="1">
        <v>19253</v>
      </c>
      <c r="BW12" s="1">
        <v>18582</v>
      </c>
      <c r="BX12" s="1">
        <v>21161</v>
      </c>
      <c r="BY12" s="1">
        <v>20327</v>
      </c>
      <c r="BZ12">
        <v>0</v>
      </c>
      <c r="CA12">
        <v>0</v>
      </c>
      <c r="CB12">
        <v>0</v>
      </c>
      <c r="CC12">
        <v>0</v>
      </c>
      <c r="CE12" s="1">
        <v>67385</v>
      </c>
      <c r="CF12" s="1">
        <v>65037</v>
      </c>
      <c r="CH12" s="2">
        <v>30981621.719999999</v>
      </c>
      <c r="CI12" s="2">
        <v>23669682.960000001</v>
      </c>
      <c r="CJ12" s="2">
        <v>7311938.7599999998</v>
      </c>
      <c r="CK12" s="2">
        <v>867744.16</v>
      </c>
      <c r="CL12" s="2">
        <v>31849365.879999999</v>
      </c>
      <c r="CM12" s="2">
        <v>30981621.719999999</v>
      </c>
      <c r="CN12">
        <v>0</v>
      </c>
      <c r="CO12" s="2">
        <v>7721643.9500000002</v>
      </c>
      <c r="CP12" s="2">
        <v>7665643.8899999997</v>
      </c>
      <c r="CQ12" s="2">
        <v>1734254.61</v>
      </c>
      <c r="CR12" s="2">
        <v>566915.9</v>
      </c>
      <c r="CS12" s="2">
        <v>7320044.8300000001</v>
      </c>
      <c r="CT12" s="2">
        <v>8488030.4399999995</v>
      </c>
      <c r="CU12" s="2">
        <v>18435983.129999999</v>
      </c>
      <c r="CV12">
        <v>0</v>
      </c>
      <c r="CW12" s="2">
        <v>18437823.129999999</v>
      </c>
      <c r="CX12" s="2">
        <v>2267352.1</v>
      </c>
      <c r="CY12">
        <v>0</v>
      </c>
      <c r="CZ12">
        <v>0</v>
      </c>
      <c r="DA12" s="2">
        <v>326737.34999999998</v>
      </c>
      <c r="DB12">
        <v>0</v>
      </c>
      <c r="DC12" s="2">
        <v>8830394.2699999996</v>
      </c>
      <c r="DD12" s="2">
        <v>3830772.05</v>
      </c>
      <c r="DE12" s="2">
        <v>360918.18</v>
      </c>
      <c r="DF12">
        <v>38</v>
      </c>
      <c r="DG12">
        <v>39</v>
      </c>
      <c r="DH12">
        <v>0</v>
      </c>
      <c r="DI12" s="2">
        <v>1840</v>
      </c>
      <c r="DJ12" s="2">
        <v>1669398.93</v>
      </c>
      <c r="DK12" s="2">
        <v>10983950.76</v>
      </c>
      <c r="DL12" s="2">
        <v>2636086.91</v>
      </c>
      <c r="DM12" s="2">
        <v>15289436.6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K12">
        <v>11</v>
      </c>
      <c r="EL12">
        <v>69</v>
      </c>
      <c r="EN12" s="1">
        <v>21207</v>
      </c>
      <c r="EO12" s="1">
        <v>1185</v>
      </c>
      <c r="EP12" s="1">
        <v>11451</v>
      </c>
      <c r="EQ12">
        <v>535</v>
      </c>
      <c r="EU12" s="1">
        <v>11451</v>
      </c>
      <c r="EV12" s="1">
        <v>11451</v>
      </c>
      <c r="EW12">
        <v>365</v>
      </c>
      <c r="EX12" s="2">
        <v>8760</v>
      </c>
      <c r="EY12" s="1">
        <v>128718</v>
      </c>
      <c r="EZ12" s="1">
        <v>86138</v>
      </c>
      <c r="FA12" s="2">
        <v>4650651</v>
      </c>
      <c r="FB12" s="1">
        <v>7248</v>
      </c>
      <c r="FC12">
        <v>2</v>
      </c>
      <c r="FD12" s="1">
        <v>7248</v>
      </c>
      <c r="FE12">
        <v>1.1100000000000001</v>
      </c>
      <c r="FF12" s="2">
        <v>2283.4299999999998</v>
      </c>
      <c r="FG12">
        <v>1.21</v>
      </c>
      <c r="FH12">
        <v>2.0299999999999998</v>
      </c>
      <c r="FI12">
        <v>2.04</v>
      </c>
      <c r="FJ12">
        <v>1.99</v>
      </c>
      <c r="FK12">
        <v>55.44</v>
      </c>
      <c r="FL12" s="2">
        <v>45045.57</v>
      </c>
      <c r="FM12">
        <v>97.79</v>
      </c>
      <c r="FN12">
        <v>57.23</v>
      </c>
      <c r="FO12">
        <v>99.66</v>
      </c>
      <c r="FP12">
        <v>168.03</v>
      </c>
      <c r="FQ12">
        <v>45.6</v>
      </c>
      <c r="FR12">
        <v>15.8</v>
      </c>
      <c r="FS12">
        <v>39.58</v>
      </c>
      <c r="FT12">
        <v>82.65</v>
      </c>
      <c r="FU12">
        <v>14.7</v>
      </c>
      <c r="FV12">
        <v>227</v>
      </c>
      <c r="FW12">
        <v>387.39</v>
      </c>
      <c r="FX12">
        <v>0.7</v>
      </c>
      <c r="FY12">
        <v>6.16</v>
      </c>
      <c r="FZ12">
        <v>175.5</v>
      </c>
      <c r="GA12">
        <v>100</v>
      </c>
      <c r="GB12">
        <v>34.630000000000003</v>
      </c>
      <c r="GC12">
        <v>26.9</v>
      </c>
      <c r="GD12">
        <v>1.21</v>
      </c>
      <c r="GE12">
        <v>209.71</v>
      </c>
      <c r="GF12">
        <v>54.4</v>
      </c>
      <c r="GG12">
        <v>2.72</v>
      </c>
      <c r="GH12">
        <v>59.51</v>
      </c>
      <c r="GI12">
        <v>5.6</v>
      </c>
      <c r="GJ12">
        <v>32.99</v>
      </c>
      <c r="GK12">
        <v>0</v>
      </c>
      <c r="GL12">
        <v>0</v>
      </c>
      <c r="GM12">
        <v>9.41</v>
      </c>
      <c r="GN12">
        <v>55.45</v>
      </c>
      <c r="GO12">
        <v>39.71</v>
      </c>
      <c r="GP12">
        <v>3.08</v>
      </c>
      <c r="GQ12">
        <v>0</v>
      </c>
      <c r="GR12">
        <v>74.319999999999993</v>
      </c>
      <c r="GS12">
        <v>22.96</v>
      </c>
      <c r="GT12">
        <v>2.72</v>
      </c>
      <c r="GU12">
        <v>92.41</v>
      </c>
      <c r="GV12">
        <v>96.5</v>
      </c>
      <c r="GW12">
        <v>0.65</v>
      </c>
      <c r="GX12">
        <v>32.72</v>
      </c>
      <c r="GY12">
        <v>34.630000000000003</v>
      </c>
      <c r="GZ12">
        <v>0.5</v>
      </c>
      <c r="HA12">
        <v>40.69</v>
      </c>
      <c r="HB12">
        <v>472.08</v>
      </c>
      <c r="HC12">
        <v>399.28</v>
      </c>
      <c r="HD12">
        <v>59.31</v>
      </c>
      <c r="HE12">
        <v>16</v>
      </c>
      <c r="HF12">
        <v>90</v>
      </c>
      <c r="HG12">
        <v>100</v>
      </c>
      <c r="HH12">
        <v>33.31</v>
      </c>
      <c r="HI12">
        <v>0</v>
      </c>
      <c r="HN12">
        <v>6.27</v>
      </c>
      <c r="HP12">
        <v>24</v>
      </c>
      <c r="HQ12">
        <v>5.59</v>
      </c>
      <c r="HR12">
        <v>4.67</v>
      </c>
      <c r="HT12">
        <v>185.2</v>
      </c>
      <c r="HU12">
        <v>100</v>
      </c>
      <c r="HW12">
        <v>53.99</v>
      </c>
      <c r="HX12">
        <v>0.03</v>
      </c>
      <c r="HY12">
        <v>100</v>
      </c>
      <c r="HZ12">
        <v>168.05</v>
      </c>
      <c r="IA12">
        <v>342.6</v>
      </c>
    </row>
    <row r="13" spans="1:235" x14ac:dyDescent="0.3">
      <c r="A13">
        <v>510760</v>
      </c>
      <c r="B13" t="s">
        <v>235</v>
      </c>
      <c r="C13" t="s">
        <v>236</v>
      </c>
      <c r="D13">
        <v>2011</v>
      </c>
      <c r="E13">
        <v>51076011</v>
      </c>
      <c r="F13" t="s">
        <v>237</v>
      </c>
      <c r="G13" t="s">
        <v>238</v>
      </c>
      <c r="H13" t="s">
        <v>239</v>
      </c>
      <c r="I13" t="s">
        <v>240</v>
      </c>
      <c r="J13" t="s">
        <v>241</v>
      </c>
      <c r="N13">
        <v>1</v>
      </c>
      <c r="O13">
        <v>1</v>
      </c>
      <c r="P13">
        <v>3</v>
      </c>
      <c r="Q13">
        <v>0</v>
      </c>
      <c r="W13" t="s">
        <v>242</v>
      </c>
      <c r="X13" t="s">
        <v>243</v>
      </c>
      <c r="Z13" s="1">
        <v>198950</v>
      </c>
      <c r="AA13" s="1">
        <v>191370</v>
      </c>
      <c r="AB13" s="1">
        <v>192721</v>
      </c>
      <c r="AC13" s="1">
        <v>190751</v>
      </c>
      <c r="AD13" s="1">
        <v>58384</v>
      </c>
      <c r="AE13" s="1">
        <v>58845</v>
      </c>
      <c r="AF13" s="1">
        <v>64723</v>
      </c>
      <c r="AG13" s="1">
        <v>66166</v>
      </c>
      <c r="AH13" s="1">
        <v>57033</v>
      </c>
      <c r="AI13" s="1">
        <v>56806</v>
      </c>
      <c r="AJ13">
        <v>43.61</v>
      </c>
      <c r="AK13">
        <v>744.36</v>
      </c>
      <c r="AL13" s="2">
        <v>21762.880000000001</v>
      </c>
      <c r="AM13" s="2">
        <v>11037.03</v>
      </c>
      <c r="AN13" s="2">
        <v>11892.06</v>
      </c>
      <c r="AO13" s="2">
        <v>12099.86</v>
      </c>
      <c r="AP13" s="2">
        <v>12300</v>
      </c>
      <c r="AQ13" s="2">
        <v>21762.880000000001</v>
      </c>
      <c r="AR13" s="1">
        <v>59802</v>
      </c>
      <c r="AS13" s="1">
        <v>60634</v>
      </c>
      <c r="AT13" s="1">
        <v>63280</v>
      </c>
      <c r="AU13" s="1">
        <v>63317</v>
      </c>
      <c r="AV13" s="2">
        <v>10725.85</v>
      </c>
      <c r="AW13">
        <v>0</v>
      </c>
      <c r="AX13">
        <v>0</v>
      </c>
      <c r="AY13">
        <v>0</v>
      </c>
      <c r="AZ13" s="2">
        <v>10421.59</v>
      </c>
      <c r="BA13" s="1">
        <v>66425</v>
      </c>
      <c r="BB13" s="1">
        <v>62990</v>
      </c>
      <c r="BC13" s="1">
        <v>58414</v>
      </c>
      <c r="BD13" s="1">
        <v>58140</v>
      </c>
      <c r="BF13" s="1">
        <v>2723</v>
      </c>
      <c r="BG13" s="1">
        <v>191370</v>
      </c>
      <c r="BH13" s="1">
        <v>188028</v>
      </c>
      <c r="BI13">
        <v>0</v>
      </c>
      <c r="BJ13" s="2">
        <v>9768.42</v>
      </c>
      <c r="BK13" s="1">
        <v>65037</v>
      </c>
      <c r="BL13" s="1">
        <v>64525</v>
      </c>
      <c r="BM13" s="1">
        <v>18400</v>
      </c>
      <c r="BN13" s="1">
        <v>18342</v>
      </c>
      <c r="BO13" s="1">
        <v>21464</v>
      </c>
      <c r="BP13" s="1">
        <v>20855</v>
      </c>
      <c r="BQ13">
        <v>198.66</v>
      </c>
      <c r="BR13">
        <v>329.62</v>
      </c>
      <c r="BS13" s="2">
        <v>4903.8900000000003</v>
      </c>
      <c r="BT13" s="2">
        <v>4903.8900000000003</v>
      </c>
      <c r="BU13" s="2">
        <v>3524.45</v>
      </c>
      <c r="BV13" s="1">
        <v>18582</v>
      </c>
      <c r="BW13" s="1">
        <v>17423</v>
      </c>
      <c r="BX13" s="1">
        <v>20327</v>
      </c>
      <c r="BY13" s="1">
        <v>19664</v>
      </c>
      <c r="BZ13">
        <v>0</v>
      </c>
      <c r="CA13">
        <v>0</v>
      </c>
      <c r="CB13">
        <v>0</v>
      </c>
      <c r="CC13">
        <v>0</v>
      </c>
      <c r="CD13">
        <v>0</v>
      </c>
      <c r="CE13" s="1">
        <v>65037</v>
      </c>
      <c r="CF13" s="1">
        <v>64525</v>
      </c>
      <c r="CG13">
        <v>988.85</v>
      </c>
      <c r="CH13" s="2">
        <v>28821467.199999999</v>
      </c>
      <c r="CI13" s="2">
        <v>21862380.699999999</v>
      </c>
      <c r="CJ13" s="2">
        <v>6959086.5</v>
      </c>
      <c r="CK13" s="2">
        <v>1502921.15</v>
      </c>
      <c r="CL13" s="2">
        <v>30324388.350000001</v>
      </c>
      <c r="CM13" s="2">
        <v>28821467.199999999</v>
      </c>
      <c r="CN13">
        <v>0</v>
      </c>
      <c r="CO13" s="2">
        <v>7665643.8899999997</v>
      </c>
      <c r="CP13" s="2">
        <v>7663978.1399999997</v>
      </c>
      <c r="CQ13" s="2">
        <v>1343625.58</v>
      </c>
      <c r="CR13" s="2">
        <v>618989</v>
      </c>
      <c r="CS13" s="2">
        <v>7066408.1299999999</v>
      </c>
      <c r="CT13" s="2">
        <v>7203682.5199999996</v>
      </c>
      <c r="CU13" s="2">
        <v>16535949.109999999</v>
      </c>
      <c r="CV13">
        <v>0</v>
      </c>
      <c r="CW13" s="2">
        <v>16540879.109999999</v>
      </c>
      <c r="CX13" s="2">
        <v>2100124.33</v>
      </c>
      <c r="CY13">
        <v>0</v>
      </c>
      <c r="CZ13">
        <v>0</v>
      </c>
      <c r="DA13" s="2">
        <v>303243.88</v>
      </c>
      <c r="DB13">
        <v>0</v>
      </c>
      <c r="DC13" s="2">
        <v>11432490.18</v>
      </c>
      <c r="DD13" s="2">
        <v>15956617.74</v>
      </c>
      <c r="DE13" s="2">
        <v>1741606</v>
      </c>
      <c r="DF13">
        <v>39</v>
      </c>
      <c r="DG13">
        <v>36</v>
      </c>
      <c r="DH13">
        <v>0</v>
      </c>
      <c r="DI13" s="2">
        <v>4930</v>
      </c>
      <c r="DJ13" s="2">
        <v>2052405.99</v>
      </c>
      <c r="DK13" s="2">
        <v>23260339.16</v>
      </c>
      <c r="DL13" s="2">
        <v>5918093.0999999996</v>
      </c>
      <c r="DM13" s="2">
        <v>31230838.25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K13">
        <v>7</v>
      </c>
      <c r="EL13">
        <v>59</v>
      </c>
      <c r="EN13" s="1">
        <v>21687</v>
      </c>
      <c r="EO13">
        <v>548</v>
      </c>
      <c r="EP13" s="1">
        <v>21687</v>
      </c>
      <c r="EQ13">
        <v>272</v>
      </c>
      <c r="EU13" s="1">
        <v>21687</v>
      </c>
      <c r="EV13" s="1">
        <v>21687</v>
      </c>
      <c r="EW13">
        <v>365</v>
      </c>
      <c r="EX13" s="2">
        <v>8760</v>
      </c>
      <c r="EY13" s="1">
        <v>134622</v>
      </c>
      <c r="EZ13" s="1">
        <v>131788</v>
      </c>
      <c r="FB13" s="1">
        <v>7332</v>
      </c>
      <c r="FC13">
        <v>2</v>
      </c>
      <c r="FD13" s="1">
        <v>7332</v>
      </c>
      <c r="FE13">
        <v>1.1200000000000001</v>
      </c>
      <c r="FF13" s="2">
        <v>2309.44</v>
      </c>
      <c r="FG13">
        <v>1.05</v>
      </c>
      <c r="FH13">
        <v>1.82</v>
      </c>
      <c r="FI13">
        <v>1.78</v>
      </c>
      <c r="FJ13">
        <v>1.97</v>
      </c>
      <c r="FK13">
        <v>51.67</v>
      </c>
      <c r="FL13" s="2">
        <v>35830.019999999997</v>
      </c>
      <c r="FM13">
        <v>97.11</v>
      </c>
      <c r="FN13">
        <v>54.64</v>
      </c>
      <c r="FO13">
        <v>100</v>
      </c>
      <c r="FP13">
        <v>174.24</v>
      </c>
      <c r="FQ13">
        <v>43.48</v>
      </c>
      <c r="FR13">
        <v>15.7</v>
      </c>
      <c r="FS13">
        <v>40.53</v>
      </c>
      <c r="FT13">
        <v>100</v>
      </c>
      <c r="FU13">
        <v>15.7</v>
      </c>
      <c r="FV13">
        <v>239</v>
      </c>
      <c r="FW13">
        <v>363.04</v>
      </c>
      <c r="FX13">
        <v>6.1</v>
      </c>
      <c r="FY13">
        <v>13.21</v>
      </c>
      <c r="FZ13">
        <v>172.9</v>
      </c>
      <c r="GA13">
        <v>100</v>
      </c>
      <c r="GB13">
        <v>33.979999999999997</v>
      </c>
      <c r="GC13">
        <v>27.7</v>
      </c>
      <c r="GD13">
        <v>1.04</v>
      </c>
      <c r="GE13">
        <v>190.94</v>
      </c>
      <c r="GF13">
        <v>56.52</v>
      </c>
      <c r="GG13">
        <v>4.96</v>
      </c>
      <c r="GH13">
        <v>57.37</v>
      </c>
      <c r="GI13">
        <v>4.66</v>
      </c>
      <c r="GJ13">
        <v>29.66</v>
      </c>
      <c r="GK13">
        <v>0</v>
      </c>
      <c r="GL13">
        <v>0</v>
      </c>
      <c r="GM13">
        <v>8.1300000000000008</v>
      </c>
      <c r="GN13">
        <v>51.69</v>
      </c>
      <c r="GO13">
        <v>42.73</v>
      </c>
      <c r="GP13">
        <v>3.74</v>
      </c>
      <c r="GQ13">
        <v>0</v>
      </c>
      <c r="GR13">
        <v>72.099999999999994</v>
      </c>
      <c r="GS13">
        <v>22.95</v>
      </c>
      <c r="GT13">
        <v>4.96</v>
      </c>
      <c r="GU13">
        <v>92.01</v>
      </c>
      <c r="GV13">
        <v>98.28</v>
      </c>
      <c r="GW13">
        <v>0.64</v>
      </c>
      <c r="GX13">
        <v>40.53</v>
      </c>
      <c r="GY13">
        <v>33.979999999999997</v>
      </c>
      <c r="GZ13">
        <v>0.49</v>
      </c>
      <c r="HA13">
        <v>44.4</v>
      </c>
      <c r="HB13">
        <v>67.2</v>
      </c>
      <c r="HC13">
        <v>451.66</v>
      </c>
      <c r="HD13">
        <v>55.6</v>
      </c>
      <c r="HE13">
        <v>15.4</v>
      </c>
      <c r="HF13">
        <v>96</v>
      </c>
      <c r="HG13">
        <v>96.87</v>
      </c>
      <c r="HH13">
        <v>32.69</v>
      </c>
      <c r="HI13">
        <v>0</v>
      </c>
      <c r="HJ13">
        <v>0.45</v>
      </c>
      <c r="HK13">
        <v>0.2</v>
      </c>
      <c r="HL13">
        <v>0.66</v>
      </c>
      <c r="HN13">
        <v>8.43</v>
      </c>
      <c r="HP13">
        <v>24</v>
      </c>
      <c r="HQ13">
        <v>2.5299999999999998</v>
      </c>
      <c r="HR13">
        <v>1.25</v>
      </c>
      <c r="HT13">
        <v>100</v>
      </c>
      <c r="HU13">
        <v>100</v>
      </c>
      <c r="HX13">
        <v>0.03</v>
      </c>
      <c r="HY13">
        <v>100</v>
      </c>
      <c r="HZ13">
        <v>174.3</v>
      </c>
      <c r="IA13">
        <v>322.72000000000003</v>
      </c>
    </row>
    <row r="14" spans="1:235" x14ac:dyDescent="0.3">
      <c r="A14">
        <v>510760</v>
      </c>
      <c r="B14" t="s">
        <v>235</v>
      </c>
      <c r="C14" t="s">
        <v>236</v>
      </c>
      <c r="D14">
        <v>2010</v>
      </c>
      <c r="E14">
        <v>51076011</v>
      </c>
      <c r="F14" t="s">
        <v>237</v>
      </c>
      <c r="G14" t="s">
        <v>238</v>
      </c>
      <c r="H14" t="s">
        <v>239</v>
      </c>
      <c r="I14" t="s">
        <v>240</v>
      </c>
      <c r="J14" t="s">
        <v>241</v>
      </c>
      <c r="N14">
        <v>1</v>
      </c>
      <c r="O14">
        <v>1</v>
      </c>
      <c r="P14">
        <v>3</v>
      </c>
      <c r="Q14">
        <v>0</v>
      </c>
      <c r="W14" t="s">
        <v>243</v>
      </c>
      <c r="X14" t="s">
        <v>243</v>
      </c>
      <c r="Z14" s="1">
        <v>195476</v>
      </c>
      <c r="AA14" s="1">
        <v>188028</v>
      </c>
      <c r="AB14" s="1">
        <v>190751</v>
      </c>
      <c r="AC14" s="1">
        <v>181000</v>
      </c>
      <c r="AD14" s="1">
        <v>58845</v>
      </c>
      <c r="AE14" s="1">
        <v>58436</v>
      </c>
      <c r="AF14" s="1">
        <v>66166</v>
      </c>
      <c r="AG14" s="1">
        <v>63762</v>
      </c>
      <c r="AH14" s="1">
        <v>56806</v>
      </c>
      <c r="AI14" s="1">
        <v>55662</v>
      </c>
      <c r="AJ14">
        <v>744.36</v>
      </c>
      <c r="AK14">
        <v>529</v>
      </c>
      <c r="AL14" s="2">
        <v>22279</v>
      </c>
      <c r="AM14" s="2">
        <v>11149</v>
      </c>
      <c r="AN14" s="2">
        <v>10500</v>
      </c>
      <c r="AO14" s="2">
        <v>10900</v>
      </c>
      <c r="AP14" s="2">
        <v>11100</v>
      </c>
      <c r="AQ14" s="2">
        <v>22279</v>
      </c>
      <c r="AR14" s="1">
        <v>60634</v>
      </c>
      <c r="AS14" s="1">
        <v>58455</v>
      </c>
      <c r="AT14" s="1">
        <v>63317</v>
      </c>
      <c r="AU14" s="1">
        <v>59257</v>
      </c>
      <c r="AV14" s="2">
        <v>11130</v>
      </c>
      <c r="AW14">
        <v>0</v>
      </c>
      <c r="AX14">
        <v>0</v>
      </c>
      <c r="AY14">
        <v>0</v>
      </c>
      <c r="AZ14" s="2">
        <v>9910.8700000000008</v>
      </c>
      <c r="BA14" s="1">
        <v>62990</v>
      </c>
      <c r="BB14" s="1">
        <v>60579</v>
      </c>
      <c r="BC14" s="1">
        <v>58140</v>
      </c>
      <c r="BD14" s="1">
        <v>54367</v>
      </c>
      <c r="BF14" s="1">
        <v>2723</v>
      </c>
      <c r="BG14" s="1">
        <v>188028</v>
      </c>
      <c r="BH14" s="1">
        <v>178277</v>
      </c>
      <c r="BI14">
        <v>0</v>
      </c>
      <c r="BJ14" s="2">
        <v>12116.12</v>
      </c>
      <c r="BK14" s="1">
        <v>64525</v>
      </c>
      <c r="BL14" s="1">
        <v>66594</v>
      </c>
      <c r="BM14" s="1">
        <v>18342</v>
      </c>
      <c r="BN14" s="1">
        <v>17828</v>
      </c>
      <c r="BO14" s="1">
        <v>20855</v>
      </c>
      <c r="BP14" s="1">
        <v>19027</v>
      </c>
      <c r="BQ14">
        <v>329.62</v>
      </c>
      <c r="BR14">
        <v>298</v>
      </c>
      <c r="BS14" s="2">
        <v>2977</v>
      </c>
      <c r="BT14" s="2">
        <v>2343</v>
      </c>
      <c r="BU14" s="2">
        <v>3344</v>
      </c>
      <c r="BV14" s="1">
        <v>17423</v>
      </c>
      <c r="BW14" s="1">
        <v>16411</v>
      </c>
      <c r="BX14" s="1">
        <v>19664</v>
      </c>
      <c r="BY14" s="1">
        <v>18739</v>
      </c>
      <c r="BZ14">
        <v>0</v>
      </c>
      <c r="CA14">
        <v>0</v>
      </c>
      <c r="CB14">
        <v>0</v>
      </c>
      <c r="CC14">
        <v>0</v>
      </c>
      <c r="CD14">
        <v>0</v>
      </c>
      <c r="CE14" s="1">
        <v>64525</v>
      </c>
      <c r="CF14" s="1">
        <v>66594</v>
      </c>
      <c r="CG14">
        <v>490.35</v>
      </c>
      <c r="CH14" s="2">
        <v>23104555.18</v>
      </c>
      <c r="CI14" s="2">
        <v>17852600.260000002</v>
      </c>
      <c r="CJ14" s="2">
        <v>5251954.92</v>
      </c>
      <c r="CK14" s="2">
        <v>647728.43000000005</v>
      </c>
      <c r="CL14" s="2">
        <v>23752283.609999999</v>
      </c>
      <c r="CM14" s="2">
        <v>23104555.18</v>
      </c>
      <c r="CN14">
        <v>0</v>
      </c>
      <c r="CO14" s="2">
        <v>7663978.1399999997</v>
      </c>
      <c r="CP14" s="2">
        <v>9544654</v>
      </c>
      <c r="CQ14" s="2">
        <v>1331128.6100000001</v>
      </c>
      <c r="CR14" s="2">
        <v>704426.34</v>
      </c>
      <c r="CS14" s="2">
        <v>5022501.1500000004</v>
      </c>
      <c r="CT14" s="2">
        <v>8196369.04</v>
      </c>
      <c r="CU14" s="2">
        <v>15491947.98</v>
      </c>
      <c r="CV14">
        <v>0</v>
      </c>
      <c r="CW14" s="2">
        <v>15491947.98</v>
      </c>
      <c r="CX14" s="2">
        <v>240675.11</v>
      </c>
      <c r="CY14">
        <v>0</v>
      </c>
      <c r="CZ14">
        <v>0</v>
      </c>
      <c r="DA14" s="2">
        <v>237522.84</v>
      </c>
      <c r="DB14">
        <v>0</v>
      </c>
      <c r="DC14" s="2">
        <v>25167846.079999998</v>
      </c>
      <c r="DD14" s="2">
        <v>21796509.300000001</v>
      </c>
      <c r="DE14" s="2">
        <v>1211949.83</v>
      </c>
      <c r="DF14">
        <v>36</v>
      </c>
      <c r="DG14">
        <v>36</v>
      </c>
      <c r="DH14">
        <v>0</v>
      </c>
      <c r="DI14">
        <v>0</v>
      </c>
      <c r="DJ14" s="2">
        <v>1452624.94</v>
      </c>
      <c r="DK14" s="2">
        <v>34751077.689999998</v>
      </c>
      <c r="DL14" s="2">
        <v>12213277.689999999</v>
      </c>
      <c r="DM14" s="2">
        <v>48416980.32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K14">
        <v>0</v>
      </c>
      <c r="EL14">
        <v>0</v>
      </c>
      <c r="EM14">
        <v>0</v>
      </c>
      <c r="EN14" s="1">
        <v>24582</v>
      </c>
      <c r="EO14">
        <v>267</v>
      </c>
      <c r="EP14" s="1">
        <v>21174</v>
      </c>
      <c r="EQ14">
        <v>336</v>
      </c>
      <c r="ET14">
        <v>0</v>
      </c>
      <c r="EU14" s="1">
        <v>21174</v>
      </c>
      <c r="EV14" s="1">
        <v>21174</v>
      </c>
      <c r="EW14">
        <v>0</v>
      </c>
      <c r="EX14">
        <v>0</v>
      </c>
      <c r="EY14" s="1">
        <v>120722</v>
      </c>
      <c r="EZ14" s="1">
        <v>88641</v>
      </c>
      <c r="FB14" s="1">
        <v>7298</v>
      </c>
      <c r="FC14">
        <v>2</v>
      </c>
      <c r="FD14" s="1">
        <v>7200</v>
      </c>
      <c r="FE14">
        <v>1.1000000000000001</v>
      </c>
      <c r="FF14" s="2">
        <v>2358.4699999999998</v>
      </c>
      <c r="FG14">
        <v>1.07</v>
      </c>
      <c r="FH14">
        <v>1.59</v>
      </c>
      <c r="FI14">
        <v>1.6</v>
      </c>
      <c r="FJ14">
        <v>1.57</v>
      </c>
      <c r="FK14">
        <v>61.49</v>
      </c>
      <c r="FL14" s="2">
        <v>36975.79</v>
      </c>
      <c r="FM14">
        <v>95.89</v>
      </c>
      <c r="FN14">
        <v>47.12</v>
      </c>
      <c r="FO14">
        <v>100</v>
      </c>
      <c r="FP14">
        <v>149.13</v>
      </c>
      <c r="FQ14">
        <v>50.17</v>
      </c>
      <c r="FR14">
        <v>14.2</v>
      </c>
      <c r="FS14">
        <v>27.31</v>
      </c>
      <c r="FT14">
        <v>78.7</v>
      </c>
      <c r="FU14">
        <v>14.2</v>
      </c>
      <c r="FV14">
        <v>258</v>
      </c>
      <c r="FW14">
        <v>329.51</v>
      </c>
      <c r="FX14">
        <v>10.3</v>
      </c>
      <c r="FY14">
        <v>16.34</v>
      </c>
      <c r="FZ14">
        <v>160.6</v>
      </c>
      <c r="GA14">
        <v>100</v>
      </c>
      <c r="GB14">
        <v>34.31</v>
      </c>
      <c r="GC14">
        <v>28.5</v>
      </c>
      <c r="GD14">
        <v>1.07</v>
      </c>
      <c r="GE14">
        <v>182.46</v>
      </c>
      <c r="GF14">
        <v>49.82</v>
      </c>
      <c r="GG14">
        <v>2.72</v>
      </c>
      <c r="GH14">
        <v>67.05</v>
      </c>
      <c r="GI14">
        <v>5.76</v>
      </c>
      <c r="GJ14">
        <v>41.23</v>
      </c>
      <c r="GK14">
        <v>0</v>
      </c>
      <c r="GL14">
        <v>0</v>
      </c>
      <c r="GM14">
        <v>8.59</v>
      </c>
      <c r="GN14">
        <v>61.49</v>
      </c>
      <c r="GO14">
        <v>32.42</v>
      </c>
      <c r="GP14">
        <v>4.54</v>
      </c>
      <c r="GQ14">
        <v>0</v>
      </c>
      <c r="GR14">
        <v>75.16</v>
      </c>
      <c r="GS14">
        <v>22.11</v>
      </c>
      <c r="GT14">
        <v>2.72</v>
      </c>
      <c r="GU14">
        <v>91.65</v>
      </c>
      <c r="GV14">
        <v>96.33</v>
      </c>
      <c r="GW14">
        <v>0.61</v>
      </c>
      <c r="GX14">
        <v>21.49</v>
      </c>
      <c r="GY14">
        <v>34.31</v>
      </c>
      <c r="GZ14">
        <v>0.46</v>
      </c>
      <c r="HA14">
        <v>51.07</v>
      </c>
      <c r="HB14">
        <v>48.96</v>
      </c>
      <c r="HC14">
        <v>531.63</v>
      </c>
      <c r="HD14">
        <v>48.92</v>
      </c>
      <c r="HE14">
        <v>13.9</v>
      </c>
      <c r="HF14">
        <v>119</v>
      </c>
      <c r="HG14">
        <v>97.58</v>
      </c>
      <c r="HH14">
        <v>33</v>
      </c>
      <c r="HI14">
        <v>0</v>
      </c>
      <c r="HJ14">
        <v>0.54</v>
      </c>
      <c r="HK14">
        <v>0.16</v>
      </c>
      <c r="HL14">
        <v>0.39</v>
      </c>
      <c r="HQ14">
        <v>1.08</v>
      </c>
      <c r="HR14">
        <v>1.58</v>
      </c>
      <c r="HT14">
        <v>116.09</v>
      </c>
      <c r="HU14">
        <v>100</v>
      </c>
      <c r="HX14">
        <v>0.02</v>
      </c>
      <c r="HY14">
        <v>101.36</v>
      </c>
      <c r="HZ14">
        <v>149.13</v>
      </c>
      <c r="IA14">
        <v>297.76</v>
      </c>
    </row>
    <row r="15" spans="1:235" x14ac:dyDescent="0.3">
      <c r="A15">
        <v>510760</v>
      </c>
      <c r="B15" t="s">
        <v>235</v>
      </c>
      <c r="C15" t="s">
        <v>236</v>
      </c>
      <c r="D15">
        <v>2009</v>
      </c>
      <c r="E15">
        <v>51076011</v>
      </c>
      <c r="F15" t="s">
        <v>237</v>
      </c>
      <c r="G15" t="s">
        <v>238</v>
      </c>
      <c r="H15" t="s">
        <v>239</v>
      </c>
      <c r="I15" t="s">
        <v>240</v>
      </c>
      <c r="J15" t="s">
        <v>241</v>
      </c>
      <c r="N15">
        <v>1</v>
      </c>
      <c r="O15">
        <v>1</v>
      </c>
      <c r="P15">
        <v>3</v>
      </c>
      <c r="Q15">
        <v>0</v>
      </c>
      <c r="W15" t="s">
        <v>243</v>
      </c>
      <c r="X15" t="s">
        <v>243</v>
      </c>
      <c r="Z15" s="1">
        <v>181902</v>
      </c>
      <c r="AA15" s="1">
        <v>173676</v>
      </c>
      <c r="AB15" s="1">
        <v>181000</v>
      </c>
      <c r="AC15" s="1">
        <v>178809</v>
      </c>
      <c r="AD15" s="1">
        <v>58436</v>
      </c>
      <c r="AE15" s="1">
        <v>54653</v>
      </c>
      <c r="AF15" s="1">
        <v>63762</v>
      </c>
      <c r="AG15" s="1">
        <v>61822</v>
      </c>
      <c r="AH15" s="1">
        <v>55662</v>
      </c>
      <c r="AI15" s="1">
        <v>49848</v>
      </c>
      <c r="AJ15">
        <v>529</v>
      </c>
      <c r="AK15">
        <v>513.02</v>
      </c>
      <c r="AL15" s="2">
        <v>20995</v>
      </c>
      <c r="AM15" s="2">
        <v>10644</v>
      </c>
      <c r="AN15" s="2">
        <v>10000</v>
      </c>
      <c r="AO15" s="2">
        <v>10594</v>
      </c>
      <c r="AP15" s="2">
        <v>10034</v>
      </c>
      <c r="AQ15" s="2">
        <v>20995</v>
      </c>
      <c r="AR15" s="1">
        <v>58455</v>
      </c>
      <c r="AS15" s="1">
        <v>56135</v>
      </c>
      <c r="AT15" s="1">
        <v>59257</v>
      </c>
      <c r="AU15" s="1">
        <v>56221</v>
      </c>
      <c r="AV15" s="2">
        <v>10351</v>
      </c>
      <c r="AW15">
        <v>0</v>
      </c>
      <c r="AX15">
        <v>0</v>
      </c>
      <c r="AY15">
        <v>0</v>
      </c>
      <c r="AZ15" s="2">
        <v>9052</v>
      </c>
      <c r="BA15" s="1">
        <v>60579</v>
      </c>
      <c r="BB15" s="1">
        <v>58267</v>
      </c>
      <c r="BC15" s="1">
        <v>54367</v>
      </c>
      <c r="BD15" s="1">
        <v>50990</v>
      </c>
      <c r="BF15" s="1">
        <v>7814</v>
      </c>
      <c r="BG15" s="1">
        <v>178277</v>
      </c>
      <c r="BH15" s="1">
        <v>170995</v>
      </c>
      <c r="BI15">
        <v>0</v>
      </c>
      <c r="BJ15" s="2">
        <v>13098</v>
      </c>
      <c r="BK15" s="1">
        <v>66594</v>
      </c>
      <c r="BL15" s="1">
        <v>59867</v>
      </c>
      <c r="BM15" s="1">
        <v>17828</v>
      </c>
      <c r="BN15" s="1">
        <v>15527</v>
      </c>
      <c r="BO15" s="1">
        <v>19027</v>
      </c>
      <c r="BP15" s="1">
        <v>18786</v>
      </c>
      <c r="BQ15">
        <v>298</v>
      </c>
      <c r="BR15">
        <v>273.75</v>
      </c>
      <c r="BS15" s="2">
        <v>3010</v>
      </c>
      <c r="BT15" s="2">
        <v>2709</v>
      </c>
      <c r="BU15" s="2">
        <v>3010</v>
      </c>
      <c r="BV15" s="1">
        <v>16411</v>
      </c>
      <c r="BW15" s="1">
        <v>15523</v>
      </c>
      <c r="BX15" s="1">
        <v>18739</v>
      </c>
      <c r="BY15" s="1">
        <v>17105</v>
      </c>
      <c r="BZ15">
        <v>0</v>
      </c>
      <c r="CA15">
        <v>0</v>
      </c>
      <c r="CB15">
        <v>0</v>
      </c>
      <c r="CC15">
        <v>0</v>
      </c>
      <c r="CD15">
        <v>0</v>
      </c>
      <c r="CE15" s="1">
        <v>66594</v>
      </c>
      <c r="CF15" s="1">
        <v>59867</v>
      </c>
      <c r="CG15">
        <v>563</v>
      </c>
      <c r="CH15" s="2">
        <v>20319150</v>
      </c>
      <c r="CI15" s="2">
        <v>15772643</v>
      </c>
      <c r="CJ15" s="2">
        <v>4546507</v>
      </c>
      <c r="CK15" s="2">
        <v>1851561</v>
      </c>
      <c r="CL15" s="2">
        <v>22170711</v>
      </c>
      <c r="CM15" s="2">
        <v>21620284</v>
      </c>
      <c r="CN15">
        <v>0</v>
      </c>
      <c r="CO15" s="2">
        <v>9544654</v>
      </c>
      <c r="CP15" s="2">
        <v>7466371.2400000002</v>
      </c>
      <c r="CQ15" s="2">
        <v>1177566</v>
      </c>
      <c r="CR15" s="2">
        <v>744633</v>
      </c>
      <c r="CS15" s="2">
        <v>5798611</v>
      </c>
      <c r="CT15" s="2">
        <v>7289860</v>
      </c>
      <c r="CU15" s="2">
        <v>15232831</v>
      </c>
      <c r="CV15">
        <v>0</v>
      </c>
      <c r="CW15" s="2">
        <v>15232831</v>
      </c>
      <c r="CX15">
        <v>0</v>
      </c>
      <c r="CY15">
        <v>0</v>
      </c>
      <c r="CZ15">
        <v>0</v>
      </c>
      <c r="DA15" s="2">
        <v>222161</v>
      </c>
      <c r="DB15">
        <v>0</v>
      </c>
      <c r="DC15" s="2">
        <v>12521785</v>
      </c>
      <c r="DD15" s="2">
        <v>5632038</v>
      </c>
      <c r="DE15" s="2">
        <v>1476509</v>
      </c>
      <c r="DF15">
        <v>36</v>
      </c>
      <c r="DG15">
        <v>36</v>
      </c>
      <c r="DH15">
        <v>0</v>
      </c>
      <c r="DI15">
        <v>0</v>
      </c>
      <c r="DJ15" s="2">
        <v>1264600</v>
      </c>
      <c r="DK15" s="2">
        <v>18365732</v>
      </c>
      <c r="DL15">
        <v>0</v>
      </c>
      <c r="DM15" s="2">
        <v>19630332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EN15" s="1">
        <v>22419</v>
      </c>
      <c r="EO15">
        <v>515</v>
      </c>
      <c r="EP15" s="1">
        <v>18279</v>
      </c>
      <c r="EQ15">
        <v>339</v>
      </c>
      <c r="EU15" s="1">
        <v>17409</v>
      </c>
      <c r="EV15" s="1">
        <v>18199</v>
      </c>
      <c r="EY15" s="1">
        <v>97091</v>
      </c>
      <c r="EZ15" s="1">
        <v>77996</v>
      </c>
      <c r="FB15" s="1">
        <v>4990</v>
      </c>
      <c r="FC15">
        <v>0</v>
      </c>
      <c r="FD15" s="1">
        <v>4822</v>
      </c>
      <c r="FE15">
        <v>1.0900000000000001</v>
      </c>
      <c r="FF15" s="2">
        <v>2299.69</v>
      </c>
      <c r="FG15">
        <v>1.1599999999999999</v>
      </c>
      <c r="FH15">
        <v>1.55</v>
      </c>
      <c r="FI15">
        <v>1.57</v>
      </c>
      <c r="FJ15">
        <v>1.51</v>
      </c>
      <c r="FK15">
        <v>55.58</v>
      </c>
      <c r="FL15" s="2">
        <v>32710.16</v>
      </c>
      <c r="FM15">
        <v>95.25</v>
      </c>
      <c r="FN15">
        <v>47.63</v>
      </c>
      <c r="FO15">
        <v>100</v>
      </c>
      <c r="FP15">
        <v>133.38999999999999</v>
      </c>
      <c r="FQ15">
        <v>52.2</v>
      </c>
      <c r="FR15">
        <v>14</v>
      </c>
      <c r="FS15">
        <v>28.41</v>
      </c>
      <c r="FT15">
        <v>90</v>
      </c>
      <c r="FU15">
        <v>13.1</v>
      </c>
      <c r="FV15">
        <v>259</v>
      </c>
      <c r="FW15">
        <v>319.81</v>
      </c>
      <c r="FX15">
        <v>8.6999999999999993</v>
      </c>
      <c r="FY15">
        <v>15.9</v>
      </c>
      <c r="FZ15">
        <v>160.30000000000001</v>
      </c>
      <c r="GA15">
        <v>100</v>
      </c>
      <c r="GB15">
        <v>38.340000000000003</v>
      </c>
      <c r="GC15">
        <v>27.4</v>
      </c>
      <c r="GD15">
        <v>1.1599999999999999</v>
      </c>
      <c r="GE15">
        <v>183.99</v>
      </c>
      <c r="GF15">
        <v>47.79</v>
      </c>
      <c r="GG15">
        <v>2.48</v>
      </c>
      <c r="GH15">
        <v>74.959999999999994</v>
      </c>
      <c r="GI15">
        <v>5.79</v>
      </c>
      <c r="GJ15">
        <v>41.67</v>
      </c>
      <c r="GK15">
        <v>0</v>
      </c>
      <c r="GL15">
        <v>0</v>
      </c>
      <c r="GM15">
        <v>7.73</v>
      </c>
      <c r="GN15">
        <v>55.58</v>
      </c>
      <c r="GO15">
        <v>38.06</v>
      </c>
      <c r="GP15">
        <v>4.88</v>
      </c>
      <c r="GQ15">
        <v>0</v>
      </c>
      <c r="GR15">
        <v>71.14</v>
      </c>
      <c r="GS15">
        <v>20.5</v>
      </c>
      <c r="GT15">
        <v>8.35</v>
      </c>
      <c r="GU15">
        <v>91.67</v>
      </c>
      <c r="GV15">
        <v>94.39</v>
      </c>
      <c r="GW15">
        <v>0.61</v>
      </c>
      <c r="GX15">
        <v>25.57</v>
      </c>
      <c r="GY15">
        <v>38.340000000000003</v>
      </c>
      <c r="GZ15">
        <v>0.47</v>
      </c>
      <c r="HA15">
        <v>49.54</v>
      </c>
      <c r="HB15">
        <v>53.86</v>
      </c>
      <c r="HC15">
        <v>487.64</v>
      </c>
      <c r="HD15">
        <v>50.45</v>
      </c>
      <c r="HE15">
        <v>13.8</v>
      </c>
      <c r="HF15">
        <v>169</v>
      </c>
      <c r="HG15">
        <v>99.5</v>
      </c>
      <c r="HH15">
        <v>36.6</v>
      </c>
      <c r="HI15">
        <v>0</v>
      </c>
      <c r="HJ15">
        <v>0.62</v>
      </c>
      <c r="HK15">
        <v>0.18</v>
      </c>
      <c r="HL15">
        <v>0.42</v>
      </c>
      <c r="HQ15">
        <v>2.29</v>
      </c>
      <c r="HR15">
        <v>1.85</v>
      </c>
      <c r="HT15">
        <v>123.18</v>
      </c>
      <c r="HU15">
        <v>104.99</v>
      </c>
      <c r="HX15">
        <v>0</v>
      </c>
      <c r="HY15">
        <v>103.48</v>
      </c>
      <c r="HZ15">
        <v>141.93</v>
      </c>
      <c r="IA15">
        <v>294.61</v>
      </c>
    </row>
    <row r="16" spans="1:235" x14ac:dyDescent="0.3">
      <c r="A16">
        <v>510760</v>
      </c>
      <c r="B16" t="s">
        <v>235</v>
      </c>
      <c r="C16" t="s">
        <v>236</v>
      </c>
      <c r="D16">
        <v>2008</v>
      </c>
      <c r="E16">
        <v>51076011</v>
      </c>
      <c r="F16" t="s">
        <v>237</v>
      </c>
      <c r="G16" t="s">
        <v>238</v>
      </c>
      <c r="H16" t="s">
        <v>239</v>
      </c>
      <c r="I16" t="s">
        <v>240</v>
      </c>
      <c r="J16" t="s">
        <v>241</v>
      </c>
      <c r="P16">
        <v>3</v>
      </c>
      <c r="Q16">
        <v>0</v>
      </c>
      <c r="W16" t="s">
        <v>242</v>
      </c>
      <c r="X16" t="s">
        <v>243</v>
      </c>
      <c r="Z16" s="1">
        <v>179094</v>
      </c>
      <c r="AA16" s="1">
        <v>170995</v>
      </c>
      <c r="AB16" s="1">
        <v>178809</v>
      </c>
      <c r="AC16" s="1">
        <v>172783</v>
      </c>
      <c r="AD16" s="1">
        <v>54653</v>
      </c>
      <c r="AE16" s="1">
        <v>51696</v>
      </c>
      <c r="AF16" s="1">
        <v>61822</v>
      </c>
      <c r="AG16" s="1">
        <v>59268</v>
      </c>
      <c r="AH16" s="1">
        <v>49848</v>
      </c>
      <c r="AI16" s="1">
        <v>46835</v>
      </c>
      <c r="AJ16">
        <v>513.02</v>
      </c>
      <c r="AK16">
        <v>480.97</v>
      </c>
      <c r="AL16" s="2">
        <v>20753.48</v>
      </c>
      <c r="AM16" s="2">
        <v>10479.43</v>
      </c>
      <c r="AN16" s="2">
        <v>9407.5400000000009</v>
      </c>
      <c r="AO16" s="2">
        <v>10036.219999999999</v>
      </c>
      <c r="AP16" s="2">
        <v>9750.4</v>
      </c>
      <c r="AQ16" s="2">
        <v>20753.48</v>
      </c>
      <c r="AR16" s="1">
        <v>56135</v>
      </c>
      <c r="AS16" s="1">
        <v>54042</v>
      </c>
      <c r="AT16" s="1">
        <v>56221</v>
      </c>
      <c r="AU16" s="1">
        <v>53594</v>
      </c>
      <c r="AV16" s="2">
        <v>10274.049999999999</v>
      </c>
      <c r="AW16">
        <v>0</v>
      </c>
      <c r="AX16">
        <v>0</v>
      </c>
      <c r="AY16">
        <v>0</v>
      </c>
      <c r="AZ16" s="2">
        <v>8238.25</v>
      </c>
      <c r="BA16" s="1">
        <v>58267</v>
      </c>
      <c r="BB16" s="1">
        <v>56049</v>
      </c>
      <c r="BC16" s="1">
        <v>50990</v>
      </c>
      <c r="BD16" s="1">
        <v>48841</v>
      </c>
      <c r="BE16" s="2">
        <v>1411.13</v>
      </c>
      <c r="BF16" s="1">
        <v>7814</v>
      </c>
      <c r="BG16" s="1">
        <v>170995</v>
      </c>
      <c r="BH16" s="1">
        <v>164969</v>
      </c>
      <c r="BI16">
        <v>0</v>
      </c>
      <c r="BJ16" s="2">
        <v>13957.26</v>
      </c>
      <c r="BK16" s="1">
        <v>59867</v>
      </c>
      <c r="BL16" s="1">
        <v>55000</v>
      </c>
      <c r="BM16" s="1">
        <v>15527</v>
      </c>
      <c r="BN16" s="1">
        <v>13617</v>
      </c>
      <c r="BO16" s="1">
        <v>18786</v>
      </c>
      <c r="BP16" s="1">
        <v>16991</v>
      </c>
      <c r="BQ16">
        <v>273.75</v>
      </c>
      <c r="BR16">
        <v>273.75</v>
      </c>
      <c r="BS16" s="2">
        <v>4147.7</v>
      </c>
      <c r="BT16" s="2">
        <v>3459.27</v>
      </c>
      <c r="BU16" s="2">
        <v>2894.59</v>
      </c>
      <c r="BV16" s="1">
        <v>15523</v>
      </c>
      <c r="BW16" s="1">
        <v>14309</v>
      </c>
      <c r="BX16" s="1">
        <v>17105</v>
      </c>
      <c r="BY16" s="1">
        <v>15737</v>
      </c>
      <c r="BZ16">
        <v>0</v>
      </c>
      <c r="CA16">
        <v>0</v>
      </c>
      <c r="CB16">
        <v>0</v>
      </c>
      <c r="CD16">
        <v>0</v>
      </c>
      <c r="CE16" s="1">
        <v>59867</v>
      </c>
      <c r="CF16" s="1">
        <v>55000</v>
      </c>
      <c r="CG16">
        <v>582.41999999999996</v>
      </c>
      <c r="CH16" s="2">
        <v>20316588.890000001</v>
      </c>
      <c r="CI16" s="2">
        <v>15792616.359999999</v>
      </c>
      <c r="CJ16" s="2">
        <v>4523972.53</v>
      </c>
      <c r="CK16" s="2">
        <v>2144396.81</v>
      </c>
      <c r="CL16" s="2">
        <v>22460985.699999999</v>
      </c>
      <c r="CM16" s="2">
        <v>22524621.66</v>
      </c>
      <c r="CN16">
        <v>0</v>
      </c>
      <c r="CO16" s="2">
        <v>7466371.2400000002</v>
      </c>
      <c r="CP16" s="2">
        <v>5568488</v>
      </c>
      <c r="CQ16" s="2">
        <v>922588.46</v>
      </c>
      <c r="CR16" s="2">
        <v>586732.06000000006</v>
      </c>
      <c r="CS16" s="2">
        <v>5887928.71</v>
      </c>
      <c r="CT16" s="2">
        <v>9545222.8300000001</v>
      </c>
      <c r="CU16" s="2">
        <v>17152124.140000001</v>
      </c>
      <c r="CV16">
        <v>0</v>
      </c>
      <c r="CW16" s="2">
        <v>17152124.140000001</v>
      </c>
      <c r="CX16">
        <v>0</v>
      </c>
      <c r="CY16">
        <v>0</v>
      </c>
      <c r="CZ16">
        <v>0</v>
      </c>
      <c r="DA16" s="2">
        <v>209652.08</v>
      </c>
      <c r="DB16">
        <v>0</v>
      </c>
      <c r="DC16" s="2">
        <v>5580101.5800000001</v>
      </c>
      <c r="DD16" s="2">
        <v>743374</v>
      </c>
      <c r="DE16" s="2">
        <v>817043.17</v>
      </c>
      <c r="DF16">
        <v>36</v>
      </c>
      <c r="DG16">
        <v>34</v>
      </c>
      <c r="DH16">
        <v>0</v>
      </c>
      <c r="DI16">
        <v>0</v>
      </c>
      <c r="DJ16" s="2">
        <v>640428.68999999994</v>
      </c>
      <c r="DK16" s="2">
        <v>6500090.0599999996</v>
      </c>
      <c r="DL16">
        <v>0</v>
      </c>
      <c r="DM16" s="2">
        <v>7140518.75</v>
      </c>
      <c r="DN16">
        <v>0</v>
      </c>
      <c r="DO16">
        <v>0</v>
      </c>
      <c r="DP16">
        <v>0</v>
      </c>
      <c r="DR16">
        <v>0</v>
      </c>
      <c r="DS16">
        <v>0</v>
      </c>
      <c r="EJ16" t="s">
        <v>244</v>
      </c>
      <c r="EN16" s="1">
        <v>22003</v>
      </c>
      <c r="EO16">
        <v>425</v>
      </c>
      <c r="EP16" s="1">
        <v>17181</v>
      </c>
      <c r="EQ16">
        <v>82</v>
      </c>
      <c r="EU16" s="1">
        <v>17181</v>
      </c>
      <c r="EV16" s="1">
        <v>17973</v>
      </c>
      <c r="EY16" s="1">
        <v>93351</v>
      </c>
      <c r="EZ16" s="1">
        <v>87480</v>
      </c>
      <c r="FB16" s="1">
        <v>4892</v>
      </c>
      <c r="FC16">
        <v>0</v>
      </c>
      <c r="FD16" s="1">
        <v>4744</v>
      </c>
      <c r="FE16">
        <v>1.1299999999999999</v>
      </c>
      <c r="FF16" s="2">
        <v>2240.9499999999998</v>
      </c>
      <c r="FG16">
        <v>1.35</v>
      </c>
      <c r="FH16">
        <v>1.6</v>
      </c>
      <c r="FI16">
        <v>1.61</v>
      </c>
      <c r="FJ16">
        <v>1.56</v>
      </c>
      <c r="FK16">
        <v>61.02</v>
      </c>
      <c r="FL16" s="2">
        <v>26359.67</v>
      </c>
      <c r="FM16">
        <v>90.91</v>
      </c>
      <c r="FN16">
        <v>48.63</v>
      </c>
      <c r="FO16">
        <v>100</v>
      </c>
      <c r="FP16">
        <v>118.44</v>
      </c>
      <c r="FQ16">
        <v>49.59</v>
      </c>
      <c r="FR16">
        <v>14.3</v>
      </c>
      <c r="FS16">
        <v>41.32</v>
      </c>
      <c r="FT16">
        <v>83.4</v>
      </c>
      <c r="FU16">
        <v>13.4</v>
      </c>
      <c r="FV16">
        <v>397</v>
      </c>
      <c r="FW16">
        <v>197.5</v>
      </c>
      <c r="FX16">
        <v>8.6999999999999993</v>
      </c>
      <c r="FY16">
        <v>16.670000000000002</v>
      </c>
      <c r="FZ16">
        <v>156.4</v>
      </c>
      <c r="GA16">
        <v>100</v>
      </c>
      <c r="GB16">
        <v>35.01</v>
      </c>
      <c r="GC16">
        <v>28.6</v>
      </c>
      <c r="GD16">
        <v>1.35</v>
      </c>
      <c r="GE16">
        <v>218.68</v>
      </c>
      <c r="GF16">
        <v>50.4</v>
      </c>
      <c r="GG16">
        <v>-0.28000000000000003</v>
      </c>
      <c r="GH16">
        <v>84.42</v>
      </c>
      <c r="GI16">
        <v>4.54</v>
      </c>
      <c r="GJ16">
        <v>51.52</v>
      </c>
      <c r="GK16">
        <v>0</v>
      </c>
      <c r="GL16">
        <v>0</v>
      </c>
      <c r="GM16">
        <v>5.37</v>
      </c>
      <c r="GN16">
        <v>61.02</v>
      </c>
      <c r="GO16">
        <v>34.32</v>
      </c>
      <c r="GP16">
        <v>3.42</v>
      </c>
      <c r="GQ16">
        <v>0</v>
      </c>
      <c r="GR16">
        <v>70.31</v>
      </c>
      <c r="GS16">
        <v>20.14</v>
      </c>
      <c r="GT16">
        <v>9.5399999999999991</v>
      </c>
      <c r="GU16">
        <v>90.98</v>
      </c>
      <c r="GV16">
        <v>93.73</v>
      </c>
      <c r="GW16">
        <v>0.65</v>
      </c>
      <c r="GX16">
        <v>34.46</v>
      </c>
      <c r="GY16">
        <v>35.01</v>
      </c>
      <c r="GZ16">
        <v>0.51</v>
      </c>
      <c r="HA16">
        <v>48.11</v>
      </c>
      <c r="HB16">
        <v>51.3</v>
      </c>
      <c r="HC16">
        <v>479.48</v>
      </c>
      <c r="HD16">
        <v>51.88</v>
      </c>
      <c r="HE16">
        <v>13.8</v>
      </c>
      <c r="HF16">
        <v>132</v>
      </c>
      <c r="HG16">
        <v>99.84</v>
      </c>
      <c r="HH16">
        <v>33.42</v>
      </c>
      <c r="HI16">
        <v>0</v>
      </c>
      <c r="HJ16">
        <v>0.67</v>
      </c>
      <c r="HK16">
        <v>0.14000000000000001</v>
      </c>
      <c r="HL16">
        <v>0.4</v>
      </c>
      <c r="HQ16">
        <v>1.93</v>
      </c>
      <c r="HR16">
        <v>0.47</v>
      </c>
      <c r="HT16">
        <v>122.42</v>
      </c>
      <c r="HU16">
        <v>100</v>
      </c>
      <c r="HX16">
        <v>0</v>
      </c>
      <c r="HY16">
        <v>103.11</v>
      </c>
      <c r="HZ16">
        <v>131.32</v>
      </c>
      <c r="IA16">
        <v>170.59</v>
      </c>
    </row>
    <row r="17" spans="1:235" x14ac:dyDescent="0.3">
      <c r="A17">
        <v>510760</v>
      </c>
      <c r="B17" t="s">
        <v>235</v>
      </c>
      <c r="C17" t="s">
        <v>236</v>
      </c>
      <c r="D17">
        <v>2007</v>
      </c>
      <c r="E17">
        <v>51076011</v>
      </c>
      <c r="F17" t="s">
        <v>237</v>
      </c>
      <c r="G17" t="s">
        <v>238</v>
      </c>
      <c r="H17" t="s">
        <v>239</v>
      </c>
      <c r="I17" t="s">
        <v>240</v>
      </c>
      <c r="J17" t="s">
        <v>241</v>
      </c>
      <c r="P17">
        <v>3</v>
      </c>
      <c r="Q17">
        <v>0</v>
      </c>
      <c r="W17" t="s">
        <v>242</v>
      </c>
      <c r="X17" t="s">
        <v>243</v>
      </c>
      <c r="Z17" s="1">
        <v>172783</v>
      </c>
      <c r="AA17" s="1">
        <v>164969</v>
      </c>
      <c r="AB17" s="1">
        <v>172783</v>
      </c>
      <c r="AC17" s="1">
        <v>163394</v>
      </c>
      <c r="AD17" s="1">
        <v>51696</v>
      </c>
      <c r="AE17" s="1">
        <v>50049</v>
      </c>
      <c r="AF17" s="1">
        <v>59268</v>
      </c>
      <c r="AG17" s="1">
        <v>56379</v>
      </c>
      <c r="AH17" s="1">
        <v>46835</v>
      </c>
      <c r="AI17" s="1">
        <v>41598</v>
      </c>
      <c r="AJ17">
        <v>480.97</v>
      </c>
      <c r="AK17">
        <v>470.4</v>
      </c>
      <c r="AL17" s="2">
        <v>20263.25</v>
      </c>
      <c r="AM17" s="2">
        <v>10029.59</v>
      </c>
      <c r="AN17" s="2">
        <v>8076.4</v>
      </c>
      <c r="AO17" s="2">
        <v>8773.82</v>
      </c>
      <c r="AP17" s="2">
        <v>9501.92</v>
      </c>
      <c r="AQ17" s="2">
        <v>20263.25</v>
      </c>
      <c r="AR17" s="1">
        <v>54042</v>
      </c>
      <c r="AS17" s="1">
        <v>51698</v>
      </c>
      <c r="AT17" s="1">
        <v>53594</v>
      </c>
      <c r="AU17" s="1">
        <v>47036</v>
      </c>
      <c r="AV17" s="2">
        <v>10183.540000000001</v>
      </c>
      <c r="AW17">
        <v>0</v>
      </c>
      <c r="AX17">
        <v>0</v>
      </c>
      <c r="AY17">
        <v>0</v>
      </c>
      <c r="AZ17" s="2">
        <v>7223.12</v>
      </c>
      <c r="BA17" s="1">
        <v>56049</v>
      </c>
      <c r="BB17" s="1">
        <v>53389</v>
      </c>
      <c r="BC17" s="1">
        <v>48841</v>
      </c>
      <c r="BD17" s="1">
        <v>42994</v>
      </c>
      <c r="BE17" s="2">
        <v>1703.71</v>
      </c>
      <c r="BF17" s="1">
        <v>1568</v>
      </c>
      <c r="BG17" s="1">
        <v>164969</v>
      </c>
      <c r="BH17" s="1">
        <v>161826</v>
      </c>
      <c r="BI17">
        <v>0</v>
      </c>
      <c r="BJ17" s="2">
        <v>12831.16</v>
      </c>
      <c r="BK17" s="1">
        <v>55000</v>
      </c>
      <c r="BL17" s="1">
        <v>52664</v>
      </c>
      <c r="BM17" s="1">
        <v>13617</v>
      </c>
      <c r="BN17" s="1">
        <v>13187</v>
      </c>
      <c r="BO17" s="1">
        <v>16991</v>
      </c>
      <c r="BP17" s="1">
        <v>16135</v>
      </c>
      <c r="BQ17">
        <v>273.75</v>
      </c>
      <c r="BR17">
        <v>273</v>
      </c>
      <c r="BS17" s="2">
        <v>3699.2</v>
      </c>
      <c r="BT17" s="2">
        <v>3003.42</v>
      </c>
      <c r="BU17" s="2">
        <v>2753.25</v>
      </c>
      <c r="BV17" s="1">
        <v>14309</v>
      </c>
      <c r="BW17" s="1">
        <v>13474</v>
      </c>
      <c r="BX17" s="1">
        <v>15737</v>
      </c>
      <c r="BY17" s="1">
        <v>14774</v>
      </c>
      <c r="BZ17">
        <v>0</v>
      </c>
      <c r="CA17">
        <v>0</v>
      </c>
      <c r="CB17">
        <v>0</v>
      </c>
      <c r="CD17">
        <v>0</v>
      </c>
      <c r="CE17" s="1">
        <v>55000</v>
      </c>
      <c r="CF17" s="1">
        <v>52664</v>
      </c>
      <c r="CG17">
        <v>515.52</v>
      </c>
      <c r="CH17" s="2">
        <v>19891616.370000001</v>
      </c>
      <c r="CI17" s="2">
        <v>15537148.640000001</v>
      </c>
      <c r="CJ17" s="2">
        <v>4354467.7300000004</v>
      </c>
      <c r="CK17" s="2">
        <v>2060623.44</v>
      </c>
      <c r="CL17" s="2">
        <v>21952239.809999999</v>
      </c>
      <c r="CM17" s="2">
        <v>20114600.390000001</v>
      </c>
      <c r="CN17">
        <v>0</v>
      </c>
      <c r="CO17" s="2">
        <v>5568488</v>
      </c>
      <c r="CP17" s="2">
        <v>5141433.03</v>
      </c>
      <c r="CQ17" s="2">
        <v>860517.94</v>
      </c>
      <c r="CR17" s="2">
        <v>503676.88</v>
      </c>
      <c r="CS17" s="2">
        <v>4867677.58</v>
      </c>
      <c r="CT17" s="2">
        <v>6823787.8600000003</v>
      </c>
      <c r="CU17" s="2">
        <v>13242608.689999999</v>
      </c>
      <c r="CV17">
        <v>0</v>
      </c>
      <c r="CW17" s="2">
        <v>13242608.689999999</v>
      </c>
      <c r="CX17" s="2">
        <v>258654.04</v>
      </c>
      <c r="CY17">
        <v>0</v>
      </c>
      <c r="CZ17">
        <v>0</v>
      </c>
      <c r="DA17" s="2">
        <v>186948.43</v>
      </c>
      <c r="DB17">
        <v>0</v>
      </c>
      <c r="DC17" s="2">
        <v>614544.43000000005</v>
      </c>
      <c r="DD17" s="2">
        <v>282268.24</v>
      </c>
      <c r="DE17" s="2">
        <v>85936.67</v>
      </c>
      <c r="DF17">
        <v>34</v>
      </c>
      <c r="DG17">
        <v>32</v>
      </c>
      <c r="DH17">
        <v>0</v>
      </c>
      <c r="DI17">
        <v>0</v>
      </c>
      <c r="DJ17" s="2">
        <v>688750.16</v>
      </c>
      <c r="DK17" s="2">
        <v>293999.18</v>
      </c>
      <c r="DL17">
        <v>0</v>
      </c>
      <c r="DM17" s="2">
        <v>1241403.3799999999</v>
      </c>
      <c r="DN17">
        <v>0</v>
      </c>
      <c r="DO17">
        <v>0</v>
      </c>
      <c r="DP17">
        <v>0</v>
      </c>
      <c r="DR17">
        <v>0</v>
      </c>
      <c r="DS17">
        <v>0</v>
      </c>
      <c r="EJ17" t="s">
        <v>244</v>
      </c>
      <c r="EN17" s="1">
        <v>18673</v>
      </c>
      <c r="EO17" s="1">
        <v>1325</v>
      </c>
      <c r="EP17" s="1">
        <v>12677</v>
      </c>
      <c r="EQ17">
        <v>165</v>
      </c>
      <c r="ER17">
        <v>992</v>
      </c>
      <c r="EU17" s="1">
        <v>16602</v>
      </c>
      <c r="EV17" s="1">
        <v>17370</v>
      </c>
      <c r="EY17" s="1">
        <v>83090</v>
      </c>
      <c r="EZ17" s="1">
        <v>65892</v>
      </c>
      <c r="FB17" s="1">
        <v>4346</v>
      </c>
      <c r="FC17">
        <v>8</v>
      </c>
      <c r="FD17" s="1">
        <v>4628</v>
      </c>
      <c r="FE17">
        <v>1.1299999999999999</v>
      </c>
      <c r="FF17" s="2">
        <v>2254.13</v>
      </c>
      <c r="FG17">
        <v>1.08</v>
      </c>
      <c r="FH17">
        <v>1.62</v>
      </c>
      <c r="FI17">
        <v>1.63</v>
      </c>
      <c r="FJ17">
        <v>1.58</v>
      </c>
      <c r="FK17">
        <v>58.02</v>
      </c>
      <c r="FL17" s="2">
        <v>26076.3</v>
      </c>
      <c r="FM17">
        <v>86.91</v>
      </c>
      <c r="FN17">
        <v>43.51</v>
      </c>
      <c r="FO17">
        <v>100</v>
      </c>
      <c r="FP17">
        <v>150.19999999999999</v>
      </c>
      <c r="FQ17">
        <v>48.8</v>
      </c>
      <c r="FR17">
        <v>13.4</v>
      </c>
      <c r="FS17">
        <v>42.16</v>
      </c>
      <c r="FT17">
        <v>81.19</v>
      </c>
      <c r="FU17">
        <v>13.7</v>
      </c>
      <c r="FV17">
        <v>295</v>
      </c>
      <c r="FW17">
        <v>252.42</v>
      </c>
      <c r="FX17">
        <v>8.6999999999999993</v>
      </c>
      <c r="FY17">
        <v>17.899999999999999</v>
      </c>
      <c r="FZ17">
        <v>143</v>
      </c>
      <c r="GA17">
        <v>100</v>
      </c>
      <c r="GB17">
        <v>33.33</v>
      </c>
      <c r="GC17">
        <v>29.2</v>
      </c>
      <c r="GD17">
        <v>1.08</v>
      </c>
      <c r="GE17">
        <v>178.02</v>
      </c>
      <c r="GF17">
        <v>51.19</v>
      </c>
      <c r="GG17">
        <v>8.3699999999999992</v>
      </c>
      <c r="GH17">
        <v>66.569999999999993</v>
      </c>
      <c r="GI17">
        <v>4.32</v>
      </c>
      <c r="GJ17">
        <v>38.630000000000003</v>
      </c>
      <c r="GK17">
        <v>0</v>
      </c>
      <c r="GL17">
        <v>0</v>
      </c>
      <c r="GM17">
        <v>6.49</v>
      </c>
      <c r="GN17">
        <v>58.02</v>
      </c>
      <c r="GO17">
        <v>36.75</v>
      </c>
      <c r="GP17">
        <v>3.8</v>
      </c>
      <c r="GQ17">
        <v>0</v>
      </c>
      <c r="GR17">
        <v>70.77</v>
      </c>
      <c r="GS17">
        <v>19.829999999999998</v>
      </c>
      <c r="GT17">
        <v>9.3800000000000008</v>
      </c>
      <c r="GU17">
        <v>91.43</v>
      </c>
      <c r="GV17">
        <v>92.05</v>
      </c>
      <c r="GW17">
        <v>0.64</v>
      </c>
      <c r="GX17">
        <v>34.229999999999997</v>
      </c>
      <c r="GY17">
        <v>33.33</v>
      </c>
      <c r="GZ17">
        <v>0.51</v>
      </c>
      <c r="HA17">
        <v>52.72</v>
      </c>
      <c r="HB17">
        <v>56.36</v>
      </c>
      <c r="HC17">
        <v>527</v>
      </c>
      <c r="HD17">
        <v>47.27</v>
      </c>
      <c r="HE17">
        <v>12.6</v>
      </c>
      <c r="HF17">
        <v>101</v>
      </c>
      <c r="HG17">
        <v>100</v>
      </c>
      <c r="HH17">
        <v>31.83</v>
      </c>
      <c r="HM17">
        <v>94</v>
      </c>
      <c r="HN17">
        <v>0</v>
      </c>
      <c r="HO17">
        <v>1</v>
      </c>
      <c r="HP17">
        <v>0.13</v>
      </c>
      <c r="HQ17">
        <v>0.36</v>
      </c>
      <c r="HR17">
        <v>151.88999999999999</v>
      </c>
      <c r="HS17">
        <v>218.11</v>
      </c>
    </row>
    <row r="18" spans="1:235" x14ac:dyDescent="0.3">
      <c r="A18">
        <v>510760</v>
      </c>
      <c r="B18" t="s">
        <v>235</v>
      </c>
      <c r="C18" t="s">
        <v>236</v>
      </c>
      <c r="D18">
        <v>2006</v>
      </c>
      <c r="E18">
        <v>51076011</v>
      </c>
      <c r="F18" t="s">
        <v>237</v>
      </c>
      <c r="G18" t="s">
        <v>238</v>
      </c>
      <c r="H18" t="s">
        <v>239</v>
      </c>
      <c r="I18" t="s">
        <v>240</v>
      </c>
      <c r="J18" t="s">
        <v>241</v>
      </c>
      <c r="K18">
        <v>0</v>
      </c>
      <c r="L18">
        <v>0</v>
      </c>
      <c r="M18">
        <v>1</v>
      </c>
      <c r="P18">
        <v>3</v>
      </c>
      <c r="Q18">
        <v>0</v>
      </c>
      <c r="R18">
        <v>0</v>
      </c>
      <c r="S18">
        <v>0</v>
      </c>
      <c r="T18">
        <v>1</v>
      </c>
      <c r="W18" t="s">
        <v>243</v>
      </c>
      <c r="X18" t="s">
        <v>243</v>
      </c>
      <c r="Z18" s="1">
        <v>169814</v>
      </c>
      <c r="AA18" s="1">
        <v>160331</v>
      </c>
      <c r="AB18" s="1">
        <v>163394</v>
      </c>
      <c r="AC18" s="1">
        <v>168446</v>
      </c>
      <c r="AD18" s="1">
        <v>50049</v>
      </c>
      <c r="AE18" s="1">
        <v>44913</v>
      </c>
      <c r="AF18" s="1">
        <v>56379</v>
      </c>
      <c r="AG18" s="1">
        <v>54212</v>
      </c>
      <c r="AH18" s="1">
        <v>41598</v>
      </c>
      <c r="AI18" s="1">
        <v>33521</v>
      </c>
      <c r="AJ18">
        <v>470.4</v>
      </c>
      <c r="AK18">
        <v>450.3</v>
      </c>
      <c r="AL18" s="2">
        <v>20658.8</v>
      </c>
      <c r="AM18" s="2">
        <v>8195.4</v>
      </c>
      <c r="AN18" s="2">
        <v>7058.2</v>
      </c>
      <c r="AO18" s="2">
        <v>7413.6</v>
      </c>
      <c r="AP18" s="2">
        <v>8739.2000000000007</v>
      </c>
      <c r="AQ18" s="2">
        <v>20658.7</v>
      </c>
      <c r="AR18" s="1">
        <v>51698</v>
      </c>
      <c r="AS18" s="1">
        <v>49782</v>
      </c>
      <c r="AT18" s="1">
        <v>47036</v>
      </c>
      <c r="AU18" s="1">
        <v>40113</v>
      </c>
      <c r="AV18" s="2">
        <v>12463.4</v>
      </c>
      <c r="AW18">
        <v>0</v>
      </c>
      <c r="AX18">
        <v>0</v>
      </c>
      <c r="AY18">
        <v>0</v>
      </c>
      <c r="AZ18" s="2">
        <v>6404.9</v>
      </c>
      <c r="BA18" s="1">
        <v>53389</v>
      </c>
      <c r="BB18" s="1">
        <v>51283</v>
      </c>
      <c r="BC18" s="1">
        <v>42994</v>
      </c>
      <c r="BD18" s="1">
        <v>36554</v>
      </c>
      <c r="BE18" s="2">
        <v>1081</v>
      </c>
      <c r="BF18" s="1">
        <v>1616</v>
      </c>
      <c r="BG18" s="1">
        <v>161826</v>
      </c>
      <c r="BH18" s="1">
        <v>166830</v>
      </c>
      <c r="BI18">
        <v>0</v>
      </c>
      <c r="BJ18" s="2">
        <v>12840</v>
      </c>
      <c r="BK18" s="1">
        <v>52664</v>
      </c>
      <c r="BL18" s="1">
        <v>52528</v>
      </c>
      <c r="BM18" s="1">
        <v>13187</v>
      </c>
      <c r="BN18" s="1">
        <v>12436</v>
      </c>
      <c r="BO18" s="1">
        <v>16135</v>
      </c>
      <c r="BP18" s="1">
        <v>16013</v>
      </c>
      <c r="BQ18">
        <v>273</v>
      </c>
      <c r="BR18">
        <v>271.89999999999998</v>
      </c>
      <c r="BS18" s="2">
        <v>3529</v>
      </c>
      <c r="BT18" s="2">
        <v>2694</v>
      </c>
      <c r="BU18" s="2">
        <v>2637.6</v>
      </c>
      <c r="BV18" s="1">
        <v>13474</v>
      </c>
      <c r="BW18" s="1">
        <v>13439</v>
      </c>
      <c r="BX18" s="1">
        <v>14774</v>
      </c>
      <c r="BY18" s="1">
        <v>14294</v>
      </c>
      <c r="CD18">
        <v>0</v>
      </c>
      <c r="CE18" s="1">
        <v>52664</v>
      </c>
      <c r="CF18" s="1">
        <v>52528</v>
      </c>
      <c r="CG18">
        <v>509.9</v>
      </c>
      <c r="CH18" s="2">
        <v>17852473.079999998</v>
      </c>
      <c r="CI18" s="2">
        <v>13621921.01</v>
      </c>
      <c r="CJ18" s="2">
        <v>4230552.07</v>
      </c>
      <c r="CK18" s="2">
        <v>888365.81</v>
      </c>
      <c r="CL18" s="2">
        <v>18740838.899999999</v>
      </c>
      <c r="CM18" s="2">
        <v>18740838.899999999</v>
      </c>
      <c r="CN18">
        <v>0</v>
      </c>
      <c r="CO18" s="2">
        <v>5141433.03</v>
      </c>
      <c r="CP18" s="2">
        <v>3132647.28</v>
      </c>
      <c r="CQ18" s="2">
        <v>537202.98</v>
      </c>
      <c r="CR18" s="2">
        <v>603829.52</v>
      </c>
      <c r="CS18" s="2">
        <v>4317431.09</v>
      </c>
      <c r="CT18" s="2">
        <v>2120062.5299999998</v>
      </c>
      <c r="CU18" s="2">
        <v>8695781.2400000002</v>
      </c>
      <c r="CV18">
        <v>0</v>
      </c>
      <c r="CW18" s="2">
        <v>8695781.2400000002</v>
      </c>
      <c r="CX18">
        <v>0</v>
      </c>
      <c r="CY18">
        <v>0</v>
      </c>
      <c r="CZ18">
        <v>0</v>
      </c>
      <c r="DA18" s="2">
        <v>558627.56000000006</v>
      </c>
      <c r="DB18">
        <v>0</v>
      </c>
      <c r="DC18" s="2">
        <v>395729.81</v>
      </c>
      <c r="DD18">
        <v>0</v>
      </c>
      <c r="DE18" s="2">
        <v>446218.11</v>
      </c>
      <c r="DF18">
        <v>32</v>
      </c>
      <c r="DG18">
        <v>13</v>
      </c>
      <c r="DH18" s="2">
        <v>558627.56000000006</v>
      </c>
      <c r="DI18">
        <v>0</v>
      </c>
      <c r="DJ18" s="2">
        <v>841947.92</v>
      </c>
      <c r="DK18">
        <v>0</v>
      </c>
      <c r="DL18">
        <v>0</v>
      </c>
      <c r="DM18" s="2">
        <v>841947.92</v>
      </c>
      <c r="DN18">
        <v>0</v>
      </c>
      <c r="DO18">
        <v>0</v>
      </c>
      <c r="DP18">
        <v>0</v>
      </c>
      <c r="EN18" s="1">
        <v>17493</v>
      </c>
      <c r="EO18" s="1">
        <v>2156</v>
      </c>
      <c r="EP18" s="1">
        <v>4818</v>
      </c>
      <c r="EQ18">
        <v>119</v>
      </c>
      <c r="EU18" s="1">
        <v>18497</v>
      </c>
      <c r="EV18" s="1">
        <v>19241</v>
      </c>
      <c r="EY18" s="1">
        <v>17608</v>
      </c>
      <c r="EZ18" s="1">
        <v>17608</v>
      </c>
      <c r="FA18" s="2">
        <v>16800</v>
      </c>
      <c r="FB18" s="1">
        <v>3701</v>
      </c>
      <c r="FC18">
        <v>72</v>
      </c>
      <c r="FD18" s="1">
        <v>5004</v>
      </c>
      <c r="FE18">
        <v>1.1599999999999999</v>
      </c>
      <c r="FF18" s="2">
        <v>3171.97</v>
      </c>
      <c r="FG18">
        <v>0.76</v>
      </c>
      <c r="FH18">
        <v>1.56</v>
      </c>
      <c r="FI18">
        <v>1.55</v>
      </c>
      <c r="FJ18">
        <v>1.6</v>
      </c>
      <c r="FK18">
        <v>30.55</v>
      </c>
      <c r="FL18" s="2">
        <v>23875.69</v>
      </c>
      <c r="FM18">
        <v>79.099999999999994</v>
      </c>
      <c r="FN18">
        <v>36.049999999999997</v>
      </c>
      <c r="FO18">
        <v>99.99</v>
      </c>
      <c r="FP18">
        <v>205.3</v>
      </c>
      <c r="FQ18">
        <v>55.36</v>
      </c>
      <c r="FR18">
        <v>13.5</v>
      </c>
      <c r="FS18">
        <v>47.6</v>
      </c>
      <c r="FT18">
        <v>76.33</v>
      </c>
      <c r="FU18">
        <v>13.2</v>
      </c>
      <c r="FV18">
        <v>111</v>
      </c>
      <c r="FW18">
        <v>642.96</v>
      </c>
      <c r="FX18">
        <v>8.8000000000000007</v>
      </c>
      <c r="FY18">
        <v>18.739999999999998</v>
      </c>
      <c r="FZ18">
        <v>122.4</v>
      </c>
      <c r="GA18">
        <v>100</v>
      </c>
      <c r="GB18">
        <v>32.840000000000003</v>
      </c>
      <c r="GC18">
        <v>31.1</v>
      </c>
      <c r="GD18">
        <v>0.76</v>
      </c>
      <c r="GE18">
        <v>121.84</v>
      </c>
      <c r="GF18">
        <v>44.63</v>
      </c>
      <c r="GG18">
        <v>0</v>
      </c>
      <c r="GH18">
        <v>48.7</v>
      </c>
      <c r="GI18">
        <v>3</v>
      </c>
      <c r="GJ18">
        <v>14.88</v>
      </c>
      <c r="GK18">
        <v>0</v>
      </c>
      <c r="GL18">
        <v>3.12</v>
      </c>
      <c r="GM18">
        <v>6.17</v>
      </c>
      <c r="GN18">
        <v>30.55</v>
      </c>
      <c r="GO18">
        <v>49.64</v>
      </c>
      <c r="GP18">
        <v>6.94</v>
      </c>
      <c r="GQ18">
        <v>6.42</v>
      </c>
      <c r="GR18">
        <v>72.680000000000007</v>
      </c>
      <c r="GS18">
        <v>22.57</v>
      </c>
      <c r="GT18">
        <v>4.74</v>
      </c>
      <c r="GU18">
        <v>91.76</v>
      </c>
      <c r="GV18">
        <v>95.2</v>
      </c>
      <c r="GW18">
        <v>0.47</v>
      </c>
      <c r="GX18">
        <v>36.33</v>
      </c>
      <c r="GY18">
        <v>32.840000000000003</v>
      </c>
      <c r="GZ18">
        <v>0.37</v>
      </c>
      <c r="HA18">
        <v>62.13</v>
      </c>
      <c r="HB18">
        <v>72.39</v>
      </c>
      <c r="HC18">
        <v>701.89</v>
      </c>
      <c r="HD18">
        <v>37.86</v>
      </c>
      <c r="HE18">
        <v>11.2</v>
      </c>
      <c r="HF18">
        <v>104</v>
      </c>
      <c r="HG18">
        <v>96.21</v>
      </c>
      <c r="HH18">
        <v>31.01</v>
      </c>
      <c r="HI18">
        <v>0</v>
      </c>
      <c r="HJ18">
        <v>0.62</v>
      </c>
      <c r="HK18">
        <v>0.14000000000000001</v>
      </c>
      <c r="HL18">
        <v>0.32</v>
      </c>
      <c r="HQ18">
        <v>12.32</v>
      </c>
      <c r="HR18">
        <v>2.46</v>
      </c>
      <c r="HT18">
        <v>90.91</v>
      </c>
      <c r="HU18">
        <v>26.04</v>
      </c>
      <c r="HW18">
        <v>0.95</v>
      </c>
      <c r="HX18">
        <v>1.94</v>
      </c>
      <c r="HY18">
        <v>73.959999999999994</v>
      </c>
      <c r="HZ18">
        <v>215.51</v>
      </c>
      <c r="IA18">
        <v>541.73</v>
      </c>
    </row>
    <row r="19" spans="1:235" x14ac:dyDescent="0.3">
      <c r="A19">
        <v>510760</v>
      </c>
      <c r="B19" t="s">
        <v>235</v>
      </c>
      <c r="C19" t="s">
        <v>236</v>
      </c>
      <c r="D19">
        <v>2005</v>
      </c>
      <c r="E19">
        <v>51076011</v>
      </c>
      <c r="F19" t="s">
        <v>237</v>
      </c>
      <c r="G19" t="s">
        <v>238</v>
      </c>
      <c r="H19" t="s">
        <v>239</v>
      </c>
      <c r="I19" t="s">
        <v>240</v>
      </c>
      <c r="J19" t="s">
        <v>241</v>
      </c>
      <c r="K19">
        <v>0</v>
      </c>
      <c r="L19">
        <v>0</v>
      </c>
      <c r="M19">
        <v>1</v>
      </c>
      <c r="P19">
        <v>3</v>
      </c>
      <c r="Q19">
        <v>0</v>
      </c>
      <c r="R19">
        <v>0</v>
      </c>
      <c r="S19">
        <v>0</v>
      </c>
      <c r="T19">
        <v>1</v>
      </c>
      <c r="W19" t="s">
        <v>243</v>
      </c>
      <c r="X19" t="s">
        <v>243</v>
      </c>
      <c r="Z19" s="1">
        <v>166830</v>
      </c>
      <c r="AA19" s="1">
        <v>157514</v>
      </c>
      <c r="AB19" s="1">
        <v>168446</v>
      </c>
      <c r="AC19" s="1">
        <v>163000</v>
      </c>
      <c r="AD19" s="1">
        <v>44913</v>
      </c>
      <c r="AE19" s="1">
        <v>45132</v>
      </c>
      <c r="AF19" s="1">
        <v>54212</v>
      </c>
      <c r="AG19" s="1">
        <v>50769</v>
      </c>
      <c r="AH19" s="1">
        <v>33521</v>
      </c>
      <c r="AI19" s="1">
        <v>33994</v>
      </c>
      <c r="AJ19">
        <v>450.3</v>
      </c>
      <c r="AK19">
        <v>448.6</v>
      </c>
      <c r="AL19" s="2">
        <v>20885.099999999999</v>
      </c>
      <c r="AM19" s="2">
        <v>8072.5</v>
      </c>
      <c r="AN19" s="2">
        <v>6604.6</v>
      </c>
      <c r="AO19" s="2">
        <v>8350</v>
      </c>
      <c r="AP19" s="2">
        <v>8646.7999999999993</v>
      </c>
      <c r="AQ19" s="2">
        <v>20885.099999999999</v>
      </c>
      <c r="AR19" s="1">
        <v>49782</v>
      </c>
      <c r="AS19" s="1">
        <v>47255</v>
      </c>
      <c r="AT19" s="1">
        <v>40113</v>
      </c>
      <c r="AU19" s="1">
        <v>38854</v>
      </c>
      <c r="AV19" s="2">
        <v>12812.6</v>
      </c>
      <c r="AW19">
        <v>0</v>
      </c>
      <c r="AX19">
        <v>0</v>
      </c>
      <c r="AY19">
        <v>0</v>
      </c>
      <c r="AZ19" s="2">
        <v>5604.8</v>
      </c>
      <c r="BA19" s="1">
        <v>51283</v>
      </c>
      <c r="BB19" s="1">
        <v>49170</v>
      </c>
      <c r="BC19" s="1">
        <v>36554</v>
      </c>
      <c r="BD19" s="1">
        <v>36130</v>
      </c>
      <c r="BE19">
        <v>941.1</v>
      </c>
      <c r="BF19">
        <v>0</v>
      </c>
      <c r="BG19" s="1">
        <v>166830</v>
      </c>
      <c r="BH19" s="1">
        <v>163000</v>
      </c>
      <c r="BI19">
        <v>0</v>
      </c>
      <c r="BJ19" s="2">
        <v>12711.1</v>
      </c>
      <c r="BK19" s="1">
        <v>52528</v>
      </c>
      <c r="BL19" s="1">
        <v>56734</v>
      </c>
      <c r="BM19" s="1">
        <v>12436</v>
      </c>
      <c r="BN19" s="1">
        <v>13508</v>
      </c>
      <c r="BO19" s="1">
        <v>16013</v>
      </c>
      <c r="BP19" s="1">
        <v>16719</v>
      </c>
      <c r="BQ19">
        <v>271.89999999999998</v>
      </c>
      <c r="BR19">
        <v>271.89999999999998</v>
      </c>
      <c r="BS19" s="2">
        <v>2671.7</v>
      </c>
      <c r="BT19" s="2">
        <v>1789</v>
      </c>
      <c r="BU19" s="2">
        <v>2671.7</v>
      </c>
      <c r="BV19" s="1">
        <v>13439</v>
      </c>
      <c r="BW19" s="1">
        <v>14670</v>
      </c>
      <c r="BX19" s="1">
        <v>14294</v>
      </c>
      <c r="BY19" s="1">
        <v>14834</v>
      </c>
      <c r="CD19">
        <v>0</v>
      </c>
      <c r="CE19" s="1">
        <v>52528</v>
      </c>
      <c r="CF19" s="1">
        <v>56734</v>
      </c>
      <c r="CG19">
        <v>544.29999999999995</v>
      </c>
      <c r="CH19" s="2">
        <v>12874288.880000001</v>
      </c>
      <c r="CI19" s="2">
        <v>9664278.1899999995</v>
      </c>
      <c r="CJ19" s="2">
        <v>3210010.69</v>
      </c>
      <c r="CK19" s="2">
        <v>448327.02</v>
      </c>
      <c r="CL19" s="2">
        <v>13322615.9</v>
      </c>
      <c r="CM19" s="2">
        <v>13322615.9</v>
      </c>
      <c r="CN19">
        <v>0</v>
      </c>
      <c r="CO19" s="2">
        <v>3132647.28</v>
      </c>
      <c r="CP19" s="2">
        <v>3339487.9</v>
      </c>
      <c r="CQ19" s="2">
        <v>430471.69</v>
      </c>
      <c r="CR19" s="2">
        <v>491291.64</v>
      </c>
      <c r="CS19" s="2">
        <v>4546854.76</v>
      </c>
      <c r="CT19" s="2">
        <v>1581011.4</v>
      </c>
      <c r="CU19" s="2">
        <v>7574728.0499999998</v>
      </c>
      <c r="CV19">
        <v>0</v>
      </c>
      <c r="CW19" s="2">
        <v>7574728.0499999998</v>
      </c>
      <c r="CX19">
        <v>0</v>
      </c>
      <c r="CY19">
        <v>0</v>
      </c>
      <c r="CZ19">
        <v>0</v>
      </c>
      <c r="DA19">
        <v>0</v>
      </c>
      <c r="DB19">
        <v>0</v>
      </c>
      <c r="DC19" s="2">
        <v>253017.99</v>
      </c>
      <c r="DD19">
        <v>0</v>
      </c>
      <c r="DE19" s="2">
        <v>253595.77</v>
      </c>
      <c r="DF19">
        <v>13</v>
      </c>
      <c r="DG19">
        <v>12</v>
      </c>
      <c r="DH19" s="2">
        <v>525098.56000000006</v>
      </c>
      <c r="DI19">
        <v>0</v>
      </c>
      <c r="DJ19" s="2">
        <v>506613.76000000001</v>
      </c>
      <c r="DK19">
        <v>0</v>
      </c>
      <c r="DL19">
        <v>0</v>
      </c>
      <c r="DM19" s="2">
        <v>506613.76000000001</v>
      </c>
      <c r="DN19">
        <v>0</v>
      </c>
      <c r="DO19">
        <v>0</v>
      </c>
      <c r="DP19">
        <v>0</v>
      </c>
      <c r="EK19">
        <v>0</v>
      </c>
      <c r="EL19">
        <v>0</v>
      </c>
      <c r="EM19">
        <v>0</v>
      </c>
      <c r="EN19" s="1">
        <v>16961</v>
      </c>
      <c r="EO19">
        <v>678</v>
      </c>
      <c r="EP19" s="1">
        <v>4494</v>
      </c>
      <c r="EQ19">
        <v>4</v>
      </c>
      <c r="ER19">
        <v>6</v>
      </c>
      <c r="ES19" s="2">
        <v>8640</v>
      </c>
      <c r="EU19" s="1">
        <v>15577</v>
      </c>
      <c r="EV19" s="1">
        <v>16321</v>
      </c>
      <c r="EZ19" s="1">
        <v>11930</v>
      </c>
      <c r="FA19" s="2">
        <v>23860</v>
      </c>
      <c r="FB19" s="1">
        <v>3750</v>
      </c>
      <c r="FC19">
        <v>6</v>
      </c>
      <c r="FD19" s="1">
        <v>4236</v>
      </c>
      <c r="FE19">
        <v>1.1599999999999999</v>
      </c>
      <c r="FF19" s="2">
        <v>5508.52</v>
      </c>
      <c r="FG19">
        <v>0.66</v>
      </c>
      <c r="FH19">
        <v>1.1299999999999999</v>
      </c>
      <c r="FI19">
        <v>1.1100000000000001</v>
      </c>
      <c r="FJ19">
        <v>1.2</v>
      </c>
      <c r="FK19">
        <v>26.55</v>
      </c>
      <c r="FL19" s="2">
        <v>34437.730000000003</v>
      </c>
      <c r="FM19">
        <v>74.97</v>
      </c>
      <c r="FN19">
        <v>33.11</v>
      </c>
      <c r="FO19">
        <v>100</v>
      </c>
      <c r="FP19">
        <v>169.96</v>
      </c>
      <c r="FQ19">
        <v>56.64</v>
      </c>
      <c r="FR19">
        <v>13.9</v>
      </c>
      <c r="FS19">
        <v>31.99</v>
      </c>
      <c r="FT19">
        <v>66.959999999999994</v>
      </c>
      <c r="FU19">
        <v>13.7</v>
      </c>
      <c r="FV19">
        <v>58</v>
      </c>
      <c r="FW19" s="2">
        <v>1178.8599999999999</v>
      </c>
      <c r="FX19">
        <v>8.9</v>
      </c>
      <c r="FY19">
        <v>18.66</v>
      </c>
      <c r="FZ19">
        <v>138</v>
      </c>
      <c r="GA19">
        <v>100</v>
      </c>
      <c r="GB19">
        <v>33.340000000000003</v>
      </c>
      <c r="GC19">
        <v>33.200000000000003</v>
      </c>
      <c r="GD19">
        <v>0.66</v>
      </c>
      <c r="GE19">
        <v>110</v>
      </c>
      <c r="GF19">
        <v>43.35</v>
      </c>
      <c r="GG19">
        <v>0</v>
      </c>
      <c r="GH19">
        <v>58.83</v>
      </c>
      <c r="GI19">
        <v>3.34</v>
      </c>
      <c r="GJ19">
        <v>15.62</v>
      </c>
      <c r="GK19">
        <v>0</v>
      </c>
      <c r="GL19">
        <v>4.07</v>
      </c>
      <c r="GM19">
        <v>5.68</v>
      </c>
      <c r="GN19">
        <v>26.55</v>
      </c>
      <c r="GO19">
        <v>60.02</v>
      </c>
      <c r="GP19">
        <v>6.48</v>
      </c>
      <c r="GQ19">
        <v>6.93</v>
      </c>
      <c r="GR19">
        <v>72.540000000000006</v>
      </c>
      <c r="GS19">
        <v>24.09</v>
      </c>
      <c r="GT19">
        <v>3.36</v>
      </c>
      <c r="GU19">
        <v>92.43</v>
      </c>
      <c r="GV19">
        <v>79.09</v>
      </c>
      <c r="GW19">
        <v>0.27</v>
      </c>
      <c r="GX19">
        <v>21.42</v>
      </c>
      <c r="GY19">
        <v>33.340000000000003</v>
      </c>
      <c r="GZ19">
        <v>0.21</v>
      </c>
      <c r="HA19">
        <v>58.13</v>
      </c>
      <c r="HB19">
        <v>70.67</v>
      </c>
      <c r="HC19">
        <v>705.52</v>
      </c>
      <c r="HD19">
        <v>41.86</v>
      </c>
      <c r="HE19">
        <v>13.3</v>
      </c>
      <c r="HF19">
        <v>88</v>
      </c>
      <c r="HG19">
        <v>100</v>
      </c>
      <c r="HH19">
        <v>31.48</v>
      </c>
      <c r="HI19">
        <v>0</v>
      </c>
      <c r="HJ19">
        <v>0.6</v>
      </c>
      <c r="HK19">
        <v>0.2</v>
      </c>
      <c r="HL19">
        <v>0.34</v>
      </c>
      <c r="HQ19">
        <v>3.99</v>
      </c>
      <c r="HR19">
        <v>0.08</v>
      </c>
      <c r="HS19" s="2">
        <v>1440</v>
      </c>
      <c r="HT19">
        <v>103.92</v>
      </c>
      <c r="HU19">
        <v>28.85</v>
      </c>
      <c r="HV19">
        <v>0.02</v>
      </c>
      <c r="HW19">
        <v>2</v>
      </c>
      <c r="HX19">
        <v>0.16</v>
      </c>
      <c r="HY19">
        <v>88.52</v>
      </c>
      <c r="HZ19">
        <v>175.88</v>
      </c>
      <c r="IA19">
        <v>992.89</v>
      </c>
    </row>
    <row r="20" spans="1:235" x14ac:dyDescent="0.3">
      <c r="A20">
        <v>510760</v>
      </c>
      <c r="B20" t="s">
        <v>235</v>
      </c>
      <c r="C20" t="s">
        <v>236</v>
      </c>
      <c r="D20">
        <v>2004</v>
      </c>
      <c r="E20">
        <v>51076011</v>
      </c>
      <c r="F20" t="s">
        <v>237</v>
      </c>
      <c r="G20" t="s">
        <v>238</v>
      </c>
      <c r="H20" t="s">
        <v>239</v>
      </c>
      <c r="I20" t="s">
        <v>240</v>
      </c>
      <c r="J20" t="s">
        <v>241</v>
      </c>
      <c r="K20">
        <v>0</v>
      </c>
      <c r="L20">
        <v>0</v>
      </c>
      <c r="M20">
        <v>1</v>
      </c>
      <c r="P20">
        <v>3</v>
      </c>
      <c r="Q20">
        <v>0</v>
      </c>
      <c r="R20">
        <v>0</v>
      </c>
      <c r="S20">
        <v>0</v>
      </c>
      <c r="T20">
        <v>1</v>
      </c>
      <c r="W20" t="s">
        <v>243</v>
      </c>
      <c r="X20" t="s">
        <v>243</v>
      </c>
      <c r="Z20" s="1">
        <v>163824</v>
      </c>
      <c r="AA20" s="1">
        <v>154676</v>
      </c>
      <c r="AB20" s="1">
        <v>163000</v>
      </c>
      <c r="AC20" s="1">
        <v>150000</v>
      </c>
      <c r="AD20" s="1">
        <v>45132</v>
      </c>
      <c r="AE20" s="1">
        <v>44400</v>
      </c>
      <c r="AF20" s="1">
        <v>50769</v>
      </c>
      <c r="AG20" s="1">
        <v>49821</v>
      </c>
      <c r="AH20" s="1">
        <v>33994</v>
      </c>
      <c r="AI20" s="1">
        <v>33885</v>
      </c>
      <c r="AJ20">
        <v>448.6</v>
      </c>
      <c r="AK20">
        <v>422</v>
      </c>
      <c r="AL20" s="2">
        <v>20324.2</v>
      </c>
      <c r="AM20" s="2">
        <v>8236.7999999999993</v>
      </c>
      <c r="AN20" s="2">
        <v>6844.3</v>
      </c>
      <c r="AO20" s="2">
        <v>8331.5</v>
      </c>
      <c r="AP20" s="2">
        <v>8335.7999999999993</v>
      </c>
      <c r="AQ20" s="2">
        <v>20324.2</v>
      </c>
      <c r="AR20" s="1">
        <v>47255</v>
      </c>
      <c r="AS20" s="1">
        <v>46357</v>
      </c>
      <c r="AT20" s="1">
        <v>38854</v>
      </c>
      <c r="AU20" s="1">
        <v>38623</v>
      </c>
      <c r="AV20" s="2">
        <v>12087.4</v>
      </c>
      <c r="AW20">
        <v>0</v>
      </c>
      <c r="AX20">
        <v>0</v>
      </c>
      <c r="AY20">
        <v>0</v>
      </c>
      <c r="AZ20" s="2">
        <v>6109.1</v>
      </c>
      <c r="BA20" s="1">
        <v>49170</v>
      </c>
      <c r="BB20" s="1">
        <v>47516</v>
      </c>
      <c r="BC20" s="1">
        <v>36130</v>
      </c>
      <c r="BD20" s="1">
        <v>35984</v>
      </c>
      <c r="BE20">
        <v>840</v>
      </c>
      <c r="BF20">
        <v>0</v>
      </c>
      <c r="BG20" s="1">
        <v>163000</v>
      </c>
      <c r="BH20" s="1">
        <v>150000</v>
      </c>
      <c r="BI20">
        <v>0</v>
      </c>
      <c r="BJ20" s="2">
        <v>12440</v>
      </c>
      <c r="BK20" s="1">
        <v>56734</v>
      </c>
      <c r="BL20" s="1">
        <v>55704</v>
      </c>
      <c r="BM20" s="1">
        <v>13508</v>
      </c>
      <c r="BN20" s="1">
        <v>12758</v>
      </c>
      <c r="BO20" s="1">
        <v>16719</v>
      </c>
      <c r="BP20" s="1">
        <v>15477</v>
      </c>
      <c r="BQ20">
        <v>271.89999999999998</v>
      </c>
      <c r="BR20">
        <v>233.6</v>
      </c>
      <c r="BS20" s="2">
        <v>2924.4</v>
      </c>
      <c r="BT20" s="2">
        <v>2390.6</v>
      </c>
      <c r="BU20" s="2">
        <v>2706.4</v>
      </c>
      <c r="BV20" s="1">
        <v>14670</v>
      </c>
      <c r="BW20" s="1">
        <v>13706</v>
      </c>
      <c r="BX20" s="1">
        <v>14834</v>
      </c>
      <c r="BY20" s="1">
        <v>13926</v>
      </c>
      <c r="CD20">
        <v>0</v>
      </c>
      <c r="CE20" s="1">
        <v>56734</v>
      </c>
      <c r="CF20" s="1">
        <v>55704</v>
      </c>
      <c r="CG20">
        <v>585</v>
      </c>
      <c r="CH20" s="2">
        <v>11892706.49</v>
      </c>
      <c r="CI20" s="2">
        <v>9164129.5500000007</v>
      </c>
      <c r="CJ20" s="2">
        <v>2728576.94</v>
      </c>
      <c r="CK20">
        <v>0</v>
      </c>
      <c r="CL20" s="2">
        <v>11892706.49</v>
      </c>
      <c r="CM20" s="2">
        <v>12164701.550000001</v>
      </c>
      <c r="CN20">
        <v>0</v>
      </c>
      <c r="CO20" s="2">
        <v>3339487.9</v>
      </c>
      <c r="CP20" s="2">
        <v>3664185.54</v>
      </c>
      <c r="CQ20" s="2">
        <v>661382.46</v>
      </c>
      <c r="CR20" s="2">
        <v>486692.26</v>
      </c>
      <c r="CS20" s="2">
        <v>3020171.43</v>
      </c>
      <c r="CT20" s="2">
        <v>1786953.06</v>
      </c>
      <c r="CU20" s="2">
        <v>5955199.21</v>
      </c>
      <c r="CV20">
        <v>0</v>
      </c>
      <c r="CW20" s="2">
        <v>5955199.21</v>
      </c>
      <c r="CX20">
        <v>0</v>
      </c>
      <c r="CY20">
        <v>0</v>
      </c>
      <c r="CZ20">
        <v>0</v>
      </c>
      <c r="DA20">
        <v>0</v>
      </c>
      <c r="DB20">
        <v>0</v>
      </c>
      <c r="DC20" s="2">
        <v>316084.12</v>
      </c>
      <c r="DD20">
        <v>0</v>
      </c>
      <c r="DE20" s="2">
        <v>320235.57</v>
      </c>
      <c r="DF20">
        <v>12</v>
      </c>
      <c r="DG20">
        <v>12</v>
      </c>
      <c r="DH20">
        <v>0</v>
      </c>
      <c r="DI20">
        <v>0</v>
      </c>
      <c r="DJ20" s="2">
        <v>636319.68999999994</v>
      </c>
      <c r="DK20">
        <v>0</v>
      </c>
      <c r="DL20">
        <v>0</v>
      </c>
      <c r="DM20" s="2">
        <v>636319.68999999994</v>
      </c>
      <c r="DN20">
        <v>0</v>
      </c>
      <c r="DO20">
        <v>0</v>
      </c>
      <c r="DP20">
        <v>0</v>
      </c>
      <c r="EK20">
        <v>0</v>
      </c>
      <c r="EL20">
        <v>0</v>
      </c>
      <c r="EM20">
        <v>0</v>
      </c>
      <c r="EN20" s="1">
        <v>13161</v>
      </c>
      <c r="EO20" s="1">
        <v>2462</v>
      </c>
      <c r="EP20" s="1">
        <v>4001</v>
      </c>
      <c r="EQ20">
        <v>28</v>
      </c>
      <c r="ER20">
        <v>0</v>
      </c>
      <c r="ES20">
        <v>0</v>
      </c>
      <c r="ET20">
        <v>0</v>
      </c>
      <c r="EU20" s="1">
        <v>15248</v>
      </c>
      <c r="EV20" s="1">
        <v>19064</v>
      </c>
      <c r="EW20">
        <v>0</v>
      </c>
      <c r="EX20">
        <v>0</v>
      </c>
      <c r="EY20" s="1">
        <v>49178</v>
      </c>
      <c r="EZ20" s="1">
        <v>49178</v>
      </c>
      <c r="FB20" s="1">
        <v>3297</v>
      </c>
      <c r="FC20">
        <v>16</v>
      </c>
      <c r="FD20" s="1">
        <v>4464</v>
      </c>
      <c r="FE20">
        <v>1.1200000000000001</v>
      </c>
      <c r="FF20" s="2">
        <v>5532.75</v>
      </c>
      <c r="FG20">
        <v>0.53</v>
      </c>
      <c r="FH20">
        <v>1.07</v>
      </c>
      <c r="FI20">
        <v>1.0900000000000001</v>
      </c>
      <c r="FJ20">
        <v>1</v>
      </c>
      <c r="FK20">
        <v>41.11</v>
      </c>
      <c r="FL20" s="2">
        <v>55115.199999999997</v>
      </c>
      <c r="FM20">
        <v>75.81</v>
      </c>
      <c r="FN20">
        <v>35.119999999999997</v>
      </c>
      <c r="FO20">
        <v>100</v>
      </c>
      <c r="FP20">
        <v>199.7</v>
      </c>
      <c r="FQ20">
        <v>57.21</v>
      </c>
      <c r="FR20">
        <v>14.7</v>
      </c>
      <c r="FS20">
        <v>35.1</v>
      </c>
      <c r="FT20">
        <v>81.739999999999995</v>
      </c>
      <c r="FU20">
        <v>13.8</v>
      </c>
      <c r="FV20">
        <v>44</v>
      </c>
      <c r="FW20" s="2">
        <v>1494.59</v>
      </c>
      <c r="FX20">
        <v>9</v>
      </c>
      <c r="FY20">
        <v>17.57</v>
      </c>
      <c r="FZ20">
        <v>145.9</v>
      </c>
      <c r="GA20">
        <v>100</v>
      </c>
      <c r="GB20">
        <v>36.67</v>
      </c>
      <c r="GC20">
        <v>33.700000000000003</v>
      </c>
      <c r="GD20">
        <v>0.53</v>
      </c>
      <c r="GE20">
        <v>89.69</v>
      </c>
      <c r="GF20">
        <v>42.78</v>
      </c>
      <c r="GG20">
        <v>-2.2799999999999998</v>
      </c>
      <c r="GH20">
        <v>50.07</v>
      </c>
      <c r="GI20">
        <v>5.56</v>
      </c>
      <c r="GJ20">
        <v>20.58</v>
      </c>
      <c r="GK20">
        <v>0</v>
      </c>
      <c r="GL20">
        <v>0</v>
      </c>
      <c r="GM20">
        <v>11.1</v>
      </c>
      <c r="GN20">
        <v>41.11</v>
      </c>
      <c r="GO20">
        <v>50.71</v>
      </c>
      <c r="GP20">
        <v>8.17</v>
      </c>
      <c r="GQ20">
        <v>0</v>
      </c>
      <c r="GR20">
        <v>77.05</v>
      </c>
      <c r="GS20">
        <v>22.94</v>
      </c>
      <c r="GT20">
        <v>0</v>
      </c>
      <c r="GU20">
        <v>93.06</v>
      </c>
      <c r="GV20">
        <v>82.14</v>
      </c>
      <c r="GW20">
        <v>0.26</v>
      </c>
      <c r="GX20">
        <v>28.69</v>
      </c>
      <c r="GY20">
        <v>36.67</v>
      </c>
      <c r="GZ20">
        <v>0.2</v>
      </c>
      <c r="HA20">
        <v>57.23</v>
      </c>
      <c r="HB20">
        <v>70.19</v>
      </c>
      <c r="HC20">
        <v>682.55</v>
      </c>
      <c r="HD20">
        <v>42.76</v>
      </c>
      <c r="HE20">
        <v>13.8</v>
      </c>
      <c r="HF20">
        <v>101</v>
      </c>
      <c r="HG20">
        <v>99.49</v>
      </c>
      <c r="HH20">
        <v>34.630000000000003</v>
      </c>
      <c r="HI20">
        <v>0</v>
      </c>
      <c r="HJ20">
        <v>0.61</v>
      </c>
      <c r="HK20">
        <v>0.2</v>
      </c>
      <c r="HL20">
        <v>0.23</v>
      </c>
      <c r="HQ20">
        <v>18.7</v>
      </c>
      <c r="HR20">
        <v>0.69</v>
      </c>
      <c r="HT20">
        <v>69.03</v>
      </c>
      <c r="HU20">
        <v>26.23</v>
      </c>
      <c r="HV20">
        <v>0</v>
      </c>
      <c r="HX20">
        <v>0.48</v>
      </c>
      <c r="HY20">
        <v>73.849999999999994</v>
      </c>
      <c r="HZ20">
        <v>204.27</v>
      </c>
      <c r="IA20" s="2">
        <v>1303.3800000000001</v>
      </c>
    </row>
    <row r="21" spans="1:235" x14ac:dyDescent="0.3">
      <c r="A21">
        <v>510760</v>
      </c>
      <c r="B21" t="s">
        <v>235</v>
      </c>
      <c r="C21" t="s">
        <v>236</v>
      </c>
      <c r="D21">
        <v>2003</v>
      </c>
      <c r="E21">
        <v>51076011</v>
      </c>
      <c r="F21" t="s">
        <v>237</v>
      </c>
      <c r="G21" t="s">
        <v>238</v>
      </c>
      <c r="H21" t="s">
        <v>239</v>
      </c>
      <c r="I21" t="s">
        <v>240</v>
      </c>
      <c r="J21" t="s">
        <v>241</v>
      </c>
      <c r="K21">
        <v>0</v>
      </c>
      <c r="L21">
        <v>0</v>
      </c>
      <c r="M21">
        <v>1</v>
      </c>
      <c r="P21">
        <v>3</v>
      </c>
      <c r="Q21">
        <v>0</v>
      </c>
      <c r="R21">
        <v>0</v>
      </c>
      <c r="S21">
        <v>0</v>
      </c>
      <c r="T21">
        <v>1</v>
      </c>
      <c r="W21" t="s">
        <v>243</v>
      </c>
      <c r="X21" t="s">
        <v>243</v>
      </c>
      <c r="Z21" s="1">
        <v>158391</v>
      </c>
      <c r="AA21" s="1">
        <v>149546</v>
      </c>
      <c r="AB21" s="1">
        <v>150000</v>
      </c>
      <c r="AC21" s="1">
        <v>150000</v>
      </c>
      <c r="AD21" s="1">
        <v>44400</v>
      </c>
      <c r="AE21" s="1">
        <v>42041</v>
      </c>
      <c r="AF21" s="1">
        <v>49821</v>
      </c>
      <c r="AG21" s="1">
        <v>47019</v>
      </c>
      <c r="AH21" s="1">
        <v>33885</v>
      </c>
      <c r="AI21" s="1">
        <v>33895</v>
      </c>
      <c r="AJ21">
        <v>422</v>
      </c>
      <c r="AK21">
        <v>402.9</v>
      </c>
      <c r="AL21" s="2">
        <v>18872.900000000001</v>
      </c>
      <c r="AM21" s="2">
        <v>8358.7999999999993</v>
      </c>
      <c r="AN21" s="2">
        <v>7002</v>
      </c>
      <c r="AO21" s="2">
        <v>8292</v>
      </c>
      <c r="AP21" s="2">
        <v>8292</v>
      </c>
      <c r="AQ21">
        <v>0</v>
      </c>
      <c r="AR21" s="1">
        <v>46357</v>
      </c>
      <c r="AS21" s="1">
        <v>43005</v>
      </c>
      <c r="AT21" s="1">
        <v>38623</v>
      </c>
      <c r="AU21" s="1">
        <v>38611</v>
      </c>
      <c r="AV21" s="2">
        <v>10514.1</v>
      </c>
      <c r="AW21">
        <v>0</v>
      </c>
      <c r="AX21">
        <v>0</v>
      </c>
      <c r="AY21">
        <v>0</v>
      </c>
      <c r="AZ21" s="2">
        <v>6237</v>
      </c>
      <c r="BA21" s="1">
        <v>47516</v>
      </c>
      <c r="BB21" s="1">
        <v>45375</v>
      </c>
      <c r="BC21" s="1">
        <v>35984</v>
      </c>
      <c r="BD21" s="1">
        <v>35032</v>
      </c>
      <c r="BE21">
        <v>0</v>
      </c>
      <c r="BF21">
        <v>0</v>
      </c>
      <c r="BG21" s="1">
        <v>150000</v>
      </c>
      <c r="BH21" s="1">
        <v>150000</v>
      </c>
      <c r="BI21">
        <v>0</v>
      </c>
      <c r="BJ21" s="2">
        <v>15664.31</v>
      </c>
      <c r="BK21" s="1">
        <v>55704</v>
      </c>
      <c r="BL21" s="1">
        <v>54916</v>
      </c>
      <c r="BM21" s="1">
        <v>12758</v>
      </c>
      <c r="BN21" s="1">
        <v>10563</v>
      </c>
      <c r="BO21" s="1">
        <v>15477</v>
      </c>
      <c r="BP21" s="1">
        <v>15209</v>
      </c>
      <c r="BQ21">
        <v>233.6</v>
      </c>
      <c r="BR21">
        <v>233.6</v>
      </c>
      <c r="BS21" s="2">
        <v>2755</v>
      </c>
      <c r="BT21" s="2">
        <v>2755</v>
      </c>
      <c r="BU21" s="2">
        <v>2755</v>
      </c>
      <c r="BV21" s="1">
        <v>13706</v>
      </c>
      <c r="BW21" s="1">
        <v>12859</v>
      </c>
      <c r="BX21" s="1">
        <v>13926</v>
      </c>
      <c r="BY21" s="1">
        <v>11203</v>
      </c>
      <c r="CD21">
        <v>0</v>
      </c>
      <c r="CE21" s="1">
        <v>55704</v>
      </c>
      <c r="CF21" s="1">
        <v>54916</v>
      </c>
      <c r="CG21" s="2">
        <v>7037.6</v>
      </c>
      <c r="CH21" s="2">
        <v>9650905.6999999993</v>
      </c>
      <c r="CI21" s="2">
        <v>7378737</v>
      </c>
      <c r="CJ21" s="2">
        <v>2272168.7000000002</v>
      </c>
      <c r="CK21">
        <v>0</v>
      </c>
      <c r="CL21" s="2">
        <v>9650905.6999999993</v>
      </c>
      <c r="CM21" s="2">
        <v>9978284.3900000006</v>
      </c>
      <c r="CN21">
        <v>0</v>
      </c>
      <c r="CO21" s="2">
        <v>3664185.54</v>
      </c>
      <c r="CP21" s="2">
        <v>2099986.2000000002</v>
      </c>
      <c r="CQ21" s="2">
        <v>344719.72</v>
      </c>
      <c r="CR21" s="2">
        <v>368197.18</v>
      </c>
      <c r="CS21" s="2">
        <v>2676368.91</v>
      </c>
      <c r="CT21" s="2">
        <v>1687728.12</v>
      </c>
      <c r="CU21" s="2">
        <v>5077013.93</v>
      </c>
      <c r="CV21">
        <v>0</v>
      </c>
      <c r="CW21" s="2">
        <v>5077013.93</v>
      </c>
      <c r="CX21">
        <v>0</v>
      </c>
      <c r="CY21">
        <v>0</v>
      </c>
      <c r="CZ21">
        <v>0</v>
      </c>
      <c r="DA21">
        <v>0</v>
      </c>
      <c r="DB21">
        <v>0</v>
      </c>
      <c r="DC21" s="2">
        <v>285398.15999999997</v>
      </c>
      <c r="DD21">
        <v>0</v>
      </c>
      <c r="DE21" s="2">
        <v>147803.29</v>
      </c>
      <c r="DF21">
        <v>12</v>
      </c>
      <c r="DG21">
        <v>12</v>
      </c>
      <c r="DH21">
        <v>0</v>
      </c>
      <c r="DI21">
        <v>0</v>
      </c>
      <c r="DJ21" s="2">
        <v>433201.45</v>
      </c>
      <c r="DK21">
        <v>0</v>
      </c>
      <c r="DL21">
        <v>0</v>
      </c>
      <c r="DM21" s="2">
        <v>433201.45</v>
      </c>
      <c r="DN21">
        <v>0</v>
      </c>
      <c r="DO21">
        <v>0</v>
      </c>
      <c r="DP21">
        <v>0</v>
      </c>
      <c r="EK21">
        <v>0</v>
      </c>
      <c r="EL21">
        <v>0</v>
      </c>
      <c r="EM21">
        <v>0</v>
      </c>
      <c r="EN21" s="1">
        <v>1568</v>
      </c>
      <c r="EO21">
        <v>624</v>
      </c>
      <c r="EP21" s="1">
        <v>1568</v>
      </c>
      <c r="EQ21">
        <v>8</v>
      </c>
      <c r="ER21">
        <v>0</v>
      </c>
      <c r="ES21">
        <v>0</v>
      </c>
      <c r="ET21">
        <v>0</v>
      </c>
      <c r="EU21">
        <v>612</v>
      </c>
      <c r="EV21" s="1">
        <v>1380</v>
      </c>
      <c r="EW21">
        <v>0</v>
      </c>
      <c r="EX21">
        <v>0</v>
      </c>
      <c r="EY21">
        <v>0</v>
      </c>
      <c r="EZ21">
        <v>0</v>
      </c>
      <c r="FA21">
        <v>0</v>
      </c>
      <c r="FB21" s="1">
        <v>1568</v>
      </c>
      <c r="FC21">
        <v>7</v>
      </c>
      <c r="FD21" s="1">
        <v>1380</v>
      </c>
      <c r="FE21">
        <v>1.1200000000000001</v>
      </c>
      <c r="FF21" s="2">
        <v>5313.58</v>
      </c>
      <c r="FG21">
        <v>0.45</v>
      </c>
      <c r="FH21">
        <v>0.87</v>
      </c>
      <c r="FI21">
        <v>0.88</v>
      </c>
      <c r="FJ21">
        <v>0.82</v>
      </c>
      <c r="FK21">
        <v>40.03</v>
      </c>
      <c r="FL21" s="2">
        <v>28726.639999999999</v>
      </c>
      <c r="FM21">
        <v>78.41</v>
      </c>
      <c r="FN21">
        <v>37.1</v>
      </c>
      <c r="FO21">
        <v>0</v>
      </c>
      <c r="FP21">
        <v>190.09</v>
      </c>
      <c r="FQ21">
        <v>56.06</v>
      </c>
      <c r="FR21">
        <v>15.1</v>
      </c>
      <c r="FS21">
        <v>33.22</v>
      </c>
      <c r="FT21">
        <v>100</v>
      </c>
      <c r="FU21">
        <v>14.3</v>
      </c>
      <c r="FV21">
        <v>71</v>
      </c>
      <c r="FW21">
        <v>901.22</v>
      </c>
      <c r="FX21">
        <v>8.9</v>
      </c>
      <c r="FY21">
        <v>18.59</v>
      </c>
      <c r="FZ21">
        <v>151.5</v>
      </c>
      <c r="GA21">
        <v>100</v>
      </c>
      <c r="GB21">
        <v>37.24</v>
      </c>
      <c r="GC21">
        <v>32.5</v>
      </c>
      <c r="GD21">
        <v>0.45</v>
      </c>
      <c r="GE21">
        <v>79.62</v>
      </c>
      <c r="GF21">
        <v>43.93</v>
      </c>
      <c r="GG21">
        <v>-3.39</v>
      </c>
      <c r="GH21">
        <v>52.6</v>
      </c>
      <c r="GI21">
        <v>3.57</v>
      </c>
      <c r="GJ21">
        <v>21.05</v>
      </c>
      <c r="GK21">
        <v>0</v>
      </c>
      <c r="GL21">
        <v>0</v>
      </c>
      <c r="GM21">
        <v>6.78</v>
      </c>
      <c r="GN21">
        <v>40.03</v>
      </c>
      <c r="GO21">
        <v>52.71</v>
      </c>
      <c r="GP21">
        <v>7.25</v>
      </c>
      <c r="GQ21">
        <v>0</v>
      </c>
      <c r="GR21">
        <v>76.45</v>
      </c>
      <c r="GS21">
        <v>23.54</v>
      </c>
      <c r="GT21">
        <v>0</v>
      </c>
      <c r="GU21">
        <v>92.27</v>
      </c>
      <c r="GV21">
        <v>84.44</v>
      </c>
      <c r="GW21">
        <v>0.27</v>
      </c>
      <c r="GX21">
        <v>33.22</v>
      </c>
      <c r="GY21">
        <v>37.24</v>
      </c>
      <c r="GZ21">
        <v>0.21</v>
      </c>
      <c r="HA21">
        <v>56.06</v>
      </c>
      <c r="HB21">
        <v>70.28</v>
      </c>
      <c r="HC21">
        <v>670.71</v>
      </c>
      <c r="HD21">
        <v>43.93</v>
      </c>
      <c r="HE21">
        <v>14.3</v>
      </c>
      <c r="HF21">
        <v>137</v>
      </c>
      <c r="HG21">
        <v>94.7</v>
      </c>
      <c r="HH21">
        <v>35.159999999999997</v>
      </c>
      <c r="HI21">
        <v>0</v>
      </c>
      <c r="HJ21">
        <v>0.82</v>
      </c>
      <c r="HK21">
        <v>2.5499999999999998</v>
      </c>
      <c r="HL21">
        <v>0.11</v>
      </c>
      <c r="HQ21">
        <v>39.79</v>
      </c>
      <c r="HR21">
        <v>0.51</v>
      </c>
      <c r="HT21">
        <v>113.62</v>
      </c>
      <c r="HU21">
        <v>256.2</v>
      </c>
      <c r="HV21">
        <v>0</v>
      </c>
      <c r="HX21">
        <v>0.44</v>
      </c>
      <c r="HY21">
        <v>113.62</v>
      </c>
      <c r="HZ21">
        <v>196.53</v>
      </c>
      <c r="IA21">
        <v>775.68</v>
      </c>
    </row>
    <row r="22" spans="1:235" x14ac:dyDescent="0.3">
      <c r="A22">
        <v>510760</v>
      </c>
      <c r="B22" t="s">
        <v>235</v>
      </c>
      <c r="C22" t="s">
        <v>236</v>
      </c>
      <c r="D22">
        <v>2002</v>
      </c>
      <c r="E22">
        <v>51076011</v>
      </c>
      <c r="F22" t="s">
        <v>237</v>
      </c>
      <c r="G22" t="s">
        <v>238</v>
      </c>
      <c r="H22" t="s">
        <v>239</v>
      </c>
      <c r="I22" t="s">
        <v>240</v>
      </c>
      <c r="J22" t="s">
        <v>241</v>
      </c>
      <c r="K22">
        <v>0</v>
      </c>
      <c r="L22">
        <v>0</v>
      </c>
      <c r="M22">
        <v>1</v>
      </c>
      <c r="P22">
        <v>3</v>
      </c>
      <c r="Q22">
        <v>0</v>
      </c>
      <c r="R22">
        <v>0</v>
      </c>
      <c r="S22">
        <v>0</v>
      </c>
      <c r="T22">
        <v>1</v>
      </c>
      <c r="W22" t="s">
        <v>243</v>
      </c>
      <c r="X22" t="s">
        <v>243</v>
      </c>
      <c r="Z22" s="1">
        <v>155803</v>
      </c>
      <c r="AA22" s="1">
        <v>147103</v>
      </c>
      <c r="AB22" s="1">
        <v>150000</v>
      </c>
      <c r="AC22" s="1">
        <v>150000</v>
      </c>
      <c r="AD22" s="1">
        <v>42041</v>
      </c>
      <c r="AE22" s="1">
        <v>39334</v>
      </c>
      <c r="AF22" s="1">
        <v>47019</v>
      </c>
      <c r="AG22" s="1">
        <v>44746</v>
      </c>
      <c r="AH22" s="1">
        <v>33895</v>
      </c>
      <c r="AI22" s="1">
        <v>22620</v>
      </c>
      <c r="AJ22">
        <v>402.9</v>
      </c>
      <c r="AK22">
        <v>402.6</v>
      </c>
      <c r="AL22" s="2">
        <v>19206.8</v>
      </c>
      <c r="AM22" s="2">
        <v>8953.4</v>
      </c>
      <c r="AN22" s="2">
        <v>5893.1</v>
      </c>
      <c r="AO22" s="2">
        <v>7674</v>
      </c>
      <c r="AP22" s="2">
        <v>8103</v>
      </c>
      <c r="AQ22">
        <v>0</v>
      </c>
      <c r="AR22" s="1">
        <v>43005</v>
      </c>
      <c r="AS22" s="1">
        <v>40950</v>
      </c>
      <c r="AT22" s="1">
        <v>38611</v>
      </c>
      <c r="AU22" s="1">
        <v>26897</v>
      </c>
      <c r="AV22" s="2">
        <v>10253.4</v>
      </c>
      <c r="AW22">
        <v>0</v>
      </c>
      <c r="AX22">
        <v>0</v>
      </c>
      <c r="AY22">
        <v>0</v>
      </c>
      <c r="AZ22" s="2">
        <v>5166.6000000000004</v>
      </c>
      <c r="BA22" s="1">
        <v>45375</v>
      </c>
      <c r="BB22" s="1">
        <v>43523</v>
      </c>
      <c r="BC22" s="1">
        <v>35032</v>
      </c>
      <c r="BD22" s="1">
        <v>24921</v>
      </c>
      <c r="BE22">
        <v>0</v>
      </c>
      <c r="BG22" s="1">
        <v>150000</v>
      </c>
      <c r="BH22" s="1">
        <v>150000</v>
      </c>
      <c r="BK22" s="1">
        <v>54916</v>
      </c>
      <c r="BL22" s="1">
        <v>48364</v>
      </c>
      <c r="BM22" s="1">
        <v>10563</v>
      </c>
      <c r="BN22" s="1">
        <v>12035</v>
      </c>
      <c r="BO22" s="1">
        <v>15209</v>
      </c>
      <c r="BP22" s="1">
        <v>14825</v>
      </c>
      <c r="BQ22">
        <v>233.6</v>
      </c>
      <c r="BR22">
        <v>233.6</v>
      </c>
      <c r="BS22" s="2">
        <v>2823.5</v>
      </c>
      <c r="BT22" s="2">
        <v>2823.5</v>
      </c>
      <c r="BU22" s="2">
        <v>2823.5</v>
      </c>
      <c r="BV22" s="1">
        <v>12859</v>
      </c>
      <c r="BW22" s="1">
        <v>12416</v>
      </c>
      <c r="BX22" s="1">
        <v>11203</v>
      </c>
      <c r="BY22" s="1">
        <v>13213</v>
      </c>
      <c r="CE22" s="1">
        <v>54916</v>
      </c>
      <c r="CF22" s="1">
        <v>48364</v>
      </c>
      <c r="CH22" s="2">
        <v>9362583.2799999993</v>
      </c>
      <c r="CI22" s="2">
        <v>7266114.1299999999</v>
      </c>
      <c r="CJ22" s="2">
        <v>2096469.15</v>
      </c>
      <c r="CK22">
        <v>0</v>
      </c>
      <c r="CL22" s="2">
        <v>9362583.2799999993</v>
      </c>
      <c r="CM22" s="2">
        <v>9958579.7599999998</v>
      </c>
      <c r="CN22">
        <v>0</v>
      </c>
      <c r="CO22" s="2">
        <v>2099986.2000000002</v>
      </c>
      <c r="CP22">
        <v>0</v>
      </c>
      <c r="CQ22" s="2">
        <v>307801.86</v>
      </c>
      <c r="CR22" s="2">
        <v>300138.53999999998</v>
      </c>
      <c r="CS22" s="2">
        <v>2212031.09</v>
      </c>
      <c r="CT22" s="2">
        <v>1630133.39</v>
      </c>
      <c r="CU22" s="2">
        <v>4450109.88</v>
      </c>
      <c r="CV22">
        <v>0</v>
      </c>
      <c r="CW22" s="2">
        <v>4450109.88</v>
      </c>
      <c r="CX22">
        <v>0</v>
      </c>
      <c r="CY22">
        <v>0</v>
      </c>
      <c r="CZ22">
        <v>0</v>
      </c>
      <c r="DA22">
        <v>0</v>
      </c>
      <c r="DB22">
        <v>0</v>
      </c>
      <c r="DC22" s="2">
        <v>229693.05</v>
      </c>
      <c r="DD22">
        <v>0</v>
      </c>
      <c r="DE22" s="2">
        <v>124014.91</v>
      </c>
      <c r="DF22">
        <v>12</v>
      </c>
      <c r="DG22">
        <v>18</v>
      </c>
      <c r="DH22">
        <v>5</v>
      </c>
      <c r="DI22">
        <v>0</v>
      </c>
      <c r="DJ22" s="2">
        <v>353014.91</v>
      </c>
      <c r="DK22">
        <v>0</v>
      </c>
      <c r="DL22">
        <v>0</v>
      </c>
      <c r="DM22" s="2">
        <v>353014.91</v>
      </c>
      <c r="DN22">
        <v>0</v>
      </c>
      <c r="DO22">
        <v>0</v>
      </c>
      <c r="DP22">
        <v>0</v>
      </c>
      <c r="EN22" s="1">
        <v>1330</v>
      </c>
      <c r="EO22">
        <v>110</v>
      </c>
      <c r="EP22" s="1">
        <v>1330</v>
      </c>
      <c r="EQ22">
        <v>27</v>
      </c>
      <c r="EU22" s="1">
        <v>1095</v>
      </c>
      <c r="EV22" s="1">
        <v>1140</v>
      </c>
      <c r="EY22" s="1">
        <v>45485</v>
      </c>
      <c r="EZ22" s="1">
        <v>45485</v>
      </c>
      <c r="FE22">
        <v>1.1200000000000001</v>
      </c>
      <c r="FF22" s="2">
        <v>4059.96</v>
      </c>
      <c r="FG22">
        <v>0.4</v>
      </c>
      <c r="FH22">
        <v>0.85</v>
      </c>
      <c r="FI22">
        <v>0.89</v>
      </c>
      <c r="FJ22">
        <v>0.74</v>
      </c>
      <c r="FK22">
        <v>43.54</v>
      </c>
      <c r="FL22" s="2">
        <v>20520.12</v>
      </c>
      <c r="FM22">
        <v>69.45</v>
      </c>
      <c r="FN22">
        <v>30.68</v>
      </c>
      <c r="FO22">
        <v>0</v>
      </c>
      <c r="FP22">
        <v>210.38</v>
      </c>
      <c r="FQ22">
        <v>57.81</v>
      </c>
      <c r="FR22">
        <v>15</v>
      </c>
      <c r="FS22">
        <v>36.79</v>
      </c>
      <c r="FT22">
        <v>100</v>
      </c>
      <c r="FU22">
        <v>14.7</v>
      </c>
      <c r="FV22">
        <v>94</v>
      </c>
      <c r="FW22">
        <v>644.84</v>
      </c>
      <c r="FX22">
        <v>9.1</v>
      </c>
      <c r="FY22">
        <v>19.13</v>
      </c>
      <c r="FZ22">
        <v>140.19999999999999</v>
      </c>
      <c r="GA22">
        <v>99.8</v>
      </c>
      <c r="GB22">
        <v>36.549999999999997</v>
      </c>
      <c r="GC22">
        <v>34.9</v>
      </c>
      <c r="GD22">
        <v>0.4</v>
      </c>
      <c r="GE22">
        <v>73.069999999999993</v>
      </c>
      <c r="GF22">
        <v>42.18</v>
      </c>
      <c r="GG22">
        <v>-6.36</v>
      </c>
      <c r="GH22">
        <v>47.53</v>
      </c>
      <c r="GI22">
        <v>3.28</v>
      </c>
      <c r="GJ22">
        <v>20.69</v>
      </c>
      <c r="GK22">
        <v>0</v>
      </c>
      <c r="GL22">
        <v>0</v>
      </c>
      <c r="GM22">
        <v>6.91</v>
      </c>
      <c r="GN22">
        <v>43.54</v>
      </c>
      <c r="GO22">
        <v>49.7</v>
      </c>
      <c r="GP22">
        <v>6.74</v>
      </c>
      <c r="GQ22">
        <v>0</v>
      </c>
      <c r="GR22">
        <v>77.599999999999994</v>
      </c>
      <c r="GS22">
        <v>22.39</v>
      </c>
      <c r="GT22">
        <v>0</v>
      </c>
      <c r="GU22">
        <v>91.48</v>
      </c>
      <c r="GV22">
        <v>76.790000000000006</v>
      </c>
      <c r="GW22">
        <v>0.36</v>
      </c>
      <c r="GX22">
        <v>36.79</v>
      </c>
      <c r="GY22">
        <v>36.549999999999997</v>
      </c>
      <c r="GZ22">
        <v>0.28000000000000003</v>
      </c>
      <c r="HA22">
        <v>60.04</v>
      </c>
      <c r="HB22">
        <v>78.45</v>
      </c>
      <c r="HC22">
        <v>776.57</v>
      </c>
      <c r="HD22">
        <v>39.950000000000003</v>
      </c>
      <c r="HE22">
        <v>13.9</v>
      </c>
      <c r="HF22">
        <v>81</v>
      </c>
      <c r="HG22">
        <v>96.27</v>
      </c>
      <c r="HH22">
        <v>35.24</v>
      </c>
      <c r="HQ22">
        <v>8.27</v>
      </c>
      <c r="HR22">
        <v>2.0299999999999998</v>
      </c>
      <c r="HT22">
        <v>116.66</v>
      </c>
      <c r="HU22">
        <v>121.46</v>
      </c>
    </row>
    <row r="23" spans="1:235" x14ac:dyDescent="0.3">
      <c r="A23">
        <v>510760</v>
      </c>
      <c r="B23" t="s">
        <v>235</v>
      </c>
      <c r="C23" t="s">
        <v>236</v>
      </c>
      <c r="D23">
        <v>2001</v>
      </c>
      <c r="E23">
        <v>51076011</v>
      </c>
      <c r="F23" t="s">
        <v>237</v>
      </c>
      <c r="G23" t="s">
        <v>238</v>
      </c>
      <c r="H23" t="s">
        <v>239</v>
      </c>
      <c r="I23" t="s">
        <v>240</v>
      </c>
      <c r="J23" t="s">
        <v>241</v>
      </c>
      <c r="K23">
        <v>0</v>
      </c>
      <c r="L23">
        <v>0</v>
      </c>
      <c r="M23">
        <v>1</v>
      </c>
      <c r="P23">
        <v>3</v>
      </c>
      <c r="Q23">
        <v>0</v>
      </c>
      <c r="R23">
        <v>0</v>
      </c>
      <c r="S23">
        <v>0</v>
      </c>
      <c r="T23">
        <v>1</v>
      </c>
      <c r="W23" t="s">
        <v>243</v>
      </c>
      <c r="X23" t="s">
        <v>243</v>
      </c>
      <c r="Z23" s="1">
        <v>153281</v>
      </c>
      <c r="AA23" s="1">
        <v>144721</v>
      </c>
      <c r="AB23" s="1">
        <v>150000</v>
      </c>
      <c r="AC23" s="1">
        <v>145600</v>
      </c>
      <c r="AD23" s="1">
        <v>39334</v>
      </c>
      <c r="AE23" s="1">
        <v>37702</v>
      </c>
      <c r="AF23" s="1">
        <v>44746</v>
      </c>
      <c r="AG23" s="1">
        <v>41319</v>
      </c>
      <c r="AH23" s="1">
        <v>22620</v>
      </c>
      <c r="AI23" s="1">
        <v>22390</v>
      </c>
      <c r="AJ23">
        <v>402.6</v>
      </c>
      <c r="AK23">
        <v>412.29</v>
      </c>
      <c r="AL23" s="2">
        <v>19031.05</v>
      </c>
      <c r="AM23" s="2">
        <v>8804.0400000000009</v>
      </c>
      <c r="AN23" s="2">
        <v>3979.05</v>
      </c>
      <c r="AO23" s="2">
        <v>6701.41</v>
      </c>
      <c r="AP23" s="2">
        <v>7435.85</v>
      </c>
      <c r="AQ23">
        <v>0</v>
      </c>
      <c r="AR23" s="1">
        <v>40950</v>
      </c>
      <c r="AS23" s="1">
        <v>37949</v>
      </c>
      <c r="AT23" s="1">
        <v>26897</v>
      </c>
      <c r="AU23" s="1">
        <v>25367</v>
      </c>
      <c r="AV23" s="2">
        <v>10226.209999999999</v>
      </c>
      <c r="AW23">
        <v>0</v>
      </c>
      <c r="AX23">
        <v>0</v>
      </c>
      <c r="AY23">
        <v>0</v>
      </c>
      <c r="AZ23" s="2">
        <v>3520.43</v>
      </c>
      <c r="BA23" s="1">
        <v>43523</v>
      </c>
      <c r="BB23" s="1">
        <v>41202</v>
      </c>
      <c r="BC23" s="1">
        <v>24921</v>
      </c>
      <c r="BD23" s="1">
        <v>22739</v>
      </c>
      <c r="BE23">
        <v>0</v>
      </c>
      <c r="BG23" s="1">
        <v>150000</v>
      </c>
      <c r="BK23" s="1">
        <v>48364</v>
      </c>
      <c r="BL23" s="1">
        <v>43600</v>
      </c>
      <c r="BM23" s="1">
        <v>12035</v>
      </c>
      <c r="BN23" s="1">
        <v>11211</v>
      </c>
      <c r="BO23" s="1">
        <v>14825</v>
      </c>
      <c r="BP23" s="1">
        <v>13023</v>
      </c>
      <c r="BQ23">
        <v>233.6</v>
      </c>
      <c r="BR23">
        <v>218.6</v>
      </c>
      <c r="BS23" s="2">
        <v>2532</v>
      </c>
      <c r="BT23" s="2">
        <v>2420</v>
      </c>
      <c r="BU23" s="2">
        <v>2660</v>
      </c>
      <c r="BV23" s="1">
        <v>12416</v>
      </c>
      <c r="BW23" s="1">
        <v>10897</v>
      </c>
      <c r="BX23" s="1">
        <v>13213</v>
      </c>
      <c r="BY23" s="1">
        <v>12366</v>
      </c>
      <c r="CE23" s="1">
        <v>48364</v>
      </c>
      <c r="CH23" s="2">
        <v>7942083.6600000001</v>
      </c>
      <c r="CI23" s="2">
        <v>6031316.9299999997</v>
      </c>
      <c r="CJ23" s="2">
        <v>1910766.73</v>
      </c>
      <c r="CK23" s="2">
        <v>514960.81</v>
      </c>
      <c r="CL23" s="2">
        <v>8457044.4700000007</v>
      </c>
      <c r="CM23" s="2">
        <v>7486163.2000000002</v>
      </c>
      <c r="CN23">
        <v>0</v>
      </c>
      <c r="CO23">
        <v>0</v>
      </c>
      <c r="CQ23" s="2">
        <v>298430.24</v>
      </c>
      <c r="CR23" s="2">
        <v>126218.7</v>
      </c>
      <c r="CS23" s="2">
        <v>2108247.5699999998</v>
      </c>
      <c r="CT23" s="2">
        <v>1884966.6</v>
      </c>
      <c r="CU23" s="2">
        <v>4417863.1100000003</v>
      </c>
      <c r="CV23">
        <v>0</v>
      </c>
      <c r="CW23" s="2">
        <v>4417863.1100000003</v>
      </c>
      <c r="CX23">
        <v>0</v>
      </c>
      <c r="CY23">
        <v>0</v>
      </c>
      <c r="CZ23">
        <v>0</v>
      </c>
      <c r="DA23">
        <v>0</v>
      </c>
      <c r="DB23">
        <v>0</v>
      </c>
      <c r="DC23" s="2">
        <v>215757.32</v>
      </c>
      <c r="DD23">
        <v>0</v>
      </c>
      <c r="DE23" s="2">
        <v>95823.73</v>
      </c>
      <c r="DF23">
        <v>18</v>
      </c>
      <c r="DG23">
        <v>12</v>
      </c>
      <c r="DH23">
        <v>0</v>
      </c>
      <c r="DI23">
        <v>0</v>
      </c>
      <c r="DJ23" s="2">
        <v>311581.05</v>
      </c>
      <c r="DK23">
        <v>0</v>
      </c>
      <c r="DL23">
        <v>0</v>
      </c>
      <c r="DM23" s="2">
        <v>311581.05</v>
      </c>
      <c r="DN23">
        <v>0</v>
      </c>
      <c r="EN23" s="1">
        <v>1624</v>
      </c>
      <c r="EO23">
        <v>41</v>
      </c>
      <c r="EP23" s="1">
        <v>1624</v>
      </c>
      <c r="EQ23">
        <v>9</v>
      </c>
      <c r="EU23" s="1">
        <v>1095</v>
      </c>
      <c r="EV23" s="1">
        <v>1152</v>
      </c>
      <c r="FE23">
        <v>1.1100000000000001</v>
      </c>
      <c r="FF23" s="2">
        <v>3797.1</v>
      </c>
      <c r="FG23">
        <v>0.43</v>
      </c>
      <c r="FH23">
        <v>0.78</v>
      </c>
      <c r="FI23">
        <v>0.81</v>
      </c>
      <c r="FJ23">
        <v>0.71</v>
      </c>
      <c r="FK23">
        <v>49.42</v>
      </c>
      <c r="FL23" s="2">
        <v>19895.349999999999</v>
      </c>
      <c r="FM23">
        <v>58.42</v>
      </c>
      <c r="FN23">
        <v>20.9</v>
      </c>
      <c r="FO23">
        <v>0</v>
      </c>
      <c r="FP23">
        <v>179.77</v>
      </c>
      <c r="FQ23">
        <v>60.92</v>
      </c>
      <c r="FR23">
        <v>12.7</v>
      </c>
      <c r="FS23">
        <v>37.78</v>
      </c>
      <c r="FT23">
        <v>95.57</v>
      </c>
      <c r="FU23">
        <v>14.4</v>
      </c>
      <c r="FV23">
        <v>110</v>
      </c>
      <c r="FW23">
        <v>518.99</v>
      </c>
      <c r="FX23">
        <v>9.6</v>
      </c>
      <c r="FY23">
        <v>17.670000000000002</v>
      </c>
      <c r="FZ23">
        <v>124.2</v>
      </c>
      <c r="GA23">
        <v>100</v>
      </c>
      <c r="GB23">
        <v>32.24</v>
      </c>
      <c r="GC23">
        <v>36.9</v>
      </c>
      <c r="GD23">
        <v>0.43</v>
      </c>
      <c r="GE23">
        <v>77.56</v>
      </c>
      <c r="GF23">
        <v>39.07</v>
      </c>
      <c r="GG23">
        <v>11.48</v>
      </c>
      <c r="GH23">
        <v>55.62</v>
      </c>
      <c r="GI23">
        <v>3.75</v>
      </c>
      <c r="GJ23">
        <v>27.49</v>
      </c>
      <c r="GK23">
        <v>0</v>
      </c>
      <c r="GL23">
        <v>0</v>
      </c>
      <c r="GM23">
        <v>6.75</v>
      </c>
      <c r="GN23">
        <v>49.42</v>
      </c>
      <c r="GO23">
        <v>47.72</v>
      </c>
      <c r="GP23">
        <v>2.85</v>
      </c>
      <c r="GQ23">
        <v>0</v>
      </c>
      <c r="GR23">
        <v>71.31</v>
      </c>
      <c r="GS23">
        <v>22.59</v>
      </c>
      <c r="GT23">
        <v>6.08</v>
      </c>
      <c r="GU23">
        <v>91.67</v>
      </c>
      <c r="GV23">
        <v>59.37</v>
      </c>
      <c r="GW23">
        <v>0.38</v>
      </c>
      <c r="GX23">
        <v>36.11</v>
      </c>
      <c r="GY23">
        <v>32.24</v>
      </c>
      <c r="GZ23">
        <v>0.28999999999999998</v>
      </c>
      <c r="HA23">
        <v>64.78</v>
      </c>
      <c r="HB23">
        <v>82.9</v>
      </c>
      <c r="HC23">
        <v>876.98</v>
      </c>
      <c r="HD23">
        <v>35.21</v>
      </c>
      <c r="HE23">
        <v>13</v>
      </c>
      <c r="HF23">
        <v>0</v>
      </c>
      <c r="HG23">
        <v>97.85</v>
      </c>
      <c r="HH23">
        <v>31.55</v>
      </c>
      <c r="HQ23">
        <v>2.52</v>
      </c>
      <c r="HR23">
        <v>0.55000000000000004</v>
      </c>
      <c r="HT23">
        <v>140.97</v>
      </c>
      <c r="HU23">
        <v>148.31</v>
      </c>
    </row>
    <row r="24" spans="1:235" x14ac:dyDescent="0.3">
      <c r="A24">
        <v>510760</v>
      </c>
      <c r="B24" t="s">
        <v>235</v>
      </c>
      <c r="C24" t="s">
        <v>236</v>
      </c>
      <c r="D24">
        <v>2000</v>
      </c>
      <c r="E24">
        <v>51076011</v>
      </c>
      <c r="F24" t="s">
        <v>237</v>
      </c>
      <c r="G24" t="s">
        <v>238</v>
      </c>
      <c r="H24" t="s">
        <v>239</v>
      </c>
      <c r="I24" t="s">
        <v>240</v>
      </c>
      <c r="J24" t="s">
        <v>241</v>
      </c>
      <c r="K24">
        <v>0</v>
      </c>
      <c r="L24">
        <v>0</v>
      </c>
      <c r="M24">
        <v>1</v>
      </c>
      <c r="P24">
        <v>3</v>
      </c>
      <c r="Q24">
        <v>0</v>
      </c>
      <c r="R24">
        <v>0</v>
      </c>
      <c r="S24">
        <v>0</v>
      </c>
      <c r="T24">
        <v>1</v>
      </c>
      <c r="W24" t="s">
        <v>243</v>
      </c>
      <c r="X24" t="s">
        <v>243</v>
      </c>
      <c r="Z24" s="1">
        <v>150227</v>
      </c>
      <c r="AA24" s="1">
        <v>141838</v>
      </c>
      <c r="AB24" s="1">
        <v>145600</v>
      </c>
      <c r="AC24" s="1">
        <v>148192</v>
      </c>
      <c r="AD24" s="1">
        <v>37702</v>
      </c>
      <c r="AE24" s="1">
        <v>37048</v>
      </c>
      <c r="AF24" s="1">
        <v>41319</v>
      </c>
      <c r="AG24" s="1">
        <v>43811</v>
      </c>
      <c r="AH24" s="1">
        <v>22390</v>
      </c>
      <c r="AI24" s="1">
        <v>22657</v>
      </c>
      <c r="AJ24">
        <v>412.29</v>
      </c>
      <c r="AK24">
        <v>405.82</v>
      </c>
      <c r="AL24" s="2">
        <v>15756.2</v>
      </c>
      <c r="AM24" s="2">
        <v>8360</v>
      </c>
      <c r="AN24" s="2">
        <v>3998.19</v>
      </c>
      <c r="AO24" s="2">
        <v>6684.79</v>
      </c>
      <c r="AP24" s="2">
        <v>7497.79</v>
      </c>
      <c r="AR24" s="1">
        <v>37949</v>
      </c>
      <c r="AS24" s="1">
        <v>37786</v>
      </c>
      <c r="AT24" s="1">
        <v>25367</v>
      </c>
      <c r="AU24" s="1">
        <v>25632</v>
      </c>
      <c r="AV24" s="2">
        <v>7396.2</v>
      </c>
      <c r="AW24">
        <v>0</v>
      </c>
      <c r="AX24">
        <v>0</v>
      </c>
      <c r="AY24">
        <v>0</v>
      </c>
      <c r="AZ24" s="2">
        <v>3444.1</v>
      </c>
      <c r="BA24" s="1">
        <v>41202</v>
      </c>
      <c r="BB24" s="1">
        <v>40339</v>
      </c>
      <c r="BC24" s="1">
        <v>22739</v>
      </c>
      <c r="BD24" s="1">
        <v>23512</v>
      </c>
      <c r="BE24">
        <v>0</v>
      </c>
      <c r="BK24" s="1">
        <v>43600</v>
      </c>
      <c r="BL24" s="1">
        <v>35944</v>
      </c>
      <c r="BM24" s="1">
        <v>11211</v>
      </c>
      <c r="BN24" s="1">
        <v>8295</v>
      </c>
      <c r="BO24" s="1">
        <v>13023</v>
      </c>
      <c r="BP24" s="1">
        <v>9826</v>
      </c>
      <c r="BQ24">
        <v>218.6</v>
      </c>
      <c r="BR24">
        <v>198.15</v>
      </c>
      <c r="BS24" s="2">
        <v>3490</v>
      </c>
      <c r="BT24" s="2">
        <v>3280</v>
      </c>
      <c r="BU24" s="2">
        <v>2079.89</v>
      </c>
      <c r="BV24" s="1">
        <v>10897</v>
      </c>
      <c r="BW24" s="1">
        <v>8406</v>
      </c>
      <c r="BX24" s="1">
        <v>12366</v>
      </c>
      <c r="BY24" s="1">
        <v>8986</v>
      </c>
      <c r="CH24" s="2">
        <v>4013737.25</v>
      </c>
      <c r="CI24" s="2">
        <v>3191945.68</v>
      </c>
      <c r="CJ24" s="2">
        <v>821791.57</v>
      </c>
      <c r="CK24" s="2">
        <v>274375.95</v>
      </c>
      <c r="CL24" s="2">
        <v>4288113.2</v>
      </c>
      <c r="CM24" s="2">
        <v>4288113.2</v>
      </c>
      <c r="CN24">
        <v>0</v>
      </c>
      <c r="CP24" s="2">
        <v>353270.63</v>
      </c>
      <c r="CQ24" s="2">
        <v>152073.60999999999</v>
      </c>
      <c r="CR24" s="2">
        <v>98458.4</v>
      </c>
      <c r="CS24" s="2">
        <v>1423552.26</v>
      </c>
      <c r="CT24" s="2">
        <v>1424046.23</v>
      </c>
      <c r="CU24" s="2">
        <v>3358104.6</v>
      </c>
      <c r="CW24" s="2">
        <v>4306267.25</v>
      </c>
      <c r="CZ24">
        <v>0</v>
      </c>
      <c r="DC24" s="2">
        <v>23431.72</v>
      </c>
      <c r="DD24" s="2">
        <v>134950.39000000001</v>
      </c>
      <c r="DE24" s="2">
        <v>145045.26</v>
      </c>
      <c r="DF24">
        <v>12</v>
      </c>
      <c r="DG24">
        <v>125</v>
      </c>
      <c r="DH24" s="2">
        <v>259974.1</v>
      </c>
      <c r="DJ24" s="2">
        <v>303427.37</v>
      </c>
      <c r="DK24">
        <v>0</v>
      </c>
      <c r="DL24">
        <v>0</v>
      </c>
      <c r="EN24" s="1">
        <v>1590</v>
      </c>
      <c r="EO24">
        <v>289</v>
      </c>
      <c r="EP24" s="1">
        <v>1590</v>
      </c>
      <c r="EQ24">
        <v>4</v>
      </c>
      <c r="EU24" s="1">
        <v>1080</v>
      </c>
      <c r="EV24" s="1">
        <v>1140</v>
      </c>
      <c r="FE24">
        <v>1.1299999999999999</v>
      </c>
      <c r="FF24">
        <v>788.16</v>
      </c>
      <c r="FG24">
        <v>0.44</v>
      </c>
      <c r="FH24">
        <v>0.41</v>
      </c>
      <c r="FI24">
        <v>0.42</v>
      </c>
      <c r="FJ24">
        <v>0.39</v>
      </c>
      <c r="FK24">
        <v>36.6</v>
      </c>
      <c r="FL24" s="2">
        <v>2220.0500000000002</v>
      </c>
      <c r="FM24">
        <v>60.26</v>
      </c>
      <c r="FN24">
        <v>25.37</v>
      </c>
      <c r="FP24">
        <v>93.2</v>
      </c>
      <c r="FQ24">
        <v>52.41</v>
      </c>
      <c r="FR24">
        <v>13.1</v>
      </c>
      <c r="FS24">
        <v>52.2</v>
      </c>
      <c r="FT24">
        <v>93.98</v>
      </c>
      <c r="FU24">
        <v>14.7</v>
      </c>
      <c r="FV24">
        <v>710</v>
      </c>
      <c r="FW24">
        <v>76.040000000000006</v>
      </c>
      <c r="FX24">
        <v>10</v>
      </c>
      <c r="FY24">
        <v>19.510000000000002</v>
      </c>
      <c r="FZ24">
        <v>124.7</v>
      </c>
      <c r="GA24">
        <v>100</v>
      </c>
      <c r="GB24">
        <v>30.77</v>
      </c>
      <c r="GC24">
        <v>30.8</v>
      </c>
      <c r="GD24">
        <v>0.35</v>
      </c>
      <c r="GE24">
        <v>62.19</v>
      </c>
      <c r="GF24">
        <v>47.58</v>
      </c>
      <c r="GG24">
        <v>0</v>
      </c>
      <c r="GH24">
        <v>83.66</v>
      </c>
      <c r="GI24">
        <v>3.78</v>
      </c>
      <c r="GJ24">
        <v>39.26</v>
      </c>
      <c r="GM24">
        <v>4.5199999999999996</v>
      </c>
      <c r="GN24">
        <v>46.93</v>
      </c>
      <c r="GO24">
        <v>42.39</v>
      </c>
      <c r="GP24">
        <v>2.93</v>
      </c>
      <c r="GR24">
        <v>74.430000000000007</v>
      </c>
      <c r="GS24">
        <v>19.16</v>
      </c>
      <c r="GT24">
        <v>6.39</v>
      </c>
      <c r="GU24">
        <v>88.96</v>
      </c>
      <c r="GV24">
        <v>59.81</v>
      </c>
      <c r="GW24">
        <v>1.83</v>
      </c>
      <c r="GX24">
        <v>49.06</v>
      </c>
      <c r="GY24">
        <v>30.77</v>
      </c>
      <c r="GZ24">
        <v>1.45</v>
      </c>
      <c r="HA24">
        <v>57.57</v>
      </c>
      <c r="HB24">
        <v>60.75</v>
      </c>
      <c r="HC24">
        <v>664.96</v>
      </c>
      <c r="HD24">
        <v>42.42</v>
      </c>
      <c r="HE24">
        <v>13.1</v>
      </c>
      <c r="HQ24">
        <v>18.170000000000002</v>
      </c>
      <c r="HR24">
        <v>0.25</v>
      </c>
      <c r="HT24">
        <v>139.47</v>
      </c>
      <c r="HU24">
        <v>147.22</v>
      </c>
    </row>
    <row r="25" spans="1:235" x14ac:dyDescent="0.3">
      <c r="AB25" s="1"/>
      <c r="AC25" s="1"/>
      <c r="AD25" s="1"/>
      <c r="AE25" s="1"/>
      <c r="AF25" s="1"/>
      <c r="AG25" s="1"/>
      <c r="AH25" s="1"/>
      <c r="AI25" s="1"/>
      <c r="AJ25" s="2"/>
      <c r="AK25" s="2"/>
      <c r="AL25" s="2"/>
      <c r="AM25" s="2"/>
      <c r="AN25" s="2"/>
      <c r="AO25" s="2"/>
      <c r="AP25" s="2"/>
      <c r="AQ25" s="2"/>
      <c r="AR25" s="1"/>
      <c r="AS25" s="1"/>
      <c r="AT25" s="1"/>
      <c r="AU25" s="1"/>
      <c r="AV25" s="2"/>
      <c r="AZ25" s="2"/>
      <c r="BA25" s="1"/>
      <c r="BB25" s="1"/>
      <c r="BC25" s="1"/>
      <c r="BD25" s="1"/>
      <c r="BE25" s="2"/>
      <c r="BF25" s="1"/>
      <c r="BG25" s="1"/>
      <c r="BH25" s="1"/>
      <c r="BJ25" s="2"/>
      <c r="BK25" s="1"/>
      <c r="BL25" s="1"/>
      <c r="BM25" s="1"/>
      <c r="BN25" s="1"/>
      <c r="BO25" s="1"/>
      <c r="BP25" s="1"/>
      <c r="BQ25" s="2"/>
      <c r="BR25" s="2"/>
      <c r="BS25" s="2"/>
      <c r="BT25" s="2"/>
      <c r="BU25" s="2"/>
      <c r="BV25" s="1"/>
      <c r="BW25" s="1"/>
      <c r="BX25" s="1"/>
      <c r="BY25" s="1"/>
      <c r="CE25" s="1"/>
      <c r="CF25" s="1"/>
      <c r="CG25" s="2"/>
      <c r="CH25" s="2"/>
      <c r="CI25" s="2"/>
      <c r="CJ25" s="2"/>
      <c r="CK25" s="2"/>
      <c r="CL25" s="2"/>
      <c r="CM25" s="2"/>
      <c r="CO25" s="2"/>
      <c r="CP25" s="2"/>
      <c r="CQ25" s="2"/>
      <c r="CR25" s="2"/>
      <c r="CS25" s="2"/>
      <c r="CT25" s="2"/>
      <c r="CU25" s="2"/>
      <c r="CW25" s="2"/>
      <c r="CX25" s="2"/>
      <c r="CY25" s="2"/>
      <c r="DA25" s="2"/>
      <c r="DC25" s="2"/>
      <c r="DD25" s="2"/>
      <c r="DE25" s="2"/>
      <c r="DH25" s="2"/>
      <c r="DI25" s="2"/>
      <c r="DJ25" s="2"/>
      <c r="DK25" s="2"/>
      <c r="DL25" s="2"/>
      <c r="DM25" s="2"/>
      <c r="EL25" s="1"/>
      <c r="EM25" s="1"/>
      <c r="EN25" s="1"/>
      <c r="EO25" s="1"/>
      <c r="EP25" s="1"/>
      <c r="EQ25" s="1"/>
      <c r="ER25" s="1"/>
      <c r="ES25" s="2"/>
      <c r="ET25" s="1"/>
      <c r="EU25" s="1"/>
      <c r="EV25" s="1"/>
      <c r="EW25" s="1"/>
      <c r="EX25" s="1"/>
      <c r="EY25" s="1"/>
      <c r="EZ25" s="1"/>
      <c r="FA25" s="2"/>
      <c r="FB25" s="1"/>
      <c r="FD25" s="1"/>
    </row>
    <row r="26" spans="1:235" x14ac:dyDescent="0.3">
      <c r="A26" t="s">
        <v>247</v>
      </c>
      <c r="B26">
        <f>SUM(Tabela1[Município])</f>
        <v>0</v>
      </c>
      <c r="C26">
        <f>SUM(Tabela1[Estado])</f>
        <v>0</v>
      </c>
      <c r="D26">
        <f>SUM(Tabela1[Ano de Referência])</f>
        <v>46253</v>
      </c>
      <c r="E26">
        <f>SUM(Tabela1[Código do Prestador])</f>
        <v>1174748253</v>
      </c>
      <c r="F26">
        <f>SUM(Tabela1[Prestador])</f>
        <v>0</v>
      </c>
      <c r="G26">
        <f>SUM(Tabela1[Sigla do Prestador])</f>
        <v>0</v>
      </c>
      <c r="H26">
        <f>SUM(Tabela1[Abrangência])</f>
        <v>0</v>
      </c>
      <c r="I26">
        <f>SUM(Tabela1[Tipo de serviço])</f>
        <v>0</v>
      </c>
      <c r="J26">
        <f>SUM(Tabela1[Natureza jurídica])</f>
        <v>0</v>
      </c>
      <c r="K26">
        <f>SUM(Tabela1[GE001 - Quantidade de municípios atendidos com abastecimento de água com delegação em vigor])</f>
        <v>0</v>
      </c>
      <c r="L26">
        <f>SUM(Tabela1[GE002 - Quantidade de municípios atendidos com abastecimento de água com delegação vencida])</f>
        <v>0</v>
      </c>
      <c r="M26">
        <f>SUM(Tabela1[GE003 - Quantidade de municípios atendidos com abastecimento de água sem delegação])</f>
        <v>7</v>
      </c>
      <c r="N26">
        <f>SUM(Tabela1[GE008 - Quantidade de Sedes municipais atendidas com abastecimento de água])</f>
        <v>14</v>
      </c>
      <c r="O26">
        <f>SUM(Tabela1[GE009 - Quantidade de Sedes municipais atendidas com esgotamento sanitário])</f>
        <v>14</v>
      </c>
      <c r="P26">
        <f>SUM(Tabela1[GE010 - Quantidade de Localidades (excluídas as sedes) atendidas com abastecimento de água])</f>
        <v>69</v>
      </c>
      <c r="Q26">
        <f>SUM(Tabela1[GE011 - Quantidade de Localidades (excluídas as sedes) atendidas com esgotamento sanitário])</f>
        <v>0</v>
      </c>
      <c r="R26">
        <f>SUM(Tabela1[GE014 - Quantidade de municípios atendidos com esgotamento sanitário com delegação em vigor])</f>
        <v>0</v>
      </c>
      <c r="S26">
        <f>SUM(Tabela1[GE015 - Quantidade de municípios atendidos com esgotamento sanitário com delegação vencida])</f>
        <v>0</v>
      </c>
      <c r="T26">
        <f>SUM(Tabela1[GE016 - Quantidade de municípios atendidos com esgotamento sanitário sem delegação])</f>
        <v>7</v>
      </c>
      <c r="U26">
        <f>SUM(Tabela1[GE017 - Ano de vencimento da delegação de abastecimento de água])</f>
        <v>0</v>
      </c>
      <c r="V26">
        <f>SUM(Tabela1[GE018 - Ano de vencimento da delegação de esgotamento sanitário])</f>
        <v>0</v>
      </c>
      <c r="W26">
        <f>SUM(Tabela1[GE019 - Onde atende com abastecimento de água])</f>
        <v>0</v>
      </c>
      <c r="X26">
        <f>SUM(Tabela1[GE020 - Onde atende com esgotamento sanitário])</f>
        <v>0</v>
      </c>
      <c r="Y26">
        <f>SUM(Tabela1[GE030 - Quantidade de municípios não atendidos com esgotamento sanitário e sem delegação para prestar esse serviço])</f>
        <v>0</v>
      </c>
      <c r="Z26">
        <f>SUM(Tabela1[POP_TOT - População total do município do ano de referência (Fonte: IBGE):])</f>
        <v>4506870</v>
      </c>
      <c r="AA26">
        <f>SUM(Tabela1[POP_URB - População urbana do município do ano de referência (Fonte: IBGE):])</f>
        <v>4075933</v>
      </c>
      <c r="AB26">
        <f>SUM(Tabela1[AG001 - População total atendida com abastecimento de água])</f>
        <v>4466999</v>
      </c>
      <c r="AC26">
        <f>SUM(Tabela1[AG001A - População total atendida com abastecimento de água no ano anterior ao de referência.])</f>
        <v>4370280</v>
      </c>
      <c r="AD26">
        <f>SUM(Tabela1[AG002 - Quantidade de ligações ativas de água])</f>
        <v>1396854</v>
      </c>
      <c r="AE26">
        <f>SUM(Tabela1[AG002A - Quantidade de ligações ativas de água no ano anterior ao de referência.])</f>
        <v>1340163</v>
      </c>
      <c r="AF26">
        <f>SUM(Tabela1[AG003 - Quantidade de economias ativas de água])</f>
        <v>1550934</v>
      </c>
      <c r="AG26">
        <f>SUM(Tabela1[AG003A - Quantidade de economias ativas de água no ano anterior ao de referência.])</f>
        <v>1501288</v>
      </c>
      <c r="AH26">
        <f>SUM(Tabela1[AG004 - Quantidade de ligações ativas de água micromedidas])</f>
        <v>1282007</v>
      </c>
      <c r="AI26">
        <f>SUM(Tabela1[AG004A - Quantidade de ligações ativas de água micromedidas no ano anterior ao de referência.])</f>
        <v>1220901</v>
      </c>
      <c r="AJ26">
        <f>SUM(Tabela1[AG005 - Extensão da rede de água])</f>
        <v>16933.84</v>
      </c>
      <c r="AK26">
        <f>SUM(Tabela1[AG005A - Extensão da rede de água no ano anterior ao de referência.])</f>
        <v>15637.929999999998</v>
      </c>
      <c r="AL26">
        <f>SUM(Tabela1[AG006 - Volume de água produzido])</f>
        <v>519373.22</v>
      </c>
      <c r="AM26">
        <f>SUM(Tabela1[AG007 - Volume de água tratada em ETAs])</f>
        <v>234450.93999999997</v>
      </c>
      <c r="AN26">
        <f>SUM(Tabela1[AG008 - Volume de água micromedido])</f>
        <v>223802.96</v>
      </c>
      <c r="AO26">
        <f>SUM(Tabela1[AG010 - Volume de água consumido])</f>
        <v>242383.86000000004</v>
      </c>
      <c r="AP26">
        <f>SUM(Tabela1[AG011 - Volume de água faturado])</f>
        <v>255261.79</v>
      </c>
      <c r="AQ26">
        <f>SUM(Tabela1[AG012 - Volume de água macromedido])</f>
        <v>446434.05</v>
      </c>
      <c r="AR26">
        <f>SUM(Tabela1[AG013 - Quantidade de economias residenciais ativas de água])</f>
        <v>1432632</v>
      </c>
      <c r="AS26">
        <f>SUM(Tabela1[AG013A - Quantidade de economias residenciais ativas de água no ano anterior ao de referência.])</f>
        <v>1383151</v>
      </c>
      <c r="AT26">
        <f>SUM(Tabela1[AG014 - Quantidade de economias ativas de água micromedidas])</f>
        <v>1411128</v>
      </c>
      <c r="AU26">
        <f>SUM(Tabela1[AG014A - Quantidade de economias ativas de água micromedidas no ano anterior ao de referência.])</f>
        <v>1346598</v>
      </c>
      <c r="AV26">
        <f>SUM(Tabela1[AG015 - Volume de água tratada por simples desinfecção])</f>
        <v>284871.36000000004</v>
      </c>
      <c r="AW26">
        <f>SUM(Tabela1[AG017 - Volume de água bruta exportado])</f>
        <v>0</v>
      </c>
      <c r="AX26">
        <f>SUM(Tabela1[AG018 - Volume de água tratada importado])</f>
        <v>0</v>
      </c>
      <c r="AY26">
        <f>SUM(Tabela1[AG019 - Volume de água tratada exportado])</f>
        <v>0</v>
      </c>
      <c r="AZ26">
        <f>SUM(Tabela1[AG020 - Volume micromedido nas economias residenciais ativas de água])</f>
        <v>195964.71999999997</v>
      </c>
      <c r="BA26">
        <f>SUM(Tabela1[AG021 - Quantidade de ligações totais de água])</f>
        <v>1525900</v>
      </c>
      <c r="BB26">
        <f>SUM(Tabela1[AG021A - Quantidade de ligações totais de água no ano anterior ao de referência.])</f>
        <v>1475442</v>
      </c>
      <c r="BC26">
        <f>SUM(Tabela1[AG022 - Quantidade de economias residenciais ativas de água micromedidas])</f>
        <v>1324069</v>
      </c>
      <c r="BD26">
        <f>SUM(Tabela1[AG022A - Quantidade de economias residenciais ativas de água micromedidas no ano anterior ao de referência.])</f>
        <v>1260952</v>
      </c>
      <c r="BE26">
        <f>SUM(Tabela1[AG024 - Volume de serviço])</f>
        <v>16707.940000000002</v>
      </c>
      <c r="BF26">
        <f>SUM(Tabela1[AG025A - População rural atendida com abastecimento de água no ano anterior ao de referência.])</f>
        <v>24258</v>
      </c>
      <c r="BG26">
        <f>SUM(Tabela1[AG026 - População urbana atendida com abastecimento de água])</f>
        <v>3966461</v>
      </c>
      <c r="BH26">
        <f>SUM(Tabela1[AG026A - População urbana atendida com abastecimento de água no ano anterior ao de referência.])</f>
        <v>3966461</v>
      </c>
      <c r="BI26">
        <f>SUM(Tabela1[AG027 - Volume de água fluoretada])</f>
        <v>0</v>
      </c>
      <c r="BJ26">
        <f>SUM(Tabela1[AG028 - Consumo total de energia elétrica nos sistemas de água])</f>
        <v>175600.29</v>
      </c>
      <c r="BK26">
        <f>SUM(Tabela1[ES001 - População total atendida com esgotamento sanitário])</f>
        <v>2587712</v>
      </c>
      <c r="BL26">
        <f>SUM(Tabela1[ES001A - População total atendida com esgotamento sanitário no ano anterior ao de referência.])</f>
        <v>2378745</v>
      </c>
      <c r="BM26">
        <f>SUM(Tabela1[ES002 - Quantidade de ligações ativas de esgotos])</f>
        <v>755505</v>
      </c>
      <c r="BN26">
        <f>SUM(Tabela1[ES002A - Quantidade de ligações ativas de esgoto no ano anterior ao de referência.])</f>
        <v>678125</v>
      </c>
      <c r="BO26">
        <f>SUM(Tabela1[ES003 - Quantidade de economias ativas de esgotos])</f>
        <v>866850</v>
      </c>
      <c r="BP26">
        <f>SUM(Tabela1[ES003A - Quantidade de economias ativas de esgoto no ano anterior ao de referência.])</f>
        <v>782761</v>
      </c>
      <c r="BQ26">
        <f>SUM(Tabela1[ES004 - Extensão da rede de esgotos])</f>
        <v>9980.77</v>
      </c>
      <c r="BR26">
        <f>SUM(Tabela1[ES004A - Extensão da rede de esgoto no ano anterior ao de referência.])</f>
        <v>8585.119999999999</v>
      </c>
      <c r="BS26">
        <f>SUM(Tabela1[ES005 - Volume de esgotos coletado])</f>
        <v>125648.46999999999</v>
      </c>
      <c r="BT26">
        <f>SUM(Tabela1[ES006 - Volume de esgotos tratado])</f>
        <v>116142.11000000002</v>
      </c>
      <c r="BU26">
        <f>SUM(Tabela1[ES007 - Volume de esgotos faturado])</f>
        <v>128120.12</v>
      </c>
      <c r="BV26">
        <f>SUM(Tabela1[ES008 - Quantidade de economias residenciais ativas de esgotos])</f>
        <v>711968</v>
      </c>
      <c r="BW26">
        <f>SUM(Tabela1[ES008A - Quantidade de economias residenciais ativas de esgoto no ano anterior ao de referência.])</f>
        <v>639403</v>
      </c>
      <c r="BX26">
        <f>SUM(Tabela1[ES009 - Quantidade de ligações totais de esgotos])</f>
        <v>805695</v>
      </c>
      <c r="BY26">
        <f>SUM(Tabela1[ES009A - Quantidade de ligações totais de esgoto no ano anterior ao de referência.])</f>
        <v>728469</v>
      </c>
      <c r="BZ26">
        <f>SUM(Tabela1[ES012 - Volume de esgoto bruto exportado])</f>
        <v>0</v>
      </c>
      <c r="CA26">
        <f>SUM(Tabela1[ES013 - Volume de esgotos bruto importado])</f>
        <v>0</v>
      </c>
      <c r="CB26">
        <f>SUM(Tabela1[ES014 - Volume de esgoto importado tratado nas instalações do importador])</f>
        <v>0</v>
      </c>
      <c r="CC26">
        <f>SUM(Tabela1[ES015 - Volume de esgoto bruto exportado tratado nas instalações do importador])</f>
        <v>0</v>
      </c>
      <c r="CD26">
        <f>SUM(Tabela1[ES025A - População rural atendida com esgotamento sanitário no ano anterior ao de referência.])</f>
        <v>0</v>
      </c>
      <c r="CE26">
        <f>SUM(Tabela1[ES026 - População urbana atendida com esgotamento sanitário])</f>
        <v>2299201</v>
      </c>
      <c r="CF26">
        <f>SUM(Tabela1[ES026A - População urbana atendida com esgotamento sanitário no ano anterior ao de referência.])</f>
        <v>2299201</v>
      </c>
      <c r="CG26">
        <f>SUM(Tabela1[ES028 - Consumo total de energia elétrica nos sistemas de esgotos])</f>
        <v>28915.749999999993</v>
      </c>
      <c r="CH26">
        <f>SUM(Tabela1[FN001 - Receita operacional direta total])</f>
        <v>853506908.54000008</v>
      </c>
      <c r="CI26">
        <f>SUM(Tabela1[FN002 - Receita operacional direta de água])</f>
        <v>580102405.46999991</v>
      </c>
      <c r="CJ26">
        <f>SUM(Tabela1[FN003 - Receita operacional direta de esgoto])</f>
        <v>273404503.06999999</v>
      </c>
      <c r="CK26">
        <f>SUM(Tabela1[FN004 - Receita operacional indireta])</f>
        <v>128975513.27000001</v>
      </c>
      <c r="CL26">
        <f>SUM(Tabela1[FN005 - Receita operacional total (direta + indireta)])</f>
        <v>982482421.82000017</v>
      </c>
      <c r="CM26">
        <f>SUM(Tabela1[FN006 - Arrecadação total])</f>
        <v>859589577.89999998</v>
      </c>
      <c r="CN26">
        <f>SUM(Tabela1[FN007 - Receita operacional direta de água exportada (bruta ou tratada)])</f>
        <v>0</v>
      </c>
      <c r="CO26">
        <f>SUM(Tabela1[FN008 - Créditos de contas a receber])</f>
        <v>136319031.75</v>
      </c>
      <c r="CP26">
        <f>SUM(Tabela1[FN008A - Crédito de contas a receber no ano anterior ao de referência.])</f>
        <v>136672302.38</v>
      </c>
      <c r="CQ26">
        <f>SUM(Tabela1[FN010 - Despesa com pessoal próprio])</f>
        <v>50989818.639999993</v>
      </c>
      <c r="CR26">
        <f>SUM(Tabela1[FN011 - Despesa com produtos químicos])</f>
        <v>19404841.129999999</v>
      </c>
      <c r="CS26">
        <f>SUM(Tabela1[FN013 - Despesa com energia elétrica])</f>
        <v>193970393.64000002</v>
      </c>
      <c r="CT26">
        <f>SUM(Tabela1[FN014 - Despesa com serviços de terceiros])</f>
        <v>282582042.44</v>
      </c>
      <c r="CU26">
        <f>SUM(Tabela1[FN015 - Despesas de Exploração (DEX), sendo FN015 = FN010 + FN011 + FN013 + FN014 + FN020 + FN039 + FN021 + FN027])</f>
        <v>609118378.26000011</v>
      </c>
      <c r="CV26">
        <f>SUM(Tabela1[FN016 - Despesas com juros e encargos do serviço da dívida])</f>
        <v>0</v>
      </c>
      <c r="CW26">
        <f>SUM(Tabela1[FN017 - Despesas totais com os serviços (DTS), sendo FN017 = FN015 + FN016 + FN019 + FN022 + FN028])</f>
        <v>626456786.97000003</v>
      </c>
      <c r="CX26">
        <f>SUM(Tabela1[FN018 - Despesas capitalizáveis realizadas pelo prestador de serviços])</f>
        <v>10323732.489999998</v>
      </c>
      <c r="CY26">
        <f>SUM(Tabela1[FN019 - Despesas com depreciação, amortização do ativo diferido e provisão para devedores duvidosos])</f>
        <v>14651947.609999999</v>
      </c>
      <c r="CZ26">
        <f>SUM(Tabela1[FN020 - Despesa com água importada (bruta ou tratada)])</f>
        <v>0</v>
      </c>
      <c r="DA26">
        <f>SUM(Tabela1[FN021 - Despesas fiscais ou tributárias computadas na DEX])</f>
        <v>9190736.2599999998</v>
      </c>
      <c r="DB26">
        <f>SUM(Tabela1[FN022 - Despesas fiscais ou tributárias não computadas na DEX])</f>
        <v>0</v>
      </c>
      <c r="DC26">
        <f>SUM(Tabela1[FN023 - Investimento realizado em abastecimento de água pelo prestador de serviços])</f>
        <v>114596509.62</v>
      </c>
      <c r="DD26">
        <f>SUM(Tabela1[FN024 - Investimento realizado em esgotamento sanitário pelo prestador de serviços])</f>
        <v>102085178.88999999</v>
      </c>
      <c r="DE26">
        <f>SUM(Tabela1[FN025 - Outros investimentos realizados pelo prestador de serviços])</f>
        <v>18088518.370000001</v>
      </c>
      <c r="DF26">
        <f>SUM(Tabela1[FN026 - Quantidade total de empregados próprios])</f>
        <v>677</v>
      </c>
      <c r="DG26">
        <f>SUM(Tabela1[FN026A - Quantidade total de empregados próprios no ano anterior ao de referência.])</f>
        <v>769</v>
      </c>
      <c r="DH26">
        <f>SUM(Tabela1[FN027 - Outras despesas de exploração])</f>
        <v>52980546.150000006</v>
      </c>
      <c r="DI26">
        <f>SUM(Tabela1[FN028 - Outras despesas com os serviços])</f>
        <v>1738298.45</v>
      </c>
      <c r="DJ26">
        <f>SUM(Tabela1[FN030 - Investimento com recursos próprios realizado pelo prestador de serviços.])</f>
        <v>41497529.859999985</v>
      </c>
      <c r="DK26">
        <f>SUM(Tabela1[FN031 - Investimento com recursos onerosos realizado pelo prestador de serviços.])</f>
        <v>156342971.78</v>
      </c>
      <c r="DL26">
        <f>SUM(Tabela1[FN032 - Investimento com recursos não onerosos realizado pelo prestador de serviços.])</f>
        <v>46994090.639999993</v>
      </c>
      <c r="DM26" s="9">
        <f>SUM(Tabela1[FN033 - Investimentos totais realizados pelo prestador de serviços])</f>
        <v>244789818.94999996</v>
      </c>
      <c r="DN26">
        <f>SUM(Tabela1[FN034 - Despesas com amortizações do serviço da dívida])</f>
        <v>0</v>
      </c>
      <c r="DO26">
        <f>SUM(Tabela1[FN035 - Despesas com juros e encargos do serviço da dívida, exceto variações monetária e cambial])</f>
        <v>0</v>
      </c>
      <c r="DP26">
        <f>SUM(Tabela1[FN036 - Despesa com variações monetárias e cambiais das dívidas])</f>
        <v>0</v>
      </c>
      <c r="DQ26">
        <f>SUM(Tabela1[FN037 - Despesas totais com o serviço da dívida])</f>
        <v>0</v>
      </c>
      <c r="DR26">
        <f>SUM(Tabela1[FN038 - Receita operacional direta - esgoto bruto importado])</f>
        <v>0</v>
      </c>
      <c r="DS26">
        <f>SUM(Tabela1[FN039 - Despesa com esgoto exportado])</f>
        <v>0</v>
      </c>
      <c r="DT26">
        <f>SUM(Tabela1[FN041 - Despesas capitalizáveis realizadas pelo(s) município(s)])</f>
        <v>0</v>
      </c>
      <c r="DU26">
        <f>SUM(Tabela1[FN042 - Investimento realizado em abastecimento de água pelo(s) município(s)])</f>
        <v>0</v>
      </c>
      <c r="DV26">
        <f>SUM(Tabela1[FN043 - Investimento realizado em esgotamento sanitário pelo(s) município(s)])</f>
        <v>0</v>
      </c>
      <c r="DW26">
        <f>SUM(Tabela1[FN044 - Outros investimentos realizados pelo(s) município(s)])</f>
        <v>0</v>
      </c>
      <c r="DX26">
        <f>SUM(Tabela1[FN045 - Investimento com recursos próprios realizado pelo(s) município(s)])</f>
        <v>0</v>
      </c>
      <c r="DY26">
        <f>SUM(Tabela1[FN046 - Investimento com recursos onerosos realizado pelo(s) município(s)])</f>
        <v>0</v>
      </c>
      <c r="DZ26">
        <f>SUM(Tabela1[FN047 - Investimento com recursos não onerosos realizado pelo(s) município(s)])</f>
        <v>0</v>
      </c>
      <c r="EA26">
        <f>SUM(Tabela1[FN048 - Investimentos totais realizados pelo(s) município(s)])</f>
        <v>0</v>
      </c>
      <c r="EB26">
        <f>SUM(Tabela1[FN051 - Despesas capitalizáveis realizadas pelo estado])</f>
        <v>0</v>
      </c>
      <c r="EC26">
        <f>SUM(Tabela1[FN052 - Investimento realizado em abastecimento de água pelo estado])</f>
        <v>0</v>
      </c>
      <c r="ED26">
        <f>SUM(Tabela1[FN053 - Investimento realizado em esgotamento sanitário pelo estado])</f>
        <v>0</v>
      </c>
      <c r="EE26">
        <f>SUM(Tabela1[FN054 - Outros investimentos realizados pelo estado])</f>
        <v>0</v>
      </c>
      <c r="EF26">
        <f>SUM(Tabela1[FN055 - Investimento com recursos próprios realizado pelo estado])</f>
        <v>0</v>
      </c>
      <c r="EG26">
        <f>SUM(Tabela1[FN056 - Investimento com recursos onerosos realizado pelo estado])</f>
        <v>0</v>
      </c>
      <c r="EH26">
        <f>SUM(Tabela1[FN057 - Investimento com recursos não onerosos realizado pelo estado])</f>
        <v>0</v>
      </c>
      <c r="EI26">
        <f>SUM(Tabela1[FN058 - Investimentos totais realizados pelo estado])</f>
        <v>0</v>
      </c>
      <c r="EJ26">
        <f>SUM(Tabela1[QD001 - Tipo de atendimento da portaria sobre qualidade da água])</f>
        <v>0</v>
      </c>
      <c r="EK26">
        <f>SUM(Tabela1[QD002 - Quantidades de paralisações no sistema de distribuição de água])</f>
        <v>268</v>
      </c>
      <c r="EL26">
        <f>SUM(Tabela1[QD003 - Duração das paralisações])</f>
        <v>4650</v>
      </c>
      <c r="EM26">
        <f>SUM(Tabela1[QD004 - Quantidade de economias ativas atingidas por paralisações])</f>
        <v>53647</v>
      </c>
      <c r="EN26">
        <f>SUM(Tabela1[QD006 - Quantidade de amostras para cloro residual (analisadas)])</f>
        <v>320992</v>
      </c>
      <c r="EO26">
        <f>SUM(Tabela1[QD007 - Quantidade de amostras para cloro residual com resultados fora do padrão])</f>
        <v>13587</v>
      </c>
      <c r="EP26">
        <f>SUM(Tabela1[QD008 - Quantidade de amostras para turbidez (analisadas)])</f>
        <v>238543</v>
      </c>
      <c r="EQ26">
        <f>SUM(Tabela1[QD009 - Quantidade de amostras para turbidez fora do padrão])</f>
        <v>8266</v>
      </c>
      <c r="ER26">
        <f>SUM(Tabela1[QD011 - Quantidades de extravasamentos de esgotos registrados])</f>
        <v>27943</v>
      </c>
      <c r="ES26">
        <f>SUM(Tabela1[QD012 - Duração dos extravasamentos registrados])</f>
        <v>215558.73999999996</v>
      </c>
      <c r="ET26">
        <f>SUM(Tabela1[QD015 - Quantidade de economias ativas atingidas por interrupções sistemáticas])</f>
        <v>1126</v>
      </c>
      <c r="EU26">
        <f>SUM(Tabela1[QD019 - Quantidade mínima de amostras para turbidez (obrigatórias)])</f>
        <v>275377</v>
      </c>
      <c r="EV26">
        <f>SUM(Tabela1[QD020 - Quantidade mínima de amostras para cloro residual (obrigatórias)])</f>
        <v>283961</v>
      </c>
      <c r="EW26">
        <f>SUM(Tabela1[QD021 - Quantidade de interrupções sistemáticas])</f>
        <v>2984</v>
      </c>
      <c r="EX26">
        <f>SUM(Tabela1[QD022 - Duração das interrupções sistemáticas])</f>
        <v>70565</v>
      </c>
      <c r="EY26">
        <f>SUM(Tabela1[QD023 - Quantidade de reclamações ou solicitações de serviços])</f>
        <v>3865225</v>
      </c>
      <c r="EZ26">
        <f>SUM(Tabela1[QD024 - Quantidade de serviços executados])</f>
        <v>3597487</v>
      </c>
      <c r="FA26">
        <f>SUM(Tabela1[QD025 - Tempo total de execução dos serviços])</f>
        <v>28022885.649999999</v>
      </c>
      <c r="FB26">
        <f>SUM(Tabela1[QD026 - Quantidade de amostras para coliformes totais (analisadas)])</f>
        <v>123213</v>
      </c>
      <c r="FC26">
        <f>SUM(Tabela1[QD027 - Quantidade de amostras para coliformes totais com resultados fora do padrão])</f>
        <v>540</v>
      </c>
      <c r="FD26">
        <f>SUM(Tabela1[QD028 - Quantidade mínima de amostras para coliformes totais (obrigatórias)])</f>
        <v>125849</v>
      </c>
      <c r="FE26">
        <f>SUM(Tabela1[IN001 - Densidade de economias de água por ligação])</f>
        <v>25.669999999999998</v>
      </c>
      <c r="FF26">
        <f>SUM(Tabela1[IN002 - Índice de produtividade: economias ativas por pessoal próprio])</f>
        <v>82976.87000000001</v>
      </c>
      <c r="FG26">
        <f>SUM(Tabela1[IN003 - Despesa total com os serviços por m3 faturado])</f>
        <v>31.940000000000005</v>
      </c>
      <c r="FH26">
        <f>SUM(Tabela1[IN004 - Tarifa média praticada])</f>
        <v>44.61</v>
      </c>
      <c r="FI26">
        <f>SUM(Tabela1[IN005 - Tarifa média de água])</f>
        <v>47.52000000000001</v>
      </c>
      <c r="FJ26">
        <f>SUM(Tabela1[IN006 - Tarifa média de esgoto])</f>
        <v>41.050000000000011</v>
      </c>
      <c r="FK26">
        <f>SUM(Tabela1[IN007 - Incidência da desp. de pessoal e de serv. de terc. nas despesas totais com os serviços])</f>
        <v>1149.4599999999998</v>
      </c>
      <c r="FL26">
        <f>SUM(Tabela1[IN008 - Despesa média anual por empregado])</f>
        <v>1577020.18</v>
      </c>
      <c r="FM26">
        <f>SUM(Tabela1[IN009 - Índice de hidrometração])</f>
        <v>2046.8000000000002</v>
      </c>
      <c r="FN26">
        <f>SUM(Tabela1[IN010 - Índice de micromedição relativo ao volume disponibilizado])</f>
        <v>1015.6599999999999</v>
      </c>
      <c r="FO26">
        <f>SUM(Tabela1[IN011 - Índice de macromedição])</f>
        <v>1899.65</v>
      </c>
      <c r="FP26">
        <f>SUM(Tabela1[IN012 - Indicador de desempenho financeiro])</f>
        <v>3451.62</v>
      </c>
      <c r="FQ26">
        <f>SUM(Tabela1[IN013 - Índice de perdas faturamento])</f>
        <v>1134.2</v>
      </c>
      <c r="FR26">
        <f>SUM(Tabela1[IN014 - Consumo micromedido por economia])</f>
        <v>315.63000000000005</v>
      </c>
      <c r="FS26">
        <f>SUM(Tabela1[IN015 - Índice de coleta de esgoto])</f>
        <v>1174.3699999999999</v>
      </c>
      <c r="FT26">
        <f>SUM(Tabela1[IN016 - Índice de tratamento de esgoto])</f>
        <v>2075.6799999999998</v>
      </c>
      <c r="FU26">
        <f>SUM(Tabela1[IN017 - Consumo de água faturado por economia])</f>
        <v>321.94999999999987</v>
      </c>
      <c r="FV26">
        <f>SUM(Tabela1[IN018 - Quantidade equivalente de pessoal total])</f>
        <v>5084.46</v>
      </c>
      <c r="FW26">
        <f>SUM(Tabela1[IN019 - Índice de produtividade: economias ativas por pessoal total (equivalente)])</f>
        <v>13716.95</v>
      </c>
      <c r="FX26">
        <f>SUM(Tabela1[IN020 - Extensão da rede de água por ligação])</f>
        <v>239.35999999999999</v>
      </c>
      <c r="FY26">
        <f>SUM(Tabela1[IN021 - Extensão da rede de esgoto por ligação])</f>
        <v>319.67999999999995</v>
      </c>
      <c r="FZ26">
        <f>SUM(Tabela1[IN022 - Consumo médio percapita de água])</f>
        <v>3444.29</v>
      </c>
      <c r="GA26">
        <f>SUM(Tabela1[IN023 - Índice de atendimento urbano de água])</f>
        <v>2199.8000000000002</v>
      </c>
      <c r="GB26">
        <f>SUM(Tabela1[IN024 - Índice de atendimento urbano de esgoto referido aos municípios atendidos com água])</f>
        <v>1185.0100000000002</v>
      </c>
      <c r="GC26">
        <f>SUM(Tabela1[IN025 - Volume de água disponibilizado por economia])</f>
        <v>666.2299999999999</v>
      </c>
      <c r="GD26">
        <f>SUM(Tabela1[IN026 - Despesa de exploração por m3 faturado])</f>
        <v>31.09</v>
      </c>
      <c r="GE26">
        <f>SUM(Tabela1[IN027 - Despesa de exploração por economia])</f>
        <v>5059.63</v>
      </c>
      <c r="GF26">
        <f>SUM(Tabela1[IN028 - Índice de faturamento de água])</f>
        <v>1165.6899999999998</v>
      </c>
      <c r="GG26">
        <f>SUM(Tabela1[IN029 - Índice de evasão de receitas])</f>
        <v>146.41999999999999</v>
      </c>
      <c r="GH26">
        <f>SUM(Tabela1[IN030 - Margem da despesa de exploração])</f>
        <v>1549.7899999999997</v>
      </c>
      <c r="GI26">
        <f>SUM(Tabela1[IN031 - Margem da despesa com pessoal próprio])</f>
        <v>122.30000000000001</v>
      </c>
      <c r="GJ26">
        <f>SUM(Tabela1[IN032 - Margem da despesa com pessoal total (equivalente)])</f>
        <v>807.14</v>
      </c>
      <c r="GK26">
        <f>SUM(Tabela1[IN033 - Margem do serviço da divida])</f>
        <v>0</v>
      </c>
      <c r="GL26">
        <f>SUM(Tabela1[IN034 - Margem das outras despesas de exploração])</f>
        <v>93.93</v>
      </c>
      <c r="GM26">
        <f>SUM(Tabela1[IN035 - Participação da despesa com pessoal próprio nas despesas de exploração])</f>
        <v>182.48</v>
      </c>
      <c r="GN26">
        <f>SUM(Tabela1[IN036 - Participação da despesa com pessoal total (equivalente) nas despesas de exploração])</f>
        <v>1181.04</v>
      </c>
      <c r="GO26">
        <f>SUM(Tabela1[IN037 - Participação da despesa com energia elétrica nas despesas de exploração])</f>
        <v>866.10000000000014</v>
      </c>
      <c r="GP26">
        <f>SUM(Tabela1[IN038 - Participação da despesa com produtos químicos nas despesas de exploração (DEX)])</f>
        <v>91.91</v>
      </c>
      <c r="GQ26">
        <f>SUM(Tabela1[IN039 - Participação das outras despesas nas despesas de exploração])</f>
        <v>122.51999999999998</v>
      </c>
      <c r="GR26">
        <f>SUM(Tabela1[IN040 - Participação da receita operacional direta de água na receita operacional total])</f>
        <v>1533.67</v>
      </c>
      <c r="GS26">
        <f>SUM(Tabela1[IN041 - Participação da receita operacional direta de esgoto na receita operacional total])</f>
        <v>581.96999999999991</v>
      </c>
      <c r="GT26">
        <f>SUM(Tabela1[IN042 - Participação da receita operacional indireta na receita operacional total])</f>
        <v>184.24</v>
      </c>
      <c r="GU26">
        <f>SUM(Tabela1[IN043 - Participação das economias residenciais de água no total das economias de água])</f>
        <v>2118.7800000000007</v>
      </c>
      <c r="GV26">
        <f>SUM(Tabela1[IN044 - Índice de micromedição relativo ao consumo])</f>
        <v>2082.12</v>
      </c>
      <c r="GW26">
        <f>SUM(Tabela1[IN045 - Índice de produtividade: empregados próprios por 1000 ligações de água])</f>
        <v>12.5</v>
      </c>
      <c r="GX26">
        <f>SUM(Tabela1[IN046 - Índice de esgoto tratado referido à água consumida])</f>
        <v>1081.6100000000001</v>
      </c>
      <c r="GY26">
        <f>SUM(Tabela1[IN047 - Índice de atendimento urbano de esgoto referido aos municípios atendidos com esgoto])</f>
        <v>1185.0100000000002</v>
      </c>
      <c r="GZ26">
        <f>SUM(Tabela1[IN048 - Índice de produtividade: empregados próprios por 1000 ligações de água + esgoto])</f>
        <v>8.91</v>
      </c>
      <c r="HA26">
        <f>SUM(Tabela1[IN049 - Índice de perdas na distribuição])</f>
        <v>1188.79</v>
      </c>
      <c r="HB26">
        <f>SUM(Tabela1[IN050 - Índice bruto de perdas lineares])</f>
        <v>1566.2400000000005</v>
      </c>
      <c r="HC26">
        <f>SUM(Tabela1[IN051 - Índice de perdas por ligação])</f>
        <v>12489.949999999997</v>
      </c>
      <c r="HD26">
        <f>SUM(Tabela1[IN052 - Índice de consumo de água])</f>
        <v>1111.1000000000001</v>
      </c>
      <c r="HE26">
        <f>SUM(Tabela1[IN053 - Consumo médio de água por economia])</f>
        <v>307.89000000000004</v>
      </c>
      <c r="HF26">
        <f>SUM(Tabela1[IN054 - Dias de faturamento comprometidos com contas a receber])</f>
        <v>1659.72</v>
      </c>
      <c r="HG26">
        <f>SUM(Tabela1[IN055 - Índice de atendimento total de água])</f>
        <v>2178.31</v>
      </c>
      <c r="HH26">
        <f>SUM(Tabela1[IN056 - Índice de atendimento total de esgoto referido aos municípios atendidos com água])</f>
        <v>1207.6300000000003</v>
      </c>
      <c r="HI26">
        <f>SUM(Tabela1[IN057 - Índice de fluoretação de água])</f>
        <v>0</v>
      </c>
      <c r="HJ26">
        <f>SUM(Tabela1[IN058 - Índice de consumo de energia elétrica em sistemas de abastecimento de água])</f>
        <v>7.1100000000000012</v>
      </c>
      <c r="HK26">
        <f>SUM(Tabela1[IN059 - Índice de consumo de energia elétrica em sistemas de esgotamento sanitário])</f>
        <v>5.49</v>
      </c>
      <c r="HL26">
        <f>SUM(Tabela1[IN060 - Índice de despesas por consumo de energia elétrica nos sistemas de água e esgotos])</f>
        <v>5.1500000000000012</v>
      </c>
      <c r="HM26">
        <f>SUM(Tabela1[IN071 - Economias atingidas por paralisações])</f>
        <v>7757.86</v>
      </c>
      <c r="HN26">
        <f>SUM(Tabela1[IN072 - Duração média das paralisações])</f>
        <v>185.67000000000002</v>
      </c>
      <c r="HO26">
        <f>SUM(Tabela1[IN073 - Economias atingidas por intermitências])</f>
        <v>376.33</v>
      </c>
      <c r="HP26">
        <f>SUM(Tabela1[IN074 - Duração média das intermitências])</f>
        <v>224.63</v>
      </c>
      <c r="HQ26">
        <f>SUM(Tabela1[IN075 - Incidência das análises de cloro residual fora do padrão])</f>
        <v>139.32999999999998</v>
      </c>
      <c r="HR26">
        <f>SUM(Tabela1[IN076 - Incidência das análises de turbidez fora do padrão])</f>
        <v>222.9</v>
      </c>
      <c r="HS26">
        <f>SUM(Tabela1[IN077 - Duração média dos reparos de extravasamentos de esgotos])</f>
        <v>1702.97</v>
      </c>
      <c r="HT26">
        <f>SUM(Tabela1[IN079 - Índice de conformidade da quantidade de amostras - cloro residual])</f>
        <v>2593.12</v>
      </c>
      <c r="HU26">
        <f>SUM(Tabela1[IN080 - Índice de conformidade da quantidade de amostras - turbidez])</f>
        <v>2259.2999999999997</v>
      </c>
      <c r="HV26">
        <f>SUM(Tabela1[IN082 - Extravasamentos de esgotos por extensão de rede])</f>
        <v>32.280000000000008</v>
      </c>
      <c r="HW26">
        <f>SUM(Tabela1[IN083 - Duração média dos serviços executados])</f>
        <v>240.77</v>
      </c>
      <c r="HX26">
        <f>SUM(Tabela1[IN084 - Incidência das análises de coliformes totais fora do padrão])</f>
        <v>9.1599999999999984</v>
      </c>
      <c r="HY26">
        <f>SUM(Tabela1[IN085 - Índice de conformidade da quantidade de amostras - coliformes totais])</f>
        <v>1857.8999999999996</v>
      </c>
      <c r="HZ26">
        <f>SUM(Tabela1[IN101 - Índice de suficiência de caixa])</f>
        <v>2918.9300000000003</v>
      </c>
      <c r="IA26">
        <f>SUM(Tabela1[IN102 - Índice de produtividade de pessoal total (equivalente)])</f>
        <v>10775.59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3CC1D-5BC2-4FD6-A669-83600EA66ACB}">
  <dimension ref="A3:B27"/>
  <sheetViews>
    <sheetView workbookViewId="0">
      <selection activeCell="A3" sqref="A3:B27"/>
    </sheetView>
  </sheetViews>
  <sheetFormatPr defaultRowHeight="14.4" x14ac:dyDescent="0.3"/>
  <cols>
    <col min="1" max="1" width="16.77734375" bestFit="1" customWidth="1"/>
    <col min="2" max="2" width="46" bestFit="1" customWidth="1"/>
    <col min="3" max="5" width="7" bestFit="1" customWidth="1"/>
    <col min="6" max="6" width="6" bestFit="1" customWidth="1"/>
    <col min="7" max="7" width="7" bestFit="1" customWidth="1"/>
    <col min="8" max="9" width="6" bestFit="1" customWidth="1"/>
    <col min="10" max="24" width="7" bestFit="1" customWidth="1"/>
    <col min="25" max="25" width="10" bestFit="1" customWidth="1"/>
  </cols>
  <sheetData>
    <row r="3" spans="1:2" x14ac:dyDescent="0.3">
      <c r="A3" s="3" t="s">
        <v>245</v>
      </c>
      <c r="B3" t="s">
        <v>248</v>
      </c>
    </row>
    <row r="4" spans="1:2" x14ac:dyDescent="0.3">
      <c r="A4" s="4">
        <v>2000</v>
      </c>
      <c r="B4">
        <v>93.2</v>
      </c>
    </row>
    <row r="5" spans="1:2" x14ac:dyDescent="0.3">
      <c r="A5" s="4">
        <v>2001</v>
      </c>
      <c r="B5">
        <v>179.77</v>
      </c>
    </row>
    <row r="6" spans="1:2" x14ac:dyDescent="0.3">
      <c r="A6" s="4">
        <v>2002</v>
      </c>
      <c r="B6">
        <v>210.38</v>
      </c>
    </row>
    <row r="7" spans="1:2" x14ac:dyDescent="0.3">
      <c r="A7" s="4">
        <v>2003</v>
      </c>
      <c r="B7">
        <v>190.09</v>
      </c>
    </row>
    <row r="8" spans="1:2" x14ac:dyDescent="0.3">
      <c r="A8" s="4">
        <v>2004</v>
      </c>
      <c r="B8">
        <v>199.7</v>
      </c>
    </row>
    <row r="9" spans="1:2" x14ac:dyDescent="0.3">
      <c r="A9" s="4">
        <v>2005</v>
      </c>
      <c r="B9">
        <v>169.96</v>
      </c>
    </row>
    <row r="10" spans="1:2" x14ac:dyDescent="0.3">
      <c r="A10" s="4">
        <v>2006</v>
      </c>
      <c r="B10">
        <v>205.3</v>
      </c>
    </row>
    <row r="11" spans="1:2" x14ac:dyDescent="0.3">
      <c r="A11" s="4">
        <v>2007</v>
      </c>
      <c r="B11">
        <v>150.19999999999999</v>
      </c>
    </row>
    <row r="12" spans="1:2" x14ac:dyDescent="0.3">
      <c r="A12" s="4">
        <v>2008</v>
      </c>
      <c r="B12">
        <v>118.44</v>
      </c>
    </row>
    <row r="13" spans="1:2" x14ac:dyDescent="0.3">
      <c r="A13" s="4">
        <v>2009</v>
      </c>
      <c r="B13">
        <v>133.38999999999999</v>
      </c>
    </row>
    <row r="14" spans="1:2" x14ac:dyDescent="0.3">
      <c r="A14" s="4">
        <v>2010</v>
      </c>
      <c r="B14">
        <v>149.13</v>
      </c>
    </row>
    <row r="15" spans="1:2" x14ac:dyDescent="0.3">
      <c r="A15" s="4">
        <v>2011</v>
      </c>
      <c r="B15">
        <v>174.24</v>
      </c>
    </row>
    <row r="16" spans="1:2" x14ac:dyDescent="0.3">
      <c r="A16" s="4">
        <v>2012</v>
      </c>
      <c r="B16">
        <v>168.03</v>
      </c>
    </row>
    <row r="17" spans="1:2" x14ac:dyDescent="0.3">
      <c r="A17" s="4">
        <v>2013</v>
      </c>
      <c r="B17">
        <v>135.13999999999999</v>
      </c>
    </row>
    <row r="18" spans="1:2" x14ac:dyDescent="0.3">
      <c r="A18" s="4">
        <v>2014</v>
      </c>
      <c r="B18">
        <v>102.54</v>
      </c>
    </row>
    <row r="19" spans="1:2" x14ac:dyDescent="0.3">
      <c r="A19" s="4">
        <v>2015</v>
      </c>
      <c r="B19">
        <v>151.53</v>
      </c>
    </row>
    <row r="20" spans="1:2" x14ac:dyDescent="0.3">
      <c r="A20" s="4">
        <v>2016</v>
      </c>
      <c r="B20">
        <v>133.69</v>
      </c>
    </row>
    <row r="21" spans="1:2" x14ac:dyDescent="0.3">
      <c r="A21" s="4">
        <v>2017</v>
      </c>
      <c r="B21">
        <v>141.87</v>
      </c>
    </row>
    <row r="22" spans="1:2" x14ac:dyDescent="0.3">
      <c r="A22" s="4">
        <v>2018</v>
      </c>
      <c r="B22">
        <v>127.56</v>
      </c>
    </row>
    <row r="23" spans="1:2" x14ac:dyDescent="0.3">
      <c r="A23" s="4">
        <v>2019</v>
      </c>
      <c r="B23">
        <v>130.53</v>
      </c>
    </row>
    <row r="24" spans="1:2" x14ac:dyDescent="0.3">
      <c r="A24" s="4">
        <v>2020</v>
      </c>
      <c r="B24">
        <v>128.91</v>
      </c>
    </row>
    <row r="25" spans="1:2" x14ac:dyDescent="0.3">
      <c r="A25" s="4">
        <v>2021</v>
      </c>
      <c r="B25">
        <v>138.26</v>
      </c>
    </row>
    <row r="26" spans="1:2" x14ac:dyDescent="0.3">
      <c r="A26" s="4">
        <v>2022</v>
      </c>
      <c r="B26">
        <v>119.76</v>
      </c>
    </row>
    <row r="27" spans="1:2" x14ac:dyDescent="0.3">
      <c r="A27" s="4" t="s">
        <v>246</v>
      </c>
      <c r="B27">
        <v>3451.6200000000008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3CA38-6D32-4058-AEC0-B645BC9ADE37}">
  <dimension ref="B2:D56"/>
  <sheetViews>
    <sheetView tabSelected="1" topLeftCell="A28" zoomScale="90" zoomScaleNormal="90" workbookViewId="0">
      <selection activeCell="B32" sqref="B32"/>
    </sheetView>
  </sheetViews>
  <sheetFormatPr defaultRowHeight="14.4" x14ac:dyDescent="0.3"/>
  <cols>
    <col min="2" max="2" width="18.109375" bestFit="1" customWidth="1"/>
    <col min="3" max="3" width="68.21875" bestFit="1" customWidth="1"/>
    <col min="4" max="4" width="62.33203125" bestFit="1" customWidth="1"/>
  </cols>
  <sheetData>
    <row r="2" spans="2:3" x14ac:dyDescent="0.3">
      <c r="B2" s="3" t="s">
        <v>245</v>
      </c>
      <c r="C2" t="s">
        <v>249</v>
      </c>
    </row>
    <row r="3" spans="2:3" x14ac:dyDescent="0.3">
      <c r="B3" s="4">
        <v>2000</v>
      </c>
      <c r="C3" s="9"/>
    </row>
    <row r="4" spans="2:3" x14ac:dyDescent="0.3">
      <c r="B4" s="4">
        <v>2001</v>
      </c>
      <c r="C4" s="9">
        <v>311581.05</v>
      </c>
    </row>
    <row r="5" spans="2:3" x14ac:dyDescent="0.3">
      <c r="B5" s="4">
        <v>2002</v>
      </c>
      <c r="C5" s="9">
        <v>353014.91</v>
      </c>
    </row>
    <row r="6" spans="2:3" x14ac:dyDescent="0.3">
      <c r="B6" s="4">
        <v>2003</v>
      </c>
      <c r="C6" s="9">
        <v>433201.45</v>
      </c>
    </row>
    <row r="7" spans="2:3" x14ac:dyDescent="0.3">
      <c r="B7" s="4">
        <v>2004</v>
      </c>
      <c r="C7" s="9">
        <v>636319.68999999994</v>
      </c>
    </row>
    <row r="8" spans="2:3" x14ac:dyDescent="0.3">
      <c r="B8" s="4">
        <v>2005</v>
      </c>
      <c r="C8" s="9">
        <v>506613.76000000001</v>
      </c>
    </row>
    <row r="9" spans="2:3" x14ac:dyDescent="0.3">
      <c r="B9" s="4">
        <v>2006</v>
      </c>
      <c r="C9" s="9">
        <v>841947.92</v>
      </c>
    </row>
    <row r="10" spans="2:3" x14ac:dyDescent="0.3">
      <c r="B10" s="4">
        <v>2007</v>
      </c>
      <c r="C10" s="9">
        <v>1241403.3799999999</v>
      </c>
    </row>
    <row r="11" spans="2:3" x14ac:dyDescent="0.3">
      <c r="B11" s="4">
        <v>2008</v>
      </c>
      <c r="C11" s="9">
        <v>7140518.75</v>
      </c>
    </row>
    <row r="12" spans="2:3" x14ac:dyDescent="0.3">
      <c r="B12" s="4">
        <v>2009</v>
      </c>
      <c r="C12" s="9">
        <v>19630332</v>
      </c>
    </row>
    <row r="13" spans="2:3" x14ac:dyDescent="0.3">
      <c r="B13" s="4">
        <v>2010</v>
      </c>
      <c r="C13" s="9">
        <v>48416980.32</v>
      </c>
    </row>
    <row r="14" spans="2:3" x14ac:dyDescent="0.3">
      <c r="B14" s="4">
        <v>2011</v>
      </c>
      <c r="C14" s="9">
        <v>31230838.25</v>
      </c>
    </row>
    <row r="15" spans="2:3" x14ac:dyDescent="0.3">
      <c r="B15" s="4">
        <v>2012</v>
      </c>
      <c r="C15" s="9">
        <v>15289436.6</v>
      </c>
    </row>
    <row r="16" spans="2:3" x14ac:dyDescent="0.3">
      <c r="B16" s="4">
        <v>2013</v>
      </c>
      <c r="C16" s="9">
        <v>6562794.1699999999</v>
      </c>
    </row>
    <row r="17" spans="2:4" x14ac:dyDescent="0.3">
      <c r="B17" s="4">
        <v>2014</v>
      </c>
      <c r="C17" s="9">
        <v>11793457.300000001</v>
      </c>
    </row>
    <row r="18" spans="2:4" x14ac:dyDescent="0.3">
      <c r="B18" s="4">
        <v>2015</v>
      </c>
      <c r="C18" s="9">
        <v>5178434.09</v>
      </c>
    </row>
    <row r="19" spans="2:4" x14ac:dyDescent="0.3">
      <c r="B19" s="4">
        <v>2016</v>
      </c>
      <c r="C19" s="9">
        <v>9396030.4600000009</v>
      </c>
    </row>
    <row r="20" spans="2:4" x14ac:dyDescent="0.3">
      <c r="B20" s="4">
        <v>2017</v>
      </c>
      <c r="C20" s="9">
        <v>10740541.380000001</v>
      </c>
    </row>
    <row r="21" spans="2:4" x14ac:dyDescent="0.3">
      <c r="B21" s="4">
        <v>2018</v>
      </c>
      <c r="C21" s="9">
        <v>23118317.25</v>
      </c>
    </row>
    <row r="22" spans="2:4" x14ac:dyDescent="0.3">
      <c r="B22" s="4">
        <v>2019</v>
      </c>
      <c r="C22" s="9">
        <v>19650823.370000001</v>
      </c>
    </row>
    <row r="23" spans="2:4" x14ac:dyDescent="0.3">
      <c r="B23" s="4">
        <v>2020</v>
      </c>
      <c r="C23" s="9">
        <v>13417101.98</v>
      </c>
    </row>
    <row r="24" spans="2:4" x14ac:dyDescent="0.3">
      <c r="B24" s="4">
        <v>2021</v>
      </c>
      <c r="C24" s="9">
        <v>8891584.3200000003</v>
      </c>
    </row>
    <row r="25" spans="2:4" x14ac:dyDescent="0.3">
      <c r="B25" s="4">
        <v>2022</v>
      </c>
      <c r="C25" s="9">
        <v>10008546.550000001</v>
      </c>
    </row>
    <row r="26" spans="2:4" x14ac:dyDescent="0.3">
      <c r="B26" s="4" t="s">
        <v>246</v>
      </c>
      <c r="C26" s="9">
        <v>244789818.95000002</v>
      </c>
    </row>
    <row r="32" spans="2:4" x14ac:dyDescent="0.3">
      <c r="B32" s="3" t="s">
        <v>245</v>
      </c>
      <c r="C32" t="s">
        <v>249</v>
      </c>
      <c r="D32" t="s">
        <v>250</v>
      </c>
    </row>
    <row r="33" spans="2:4" x14ac:dyDescent="0.3">
      <c r="B33" s="4">
        <v>2000</v>
      </c>
      <c r="C33" s="9"/>
      <c r="D33" s="5"/>
    </row>
    <row r="34" spans="2:4" x14ac:dyDescent="0.3">
      <c r="B34" s="4">
        <v>2001</v>
      </c>
      <c r="C34" s="9">
        <v>311581.05</v>
      </c>
      <c r="D34" s="5"/>
    </row>
    <row r="35" spans="2:4" x14ac:dyDescent="0.3">
      <c r="B35" s="4">
        <v>2002</v>
      </c>
      <c r="C35" s="9">
        <v>353014.91</v>
      </c>
      <c r="D35" s="5"/>
    </row>
    <row r="36" spans="2:4" x14ac:dyDescent="0.3">
      <c r="B36" s="4">
        <v>2003</v>
      </c>
      <c r="C36" s="9">
        <v>433201.45</v>
      </c>
      <c r="D36" s="5"/>
    </row>
    <row r="37" spans="2:4" x14ac:dyDescent="0.3">
      <c r="B37" s="4">
        <v>2004</v>
      </c>
      <c r="C37" s="9">
        <v>636319.68999999994</v>
      </c>
      <c r="D37" s="5"/>
    </row>
    <row r="38" spans="2:4" x14ac:dyDescent="0.3">
      <c r="B38" s="4">
        <v>2005</v>
      </c>
      <c r="C38" s="9">
        <v>506613.76000000001</v>
      </c>
      <c r="D38" s="5"/>
    </row>
    <row r="39" spans="2:4" x14ac:dyDescent="0.3">
      <c r="B39" s="4">
        <v>2006</v>
      </c>
      <c r="C39" s="9">
        <v>841947.92</v>
      </c>
      <c r="D39" s="5"/>
    </row>
    <row r="40" spans="2:4" x14ac:dyDescent="0.3">
      <c r="B40" s="4">
        <v>2007</v>
      </c>
      <c r="C40" s="9">
        <v>1241403.3799999999</v>
      </c>
      <c r="D40" s="5"/>
    </row>
    <row r="41" spans="2:4" x14ac:dyDescent="0.3">
      <c r="B41" s="4">
        <v>2008</v>
      </c>
      <c r="C41" s="9">
        <v>7140518.75</v>
      </c>
      <c r="D41" s="5"/>
    </row>
    <row r="42" spans="2:4" x14ac:dyDescent="0.3">
      <c r="B42" s="4">
        <v>2009</v>
      </c>
      <c r="C42" s="9">
        <v>19630332</v>
      </c>
      <c r="D42" s="5"/>
    </row>
    <row r="43" spans="2:4" x14ac:dyDescent="0.3">
      <c r="B43" s="4">
        <v>2010</v>
      </c>
      <c r="C43" s="9">
        <v>48416980.32</v>
      </c>
      <c r="D43" s="5">
        <v>0</v>
      </c>
    </row>
    <row r="44" spans="2:4" x14ac:dyDescent="0.3">
      <c r="B44" s="4">
        <v>2011</v>
      </c>
      <c r="C44" s="9">
        <v>31230838.25</v>
      </c>
      <c r="D44" s="5">
        <v>0</v>
      </c>
    </row>
    <row r="45" spans="2:4" x14ac:dyDescent="0.3">
      <c r="B45" s="4">
        <v>2012</v>
      </c>
      <c r="C45" s="9">
        <v>15289436.6</v>
      </c>
      <c r="D45" s="5">
        <v>0</v>
      </c>
    </row>
    <row r="46" spans="2:4" x14ac:dyDescent="0.3">
      <c r="B46" s="4">
        <v>2013</v>
      </c>
      <c r="C46" s="9">
        <v>6562794.1699999999</v>
      </c>
      <c r="D46" s="5">
        <v>0</v>
      </c>
    </row>
    <row r="47" spans="2:4" x14ac:dyDescent="0.3">
      <c r="B47" s="4">
        <v>2014</v>
      </c>
      <c r="C47" s="9">
        <v>11793457.300000001</v>
      </c>
      <c r="D47" s="5">
        <v>0</v>
      </c>
    </row>
    <row r="48" spans="2:4" x14ac:dyDescent="0.3">
      <c r="B48" s="4">
        <v>2015</v>
      </c>
      <c r="C48" s="9">
        <v>5178434.09</v>
      </c>
      <c r="D48" s="5">
        <v>0</v>
      </c>
    </row>
    <row r="49" spans="2:4" x14ac:dyDescent="0.3">
      <c r="B49" s="4">
        <v>2016</v>
      </c>
      <c r="C49" s="9">
        <v>9396030.4600000009</v>
      </c>
      <c r="D49" s="5">
        <v>0</v>
      </c>
    </row>
    <row r="50" spans="2:4" x14ac:dyDescent="0.3">
      <c r="B50" s="4">
        <v>2017</v>
      </c>
      <c r="C50" s="9">
        <v>10740541.380000001</v>
      </c>
      <c r="D50" s="5">
        <v>0</v>
      </c>
    </row>
    <row r="51" spans="2:4" x14ac:dyDescent="0.3">
      <c r="B51" s="4">
        <v>2018</v>
      </c>
      <c r="C51" s="9">
        <v>23118317.25</v>
      </c>
      <c r="D51" s="5">
        <v>0</v>
      </c>
    </row>
    <row r="52" spans="2:4" x14ac:dyDescent="0.3">
      <c r="B52" s="4">
        <v>2019</v>
      </c>
      <c r="C52" s="9">
        <v>19650823.370000001</v>
      </c>
      <c r="D52" s="5">
        <v>0</v>
      </c>
    </row>
    <row r="53" spans="2:4" x14ac:dyDescent="0.3">
      <c r="B53" s="4">
        <v>2020</v>
      </c>
      <c r="C53" s="9">
        <v>13417101.98</v>
      </c>
      <c r="D53" s="5">
        <v>0</v>
      </c>
    </row>
    <row r="54" spans="2:4" x14ac:dyDescent="0.3">
      <c r="B54" s="4">
        <v>2021</v>
      </c>
      <c r="C54" s="9">
        <v>8891584.3200000003</v>
      </c>
      <c r="D54" s="5">
        <v>0</v>
      </c>
    </row>
    <row r="55" spans="2:4" x14ac:dyDescent="0.3">
      <c r="B55" s="4">
        <v>2022</v>
      </c>
      <c r="C55" s="9">
        <v>10008546.550000001</v>
      </c>
      <c r="D55" s="5">
        <v>0</v>
      </c>
    </row>
    <row r="56" spans="2:4" x14ac:dyDescent="0.3">
      <c r="B56" s="4" t="s">
        <v>246</v>
      </c>
      <c r="C56" s="9">
        <v>244789818.95000002</v>
      </c>
      <c r="D56" s="5">
        <v>0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74C80-8677-4A9A-B847-6C005A77B722}">
  <dimension ref="B2:B236"/>
  <sheetViews>
    <sheetView topLeftCell="A113" workbookViewId="0">
      <selection activeCell="B132" sqref="B132"/>
    </sheetView>
  </sheetViews>
  <sheetFormatPr defaultRowHeight="14.4" x14ac:dyDescent="0.3"/>
  <cols>
    <col min="1" max="1" width="4.77734375" customWidth="1"/>
    <col min="2" max="2" width="101.6640625" bestFit="1" customWidth="1"/>
    <col min="3" max="3" width="91.33203125" bestFit="1" customWidth="1"/>
    <col min="4" max="4" width="84.109375" bestFit="1" customWidth="1"/>
    <col min="5" max="5" width="76.5546875" bestFit="1" customWidth="1"/>
    <col min="6" max="6" width="75.77734375" bestFit="1" customWidth="1"/>
    <col min="7" max="7" width="89.33203125" bestFit="1" customWidth="1"/>
    <col min="8" max="8" width="88.5546875" bestFit="1" customWidth="1"/>
    <col min="9" max="9" width="90.88671875" bestFit="1" customWidth="1"/>
    <col min="10" max="10" width="90.44140625" bestFit="1" customWidth="1"/>
    <col min="11" max="11" width="83.33203125" bestFit="1" customWidth="1"/>
    <col min="12" max="12" width="72" bestFit="1" customWidth="1"/>
    <col min="13" max="13" width="74.21875" bestFit="1" customWidth="1"/>
    <col min="14" max="14" width="61" bestFit="1" customWidth="1"/>
    <col min="15" max="15" width="89.5546875" bestFit="1" customWidth="1"/>
    <col min="16" max="16" width="47.77734375" bestFit="1" customWidth="1"/>
    <col min="17" max="17" width="76.33203125" bestFit="1" customWidth="1"/>
    <col min="18" max="19" width="50.109375" bestFit="1" customWidth="1"/>
  </cols>
  <sheetData>
    <row r="2" spans="2:2" x14ac:dyDescent="0.3">
      <c r="B2" t="s">
        <v>0</v>
      </c>
    </row>
    <row r="3" spans="2:2" x14ac:dyDescent="0.3">
      <c r="B3" t="s">
        <v>1</v>
      </c>
    </row>
    <row r="4" spans="2:2" x14ac:dyDescent="0.3">
      <c r="B4" t="s">
        <v>2</v>
      </c>
    </row>
    <row r="5" spans="2:2" x14ac:dyDescent="0.3">
      <c r="B5" t="s">
        <v>3</v>
      </c>
    </row>
    <row r="6" spans="2:2" x14ac:dyDescent="0.3">
      <c r="B6" t="s">
        <v>4</v>
      </c>
    </row>
    <row r="7" spans="2:2" x14ac:dyDescent="0.3">
      <c r="B7" t="s">
        <v>5</v>
      </c>
    </row>
    <row r="8" spans="2:2" x14ac:dyDescent="0.3">
      <c r="B8" t="s">
        <v>6</v>
      </c>
    </row>
    <row r="9" spans="2:2" x14ac:dyDescent="0.3">
      <c r="B9" t="s">
        <v>7</v>
      </c>
    </row>
    <row r="10" spans="2:2" x14ac:dyDescent="0.3">
      <c r="B10" t="s">
        <v>8</v>
      </c>
    </row>
    <row r="11" spans="2:2" x14ac:dyDescent="0.3">
      <c r="B11" t="s">
        <v>9</v>
      </c>
    </row>
    <row r="12" spans="2:2" x14ac:dyDescent="0.3">
      <c r="B12" s="6" t="s">
        <v>10</v>
      </c>
    </row>
    <row r="13" spans="2:2" x14ac:dyDescent="0.3">
      <c r="B13" s="6" t="s">
        <v>11</v>
      </c>
    </row>
    <row r="14" spans="2:2" x14ac:dyDescent="0.3">
      <c r="B14" s="6" t="s">
        <v>12</v>
      </c>
    </row>
    <row r="15" spans="2:2" x14ac:dyDescent="0.3">
      <c r="B15" s="6" t="s">
        <v>13</v>
      </c>
    </row>
    <row r="16" spans="2:2" x14ac:dyDescent="0.3">
      <c r="B16" s="6" t="s">
        <v>14</v>
      </c>
    </row>
    <row r="17" spans="2:2" x14ac:dyDescent="0.3">
      <c r="B17" s="6" t="s">
        <v>15</v>
      </c>
    </row>
    <row r="18" spans="2:2" x14ac:dyDescent="0.3">
      <c r="B18" s="6" t="s">
        <v>16</v>
      </c>
    </row>
    <row r="19" spans="2:2" x14ac:dyDescent="0.3">
      <c r="B19" s="6" t="s">
        <v>17</v>
      </c>
    </row>
    <row r="20" spans="2:2" x14ac:dyDescent="0.3">
      <c r="B20" s="6" t="s">
        <v>18</v>
      </c>
    </row>
    <row r="21" spans="2:2" x14ac:dyDescent="0.3">
      <c r="B21" s="6" t="s">
        <v>19</v>
      </c>
    </row>
    <row r="22" spans="2:2" x14ac:dyDescent="0.3">
      <c r="B22" s="6" t="s">
        <v>20</v>
      </c>
    </row>
    <row r="23" spans="2:2" x14ac:dyDescent="0.3">
      <c r="B23" s="6" t="s">
        <v>21</v>
      </c>
    </row>
    <row r="24" spans="2:2" x14ac:dyDescent="0.3">
      <c r="B24" s="6" t="s">
        <v>22</v>
      </c>
    </row>
    <row r="25" spans="2:2" x14ac:dyDescent="0.3">
      <c r="B25" s="6" t="s">
        <v>23</v>
      </c>
    </row>
    <row r="26" spans="2:2" x14ac:dyDescent="0.3">
      <c r="B26" s="6" t="s">
        <v>24</v>
      </c>
    </row>
    <row r="27" spans="2:2" x14ac:dyDescent="0.3">
      <c r="B27" s="7" t="s">
        <v>25</v>
      </c>
    </row>
    <row r="28" spans="2:2" x14ac:dyDescent="0.3">
      <c r="B28" s="7" t="s">
        <v>26</v>
      </c>
    </row>
    <row r="29" spans="2:2" x14ac:dyDescent="0.3">
      <c r="B29" t="s">
        <v>27</v>
      </c>
    </row>
    <row r="30" spans="2:2" x14ac:dyDescent="0.3">
      <c r="B30" t="s">
        <v>28</v>
      </c>
    </row>
    <row r="31" spans="2:2" x14ac:dyDescent="0.3">
      <c r="B31" t="s">
        <v>29</v>
      </c>
    </row>
    <row r="32" spans="2:2" x14ac:dyDescent="0.3">
      <c r="B32" t="s">
        <v>30</v>
      </c>
    </row>
    <row r="33" spans="2:2" x14ac:dyDescent="0.3">
      <c r="B33" t="s">
        <v>31</v>
      </c>
    </row>
    <row r="34" spans="2:2" x14ac:dyDescent="0.3">
      <c r="B34" t="s">
        <v>32</v>
      </c>
    </row>
    <row r="35" spans="2:2" x14ac:dyDescent="0.3">
      <c r="B35" t="s">
        <v>33</v>
      </c>
    </row>
    <row r="36" spans="2:2" x14ac:dyDescent="0.3">
      <c r="B36" t="s">
        <v>34</v>
      </c>
    </row>
    <row r="37" spans="2:2" x14ac:dyDescent="0.3">
      <c r="B37" t="s">
        <v>35</v>
      </c>
    </row>
    <row r="38" spans="2:2" x14ac:dyDescent="0.3">
      <c r="B38" t="s">
        <v>36</v>
      </c>
    </row>
    <row r="39" spans="2:2" x14ac:dyDescent="0.3">
      <c r="B39" t="s">
        <v>37</v>
      </c>
    </row>
    <row r="40" spans="2:2" x14ac:dyDescent="0.3">
      <c r="B40" t="s">
        <v>38</v>
      </c>
    </row>
    <row r="41" spans="2:2" x14ac:dyDescent="0.3">
      <c r="B41" t="s">
        <v>39</v>
      </c>
    </row>
    <row r="42" spans="2:2" x14ac:dyDescent="0.3">
      <c r="B42" t="s">
        <v>40</v>
      </c>
    </row>
    <row r="43" spans="2:2" x14ac:dyDescent="0.3">
      <c r="B43" t="s">
        <v>41</v>
      </c>
    </row>
    <row r="44" spans="2:2" x14ac:dyDescent="0.3">
      <c r="B44" t="s">
        <v>42</v>
      </c>
    </row>
    <row r="45" spans="2:2" x14ac:dyDescent="0.3">
      <c r="B45" t="s">
        <v>43</v>
      </c>
    </row>
    <row r="46" spans="2:2" x14ac:dyDescent="0.3">
      <c r="B46" t="s">
        <v>44</v>
      </c>
    </row>
    <row r="47" spans="2:2" x14ac:dyDescent="0.3">
      <c r="B47" t="s">
        <v>45</v>
      </c>
    </row>
    <row r="48" spans="2:2" x14ac:dyDescent="0.3">
      <c r="B48" t="s">
        <v>46</v>
      </c>
    </row>
    <row r="49" spans="2:2" x14ac:dyDescent="0.3">
      <c r="B49" t="s">
        <v>47</v>
      </c>
    </row>
    <row r="50" spans="2:2" x14ac:dyDescent="0.3">
      <c r="B50" t="s">
        <v>48</v>
      </c>
    </row>
    <row r="51" spans="2:2" x14ac:dyDescent="0.3">
      <c r="B51" t="s">
        <v>49</v>
      </c>
    </row>
    <row r="52" spans="2:2" x14ac:dyDescent="0.3">
      <c r="B52" t="s">
        <v>50</v>
      </c>
    </row>
    <row r="53" spans="2:2" x14ac:dyDescent="0.3">
      <c r="B53" t="s">
        <v>51</v>
      </c>
    </row>
    <row r="54" spans="2:2" x14ac:dyDescent="0.3">
      <c r="B54" t="s">
        <v>52</v>
      </c>
    </row>
    <row r="55" spans="2:2" x14ac:dyDescent="0.3">
      <c r="B55" t="s">
        <v>53</v>
      </c>
    </row>
    <row r="56" spans="2:2" x14ac:dyDescent="0.3">
      <c r="B56" t="s">
        <v>54</v>
      </c>
    </row>
    <row r="57" spans="2:2" x14ac:dyDescent="0.3">
      <c r="B57" t="s">
        <v>55</v>
      </c>
    </row>
    <row r="58" spans="2:2" x14ac:dyDescent="0.3">
      <c r="B58" t="s">
        <v>56</v>
      </c>
    </row>
    <row r="59" spans="2:2" x14ac:dyDescent="0.3">
      <c r="B59" t="s">
        <v>57</v>
      </c>
    </row>
    <row r="60" spans="2:2" x14ac:dyDescent="0.3">
      <c r="B60" t="s">
        <v>58</v>
      </c>
    </row>
    <row r="61" spans="2:2" x14ac:dyDescent="0.3">
      <c r="B61" t="s">
        <v>59</v>
      </c>
    </row>
    <row r="62" spans="2:2" x14ac:dyDescent="0.3">
      <c r="B62" t="s">
        <v>60</v>
      </c>
    </row>
    <row r="63" spans="2:2" x14ac:dyDescent="0.3">
      <c r="B63" t="s">
        <v>61</v>
      </c>
    </row>
    <row r="64" spans="2:2" x14ac:dyDescent="0.3">
      <c r="B64" t="s">
        <v>62</v>
      </c>
    </row>
    <row r="65" spans="2:2" x14ac:dyDescent="0.3">
      <c r="B65" t="s">
        <v>63</v>
      </c>
    </row>
    <row r="66" spans="2:2" x14ac:dyDescent="0.3">
      <c r="B66" t="s">
        <v>64</v>
      </c>
    </row>
    <row r="67" spans="2:2" x14ac:dyDescent="0.3">
      <c r="B67" t="s">
        <v>65</v>
      </c>
    </row>
    <row r="68" spans="2:2" x14ac:dyDescent="0.3">
      <c r="B68" t="s">
        <v>66</v>
      </c>
    </row>
    <row r="69" spans="2:2" x14ac:dyDescent="0.3">
      <c r="B69" t="s">
        <v>67</v>
      </c>
    </row>
    <row r="70" spans="2:2" x14ac:dyDescent="0.3">
      <c r="B70" t="s">
        <v>68</v>
      </c>
    </row>
    <row r="71" spans="2:2" x14ac:dyDescent="0.3">
      <c r="B71" t="s">
        <v>69</v>
      </c>
    </row>
    <row r="72" spans="2:2" x14ac:dyDescent="0.3">
      <c r="B72" t="s">
        <v>70</v>
      </c>
    </row>
    <row r="73" spans="2:2" x14ac:dyDescent="0.3">
      <c r="B73" t="s">
        <v>71</v>
      </c>
    </row>
    <row r="74" spans="2:2" x14ac:dyDescent="0.3">
      <c r="B74" t="s">
        <v>72</v>
      </c>
    </row>
    <row r="75" spans="2:2" x14ac:dyDescent="0.3">
      <c r="B75" t="s">
        <v>73</v>
      </c>
    </row>
    <row r="76" spans="2:2" x14ac:dyDescent="0.3">
      <c r="B76" t="s">
        <v>74</v>
      </c>
    </row>
    <row r="77" spans="2:2" x14ac:dyDescent="0.3">
      <c r="B77" t="s">
        <v>75</v>
      </c>
    </row>
    <row r="78" spans="2:2" x14ac:dyDescent="0.3">
      <c r="B78" t="s">
        <v>76</v>
      </c>
    </row>
    <row r="79" spans="2:2" x14ac:dyDescent="0.3">
      <c r="B79" t="s">
        <v>77</v>
      </c>
    </row>
    <row r="80" spans="2:2" x14ac:dyDescent="0.3">
      <c r="B80" t="s">
        <v>78</v>
      </c>
    </row>
    <row r="81" spans="2:2" x14ac:dyDescent="0.3">
      <c r="B81" t="s">
        <v>79</v>
      </c>
    </row>
    <row r="82" spans="2:2" x14ac:dyDescent="0.3">
      <c r="B82" t="s">
        <v>80</v>
      </c>
    </row>
    <row r="83" spans="2:2" x14ac:dyDescent="0.3">
      <c r="B83" t="s">
        <v>81</v>
      </c>
    </row>
    <row r="84" spans="2:2" x14ac:dyDescent="0.3">
      <c r="B84" t="s">
        <v>82</v>
      </c>
    </row>
    <row r="85" spans="2:2" x14ac:dyDescent="0.3">
      <c r="B85" t="s">
        <v>83</v>
      </c>
    </row>
    <row r="86" spans="2:2" x14ac:dyDescent="0.3">
      <c r="B86" t="s">
        <v>84</v>
      </c>
    </row>
    <row r="87" spans="2:2" x14ac:dyDescent="0.3">
      <c r="B87" t="s">
        <v>85</v>
      </c>
    </row>
    <row r="88" spans="2:2" x14ac:dyDescent="0.3">
      <c r="B88" t="s">
        <v>86</v>
      </c>
    </row>
    <row r="89" spans="2:2" x14ac:dyDescent="0.3">
      <c r="B89" t="s">
        <v>87</v>
      </c>
    </row>
    <row r="90" spans="2:2" x14ac:dyDescent="0.3">
      <c r="B90" t="s">
        <v>88</v>
      </c>
    </row>
    <row r="91" spans="2:2" x14ac:dyDescent="0.3">
      <c r="B91" t="s">
        <v>89</v>
      </c>
    </row>
    <row r="92" spans="2:2" x14ac:dyDescent="0.3">
      <c r="B92" t="s">
        <v>90</v>
      </c>
    </row>
    <row r="93" spans="2:2" x14ac:dyDescent="0.3">
      <c r="B93" t="s">
        <v>91</v>
      </c>
    </row>
    <row r="94" spans="2:2" x14ac:dyDescent="0.3">
      <c r="B94" t="s">
        <v>92</v>
      </c>
    </row>
    <row r="95" spans="2:2" x14ac:dyDescent="0.3">
      <c r="B95" t="s">
        <v>93</v>
      </c>
    </row>
    <row r="96" spans="2:2" x14ac:dyDescent="0.3">
      <c r="B96" t="s">
        <v>94</v>
      </c>
    </row>
    <row r="97" spans="2:2" x14ac:dyDescent="0.3">
      <c r="B97" t="s">
        <v>95</v>
      </c>
    </row>
    <row r="98" spans="2:2" x14ac:dyDescent="0.3">
      <c r="B98" t="s">
        <v>96</v>
      </c>
    </row>
    <row r="99" spans="2:2" x14ac:dyDescent="0.3">
      <c r="B99" t="s">
        <v>97</v>
      </c>
    </row>
    <row r="100" spans="2:2" x14ac:dyDescent="0.3">
      <c r="B100" t="s">
        <v>98</v>
      </c>
    </row>
    <row r="101" spans="2:2" x14ac:dyDescent="0.3">
      <c r="B101" t="s">
        <v>99</v>
      </c>
    </row>
    <row r="102" spans="2:2" x14ac:dyDescent="0.3">
      <c r="B102" t="s">
        <v>100</v>
      </c>
    </row>
    <row r="103" spans="2:2" x14ac:dyDescent="0.3">
      <c r="B103" t="s">
        <v>101</v>
      </c>
    </row>
    <row r="104" spans="2:2" x14ac:dyDescent="0.3">
      <c r="B104" t="s">
        <v>102</v>
      </c>
    </row>
    <row r="105" spans="2:2" x14ac:dyDescent="0.3">
      <c r="B105" t="s">
        <v>103</v>
      </c>
    </row>
    <row r="106" spans="2:2" x14ac:dyDescent="0.3">
      <c r="B106" t="s">
        <v>104</v>
      </c>
    </row>
    <row r="107" spans="2:2" x14ac:dyDescent="0.3">
      <c r="B107" t="s">
        <v>105</v>
      </c>
    </row>
    <row r="108" spans="2:2" x14ac:dyDescent="0.3">
      <c r="B108" s="8" t="s">
        <v>106</v>
      </c>
    </row>
    <row r="109" spans="2:2" x14ac:dyDescent="0.3">
      <c r="B109" s="8" t="s">
        <v>107</v>
      </c>
    </row>
    <row r="110" spans="2:2" x14ac:dyDescent="0.3">
      <c r="B110" s="8" t="s">
        <v>108</v>
      </c>
    </row>
    <row r="111" spans="2:2" x14ac:dyDescent="0.3">
      <c r="B111" t="s">
        <v>109</v>
      </c>
    </row>
    <row r="112" spans="2:2" x14ac:dyDescent="0.3">
      <c r="B112" t="s">
        <v>110</v>
      </c>
    </row>
    <row r="113" spans="2:2" x14ac:dyDescent="0.3">
      <c r="B113" t="s">
        <v>111</v>
      </c>
    </row>
    <row r="114" spans="2:2" x14ac:dyDescent="0.3">
      <c r="B114" t="s">
        <v>112</v>
      </c>
    </row>
    <row r="115" spans="2:2" x14ac:dyDescent="0.3">
      <c r="B115" s="8" t="s">
        <v>113</v>
      </c>
    </row>
    <row r="116" spans="2:2" x14ac:dyDescent="0.3">
      <c r="B116" s="8" t="s">
        <v>114</v>
      </c>
    </row>
    <row r="117" spans="2:2" x14ac:dyDescent="0.3">
      <c r="B117" s="8" t="s">
        <v>115</v>
      </c>
    </row>
    <row r="118" spans="2:2" x14ac:dyDescent="0.3">
      <c r="B118" s="8" t="s">
        <v>116</v>
      </c>
    </row>
    <row r="119" spans="2:2" x14ac:dyDescent="0.3">
      <c r="B119" t="s">
        <v>117</v>
      </c>
    </row>
    <row r="120" spans="2:2" x14ac:dyDescent="0.3">
      <c r="B120" t="s">
        <v>118</v>
      </c>
    </row>
    <row r="121" spans="2:2" x14ac:dyDescent="0.3">
      <c r="B121" t="s">
        <v>119</v>
      </c>
    </row>
    <row r="122" spans="2:2" x14ac:dyDescent="0.3">
      <c r="B122" t="s">
        <v>120</v>
      </c>
    </row>
    <row r="123" spans="2:2" x14ac:dyDescent="0.3">
      <c r="B123" t="s">
        <v>121</v>
      </c>
    </row>
    <row r="124" spans="2:2" x14ac:dyDescent="0.3">
      <c r="B124" t="s">
        <v>122</v>
      </c>
    </row>
    <row r="125" spans="2:2" x14ac:dyDescent="0.3">
      <c r="B125" t="s">
        <v>123</v>
      </c>
    </row>
    <row r="126" spans="2:2" x14ac:dyDescent="0.3">
      <c r="B126" s="10" t="s">
        <v>124</v>
      </c>
    </row>
    <row r="127" spans="2:2" x14ac:dyDescent="0.3">
      <c r="B127" s="10" t="s">
        <v>125</v>
      </c>
    </row>
    <row r="128" spans="2:2" x14ac:dyDescent="0.3">
      <c r="B128" s="10" t="s">
        <v>126</v>
      </c>
    </row>
    <row r="129" spans="2:2" x14ac:dyDescent="0.3">
      <c r="B129" s="10" t="s">
        <v>127</v>
      </c>
    </row>
    <row r="130" spans="2:2" x14ac:dyDescent="0.3">
      <c r="B130" s="10" t="s">
        <v>128</v>
      </c>
    </row>
    <row r="131" spans="2:2" x14ac:dyDescent="0.3">
      <c r="B131" s="10" t="s">
        <v>129</v>
      </c>
    </row>
    <row r="132" spans="2:2" x14ac:dyDescent="0.3">
      <c r="B132" s="10" t="s">
        <v>130</v>
      </c>
    </row>
    <row r="133" spans="2:2" x14ac:dyDescent="0.3">
      <c r="B133" t="s">
        <v>131</v>
      </c>
    </row>
    <row r="134" spans="2:2" x14ac:dyDescent="0.3">
      <c r="B134" t="s">
        <v>132</v>
      </c>
    </row>
    <row r="135" spans="2:2" x14ac:dyDescent="0.3">
      <c r="B135" t="s">
        <v>133</v>
      </c>
    </row>
    <row r="136" spans="2:2" x14ac:dyDescent="0.3">
      <c r="B136" t="s">
        <v>134</v>
      </c>
    </row>
    <row r="137" spans="2:2" x14ac:dyDescent="0.3">
      <c r="B137" t="s">
        <v>135</v>
      </c>
    </row>
    <row r="138" spans="2:2" x14ac:dyDescent="0.3">
      <c r="B138" t="s">
        <v>136</v>
      </c>
    </row>
    <row r="139" spans="2:2" x14ac:dyDescent="0.3">
      <c r="B139" t="s">
        <v>137</v>
      </c>
    </row>
    <row r="140" spans="2:2" x14ac:dyDescent="0.3">
      <c r="B140" t="s">
        <v>138</v>
      </c>
    </row>
    <row r="141" spans="2:2" x14ac:dyDescent="0.3">
      <c r="B141" t="s">
        <v>139</v>
      </c>
    </row>
    <row r="142" spans="2:2" x14ac:dyDescent="0.3">
      <c r="B142" t="s">
        <v>140</v>
      </c>
    </row>
    <row r="143" spans="2:2" x14ac:dyDescent="0.3">
      <c r="B143" t="s">
        <v>141</v>
      </c>
    </row>
    <row r="144" spans="2:2" x14ac:dyDescent="0.3">
      <c r="B144" t="s">
        <v>142</v>
      </c>
    </row>
    <row r="145" spans="2:2" x14ac:dyDescent="0.3">
      <c r="B145" t="s">
        <v>143</v>
      </c>
    </row>
    <row r="146" spans="2:2" x14ac:dyDescent="0.3">
      <c r="B146" t="s">
        <v>144</v>
      </c>
    </row>
    <row r="147" spans="2:2" x14ac:dyDescent="0.3">
      <c r="B147" t="s">
        <v>145</v>
      </c>
    </row>
    <row r="148" spans="2:2" x14ac:dyDescent="0.3">
      <c r="B148" t="s">
        <v>146</v>
      </c>
    </row>
    <row r="149" spans="2:2" x14ac:dyDescent="0.3">
      <c r="B149" t="s">
        <v>147</v>
      </c>
    </row>
    <row r="150" spans="2:2" x14ac:dyDescent="0.3">
      <c r="B150" t="s">
        <v>148</v>
      </c>
    </row>
    <row r="151" spans="2:2" x14ac:dyDescent="0.3">
      <c r="B151" t="s">
        <v>149</v>
      </c>
    </row>
    <row r="152" spans="2:2" x14ac:dyDescent="0.3">
      <c r="B152" t="s">
        <v>150</v>
      </c>
    </row>
    <row r="153" spans="2:2" x14ac:dyDescent="0.3">
      <c r="B153" t="s">
        <v>151</v>
      </c>
    </row>
    <row r="154" spans="2:2" x14ac:dyDescent="0.3">
      <c r="B154" t="s">
        <v>152</v>
      </c>
    </row>
    <row r="155" spans="2:2" x14ac:dyDescent="0.3">
      <c r="B155" t="s">
        <v>153</v>
      </c>
    </row>
    <row r="156" spans="2:2" x14ac:dyDescent="0.3">
      <c r="B156" t="s">
        <v>154</v>
      </c>
    </row>
    <row r="157" spans="2:2" x14ac:dyDescent="0.3">
      <c r="B157" t="s">
        <v>155</v>
      </c>
    </row>
    <row r="158" spans="2:2" x14ac:dyDescent="0.3">
      <c r="B158" t="s">
        <v>156</v>
      </c>
    </row>
    <row r="159" spans="2:2" x14ac:dyDescent="0.3">
      <c r="B159" t="s">
        <v>157</v>
      </c>
    </row>
    <row r="160" spans="2:2" x14ac:dyDescent="0.3">
      <c r="B160" t="s">
        <v>158</v>
      </c>
    </row>
    <row r="161" spans="2:2" x14ac:dyDescent="0.3">
      <c r="B161" t="s">
        <v>159</v>
      </c>
    </row>
    <row r="162" spans="2:2" x14ac:dyDescent="0.3">
      <c r="B162" t="s">
        <v>160</v>
      </c>
    </row>
    <row r="163" spans="2:2" x14ac:dyDescent="0.3">
      <c r="B163" t="s">
        <v>161</v>
      </c>
    </row>
    <row r="164" spans="2:2" x14ac:dyDescent="0.3">
      <c r="B164" t="s">
        <v>162</v>
      </c>
    </row>
    <row r="165" spans="2:2" x14ac:dyDescent="0.3">
      <c r="B165" t="s">
        <v>163</v>
      </c>
    </row>
    <row r="166" spans="2:2" x14ac:dyDescent="0.3">
      <c r="B166" t="s">
        <v>164</v>
      </c>
    </row>
    <row r="167" spans="2:2" x14ac:dyDescent="0.3">
      <c r="B167" t="s">
        <v>165</v>
      </c>
    </row>
    <row r="168" spans="2:2" x14ac:dyDescent="0.3">
      <c r="B168" t="s">
        <v>166</v>
      </c>
    </row>
    <row r="169" spans="2:2" x14ac:dyDescent="0.3">
      <c r="B169" t="s">
        <v>167</v>
      </c>
    </row>
    <row r="170" spans="2:2" x14ac:dyDescent="0.3">
      <c r="B170" t="s">
        <v>168</v>
      </c>
    </row>
    <row r="171" spans="2:2" x14ac:dyDescent="0.3">
      <c r="B171" t="s">
        <v>169</v>
      </c>
    </row>
    <row r="172" spans="2:2" x14ac:dyDescent="0.3">
      <c r="B172" t="s">
        <v>170</v>
      </c>
    </row>
    <row r="173" spans="2:2" x14ac:dyDescent="0.3">
      <c r="B173" t="s">
        <v>171</v>
      </c>
    </row>
    <row r="174" spans="2:2" x14ac:dyDescent="0.3">
      <c r="B174" t="s">
        <v>172</v>
      </c>
    </row>
    <row r="175" spans="2:2" x14ac:dyDescent="0.3">
      <c r="B175" t="s">
        <v>173</v>
      </c>
    </row>
    <row r="176" spans="2:2" x14ac:dyDescent="0.3">
      <c r="B176" t="s">
        <v>174</v>
      </c>
    </row>
    <row r="177" spans="2:2" x14ac:dyDescent="0.3">
      <c r="B177" t="s">
        <v>175</v>
      </c>
    </row>
    <row r="178" spans="2:2" x14ac:dyDescent="0.3">
      <c r="B178" t="s">
        <v>176</v>
      </c>
    </row>
    <row r="179" spans="2:2" x14ac:dyDescent="0.3">
      <c r="B179" t="s">
        <v>177</v>
      </c>
    </row>
    <row r="180" spans="2:2" x14ac:dyDescent="0.3">
      <c r="B180" t="s">
        <v>178</v>
      </c>
    </row>
    <row r="181" spans="2:2" x14ac:dyDescent="0.3">
      <c r="B181" t="s">
        <v>179</v>
      </c>
    </row>
    <row r="182" spans="2:2" x14ac:dyDescent="0.3">
      <c r="B182" t="s">
        <v>180</v>
      </c>
    </row>
    <row r="183" spans="2:2" x14ac:dyDescent="0.3">
      <c r="B183" t="s">
        <v>181</v>
      </c>
    </row>
    <row r="184" spans="2:2" x14ac:dyDescent="0.3">
      <c r="B184" t="s">
        <v>182</v>
      </c>
    </row>
    <row r="185" spans="2:2" x14ac:dyDescent="0.3">
      <c r="B185" t="s">
        <v>183</v>
      </c>
    </row>
    <row r="186" spans="2:2" x14ac:dyDescent="0.3">
      <c r="B186" t="s">
        <v>184</v>
      </c>
    </row>
    <row r="187" spans="2:2" x14ac:dyDescent="0.3">
      <c r="B187" t="s">
        <v>185</v>
      </c>
    </row>
    <row r="188" spans="2:2" x14ac:dyDescent="0.3">
      <c r="B188" t="s">
        <v>186</v>
      </c>
    </row>
    <row r="189" spans="2:2" x14ac:dyDescent="0.3">
      <c r="B189" t="s">
        <v>187</v>
      </c>
    </row>
    <row r="190" spans="2:2" x14ac:dyDescent="0.3">
      <c r="B190" t="s">
        <v>188</v>
      </c>
    </row>
    <row r="191" spans="2:2" x14ac:dyDescent="0.3">
      <c r="B191" t="s">
        <v>189</v>
      </c>
    </row>
    <row r="192" spans="2:2" x14ac:dyDescent="0.3">
      <c r="B192" t="s">
        <v>190</v>
      </c>
    </row>
    <row r="193" spans="2:2" x14ac:dyDescent="0.3">
      <c r="B193" t="s">
        <v>191</v>
      </c>
    </row>
    <row r="194" spans="2:2" x14ac:dyDescent="0.3">
      <c r="B194" t="s">
        <v>192</v>
      </c>
    </row>
    <row r="195" spans="2:2" x14ac:dyDescent="0.3">
      <c r="B195" t="s">
        <v>193</v>
      </c>
    </row>
    <row r="196" spans="2:2" x14ac:dyDescent="0.3">
      <c r="B196" t="s">
        <v>194</v>
      </c>
    </row>
    <row r="197" spans="2:2" x14ac:dyDescent="0.3">
      <c r="B197" t="s">
        <v>195</v>
      </c>
    </row>
    <row r="198" spans="2:2" x14ac:dyDescent="0.3">
      <c r="B198" t="s">
        <v>196</v>
      </c>
    </row>
    <row r="199" spans="2:2" x14ac:dyDescent="0.3">
      <c r="B199" t="s">
        <v>197</v>
      </c>
    </row>
    <row r="200" spans="2:2" x14ac:dyDescent="0.3">
      <c r="B200" t="s">
        <v>198</v>
      </c>
    </row>
    <row r="201" spans="2:2" x14ac:dyDescent="0.3">
      <c r="B201" t="s">
        <v>199</v>
      </c>
    </row>
    <row r="202" spans="2:2" x14ac:dyDescent="0.3">
      <c r="B202" t="s">
        <v>200</v>
      </c>
    </row>
    <row r="203" spans="2:2" x14ac:dyDescent="0.3">
      <c r="B203" t="s">
        <v>201</v>
      </c>
    </row>
    <row r="204" spans="2:2" x14ac:dyDescent="0.3">
      <c r="B204" t="s">
        <v>202</v>
      </c>
    </row>
    <row r="205" spans="2:2" x14ac:dyDescent="0.3">
      <c r="B205" t="s">
        <v>203</v>
      </c>
    </row>
    <row r="206" spans="2:2" x14ac:dyDescent="0.3">
      <c r="B206" t="s">
        <v>204</v>
      </c>
    </row>
    <row r="207" spans="2:2" x14ac:dyDescent="0.3">
      <c r="B207" t="s">
        <v>205</v>
      </c>
    </row>
    <row r="208" spans="2:2" x14ac:dyDescent="0.3">
      <c r="B208" t="s">
        <v>206</v>
      </c>
    </row>
    <row r="209" spans="2:2" x14ac:dyDescent="0.3">
      <c r="B209" t="s">
        <v>207</v>
      </c>
    </row>
    <row r="210" spans="2:2" x14ac:dyDescent="0.3">
      <c r="B210" t="s">
        <v>208</v>
      </c>
    </row>
    <row r="211" spans="2:2" x14ac:dyDescent="0.3">
      <c r="B211" t="s">
        <v>209</v>
      </c>
    </row>
    <row r="212" spans="2:2" x14ac:dyDescent="0.3">
      <c r="B212" t="s">
        <v>210</v>
      </c>
    </row>
    <row r="213" spans="2:2" x14ac:dyDescent="0.3">
      <c r="B213" t="s">
        <v>211</v>
      </c>
    </row>
    <row r="214" spans="2:2" x14ac:dyDescent="0.3">
      <c r="B214" t="s">
        <v>212</v>
      </c>
    </row>
    <row r="215" spans="2:2" x14ac:dyDescent="0.3">
      <c r="B215" t="s">
        <v>213</v>
      </c>
    </row>
    <row r="216" spans="2:2" x14ac:dyDescent="0.3">
      <c r="B216" t="s">
        <v>214</v>
      </c>
    </row>
    <row r="217" spans="2:2" x14ac:dyDescent="0.3">
      <c r="B217" t="s">
        <v>215</v>
      </c>
    </row>
    <row r="218" spans="2:2" x14ac:dyDescent="0.3">
      <c r="B218" t="s">
        <v>216</v>
      </c>
    </row>
    <row r="219" spans="2:2" x14ac:dyDescent="0.3">
      <c r="B219" t="s">
        <v>217</v>
      </c>
    </row>
    <row r="220" spans="2:2" x14ac:dyDescent="0.3">
      <c r="B220" t="s">
        <v>218</v>
      </c>
    </row>
    <row r="221" spans="2:2" x14ac:dyDescent="0.3">
      <c r="B221" t="s">
        <v>219</v>
      </c>
    </row>
    <row r="222" spans="2:2" x14ac:dyDescent="0.3">
      <c r="B222" t="s">
        <v>220</v>
      </c>
    </row>
    <row r="223" spans="2:2" x14ac:dyDescent="0.3">
      <c r="B223" t="s">
        <v>221</v>
      </c>
    </row>
    <row r="224" spans="2:2" x14ac:dyDescent="0.3">
      <c r="B224" t="s">
        <v>222</v>
      </c>
    </row>
    <row r="225" spans="2:2" x14ac:dyDescent="0.3">
      <c r="B225" t="s">
        <v>223</v>
      </c>
    </row>
    <row r="226" spans="2:2" x14ac:dyDescent="0.3">
      <c r="B226" t="s">
        <v>224</v>
      </c>
    </row>
    <row r="227" spans="2:2" x14ac:dyDescent="0.3">
      <c r="B227" t="s">
        <v>225</v>
      </c>
    </row>
    <row r="228" spans="2:2" x14ac:dyDescent="0.3">
      <c r="B228" t="s">
        <v>226</v>
      </c>
    </row>
    <row r="229" spans="2:2" x14ac:dyDescent="0.3">
      <c r="B229" t="s">
        <v>227</v>
      </c>
    </row>
    <row r="230" spans="2:2" x14ac:dyDescent="0.3">
      <c r="B230" t="s">
        <v>228</v>
      </c>
    </row>
    <row r="231" spans="2:2" x14ac:dyDescent="0.3">
      <c r="B231" t="s">
        <v>229</v>
      </c>
    </row>
    <row r="232" spans="2:2" x14ac:dyDescent="0.3">
      <c r="B232" t="s">
        <v>230</v>
      </c>
    </row>
    <row r="233" spans="2:2" x14ac:dyDescent="0.3">
      <c r="B233" t="s">
        <v>231</v>
      </c>
    </row>
    <row r="234" spans="2:2" x14ac:dyDescent="0.3">
      <c r="B234" t="s">
        <v>232</v>
      </c>
    </row>
    <row r="235" spans="2:2" x14ac:dyDescent="0.3">
      <c r="B235" t="s">
        <v>233</v>
      </c>
    </row>
    <row r="236" spans="2:2" x14ac:dyDescent="0.3">
      <c r="B236" t="s">
        <v>234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Desagregado_tratados</vt:lpstr>
      <vt:lpstr>Desempenho_Financeiro</vt:lpstr>
      <vt:lpstr>Investimento_Totais</vt:lpstr>
      <vt:lpstr>Categorias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Camily Nunes dos Santos</dc:creator>
  <cp:lastModifiedBy>Camily Nunes dos Santos</cp:lastModifiedBy>
  <dcterms:created xsi:type="dcterms:W3CDTF">2024-09-24T21:01:45Z</dcterms:created>
  <dcterms:modified xsi:type="dcterms:W3CDTF">2024-09-24T21:18:05Z</dcterms:modified>
</cp:coreProperties>
</file>