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Milburn\Documents\for_the_future\pCa_solutions\MaxChelator\Recipes\Human_mammal\37C_pH7_Greg_11_9_22\"/>
    </mc:Choice>
  </mc:AlternateContent>
  <xr:revisionPtr revIDLastSave="0" documentId="13_ncr:1_{18FF0F10-C484-420B-863F-4FF2C53AE664}" xr6:coauthVersionLast="47" xr6:coauthVersionMax="47" xr10:uidLastSave="{00000000-0000-0000-0000-000000000000}"/>
  <bookViews>
    <workbookView xWindow="-14040" yWindow="-16320" windowWidth="29040" windowHeight="15720" xr2:uid="{00000000-000D-0000-FFFF-FFFF00000000}"/>
  </bookViews>
  <sheets>
    <sheet name="recipe" sheetId="4" r:id="rId1"/>
    <sheet name="mixing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4" l="1"/>
  <c r="D29" i="4"/>
  <c r="E29" i="4"/>
  <c r="F29" i="4"/>
  <c r="H29" i="4"/>
  <c r="J29" i="4"/>
  <c r="L29" i="4"/>
  <c r="N29" i="4"/>
  <c r="P29" i="4"/>
  <c r="B29" i="4"/>
  <c r="G12" i="4"/>
  <c r="I12" i="4" s="1"/>
  <c r="I29" i="4" s="1"/>
  <c r="G11" i="4"/>
  <c r="I11" i="4" s="1"/>
  <c r="G29" i="4" l="1"/>
  <c r="O12" i="4"/>
  <c r="O29" i="4" s="1"/>
  <c r="M12" i="4"/>
  <c r="M29" i="4" s="1"/>
  <c r="K12" i="4"/>
  <c r="K29" i="4" s="1"/>
  <c r="I13" i="4"/>
  <c r="O13" i="4" s="1"/>
  <c r="G8" i="4"/>
  <c r="E28" i="4"/>
  <c r="E27" i="4"/>
  <c r="E26" i="4"/>
  <c r="E25" i="4"/>
  <c r="E24" i="4"/>
  <c r="F28" i="4"/>
  <c r="F27" i="4"/>
  <c r="F26" i="4"/>
  <c r="F25" i="4"/>
  <c r="F24" i="4"/>
  <c r="C30" i="4"/>
  <c r="C28" i="4"/>
  <c r="C27" i="4"/>
  <c r="C26" i="4"/>
  <c r="C25" i="4"/>
  <c r="C24" i="4"/>
  <c r="D30" i="4"/>
  <c r="D28" i="4"/>
  <c r="D27" i="4"/>
  <c r="D26" i="4"/>
  <c r="D25" i="4"/>
  <c r="D24" i="4"/>
  <c r="B31" i="4"/>
  <c r="B30" i="4"/>
  <c r="B28" i="4"/>
  <c r="B27" i="4"/>
  <c r="B26" i="4"/>
  <c r="B25" i="4"/>
  <c r="B24" i="4"/>
  <c r="I31" i="4"/>
  <c r="M31" i="4" s="1"/>
  <c r="I30" i="4"/>
  <c r="K30" i="4" s="1"/>
  <c r="I14" i="4"/>
  <c r="K13" i="4" l="1"/>
  <c r="K14" i="4"/>
  <c r="O14" i="4"/>
  <c r="O31" i="4"/>
  <c r="O30" i="4"/>
  <c r="K31" i="4"/>
  <c r="M13" i="4"/>
  <c r="M14" i="4"/>
  <c r="M30" i="4"/>
  <c r="F4" i="3"/>
  <c r="H4" i="3" s="1"/>
  <c r="F5" i="3"/>
  <c r="F6" i="3"/>
  <c r="J6" i="3" s="1"/>
  <c r="F7" i="3"/>
  <c r="J7" i="3" s="1"/>
  <c r="F8" i="3"/>
  <c r="J8" i="3" s="1"/>
  <c r="F9" i="3"/>
  <c r="J9" i="3" s="1"/>
  <c r="F10" i="3"/>
  <c r="J10" i="3" s="1"/>
  <c r="F11" i="3"/>
  <c r="J11" i="3" s="1"/>
  <c r="F12" i="3"/>
  <c r="J12" i="3" s="1"/>
  <c r="F13" i="3"/>
  <c r="J13" i="3" s="1"/>
  <c r="F14" i="3"/>
  <c r="J14" i="3" s="1"/>
  <c r="F15" i="3"/>
  <c r="J15" i="3" s="1"/>
  <c r="F16" i="3"/>
  <c r="J16" i="3" s="1"/>
  <c r="F17" i="3"/>
  <c r="J17" i="3" s="1"/>
  <c r="F18" i="3"/>
  <c r="J18" i="3" s="1"/>
  <c r="H5" i="3" l="1"/>
  <c r="J5" i="3"/>
  <c r="J4" i="3"/>
  <c r="H9" i="3"/>
  <c r="H10" i="3"/>
  <c r="H12" i="3"/>
  <c r="H7" i="3"/>
  <c r="H6" i="3"/>
  <c r="H15" i="3"/>
  <c r="H16" i="3"/>
  <c r="H14" i="3"/>
  <c r="H18" i="3"/>
  <c r="H17" i="3"/>
  <c r="H13" i="3"/>
  <c r="H11" i="3"/>
  <c r="H8" i="3"/>
  <c r="J19" i="3" l="1"/>
  <c r="J21" i="3" s="1"/>
  <c r="J22" i="3" s="1"/>
  <c r="H19" i="3"/>
  <c r="H21" i="3" s="1"/>
  <c r="H22" i="3" s="1"/>
  <c r="G28" i="4"/>
  <c r="G27" i="4"/>
  <c r="G26" i="4"/>
  <c r="G25" i="4"/>
  <c r="G24" i="4"/>
  <c r="G10" i="4"/>
  <c r="G9" i="4"/>
  <c r="G7" i="4"/>
  <c r="K7" i="4" s="1"/>
  <c r="K25" i="4" l="1"/>
  <c r="M25" i="4"/>
  <c r="K24" i="4"/>
  <c r="M24" i="4"/>
  <c r="K26" i="4"/>
  <c r="M26" i="4"/>
  <c r="K27" i="4"/>
  <c r="M27" i="4"/>
  <c r="K28" i="4"/>
  <c r="M28" i="4"/>
  <c r="K9" i="4"/>
  <c r="M9" i="4"/>
  <c r="K10" i="4"/>
  <c r="M10" i="4"/>
  <c r="K11" i="4"/>
  <c r="M11" i="4"/>
  <c r="M7" i="4"/>
  <c r="I7" i="4"/>
  <c r="O7" i="4" s="1"/>
  <c r="M8" i="4"/>
  <c r="I8" i="4"/>
  <c r="O8" i="4" s="1"/>
  <c r="K8" i="4"/>
  <c r="I28" i="4"/>
  <c r="O28" i="4" s="1"/>
  <c r="I24" i="4"/>
  <c r="O24" i="4" s="1"/>
  <c r="I26" i="4"/>
  <c r="O26" i="4" s="1"/>
  <c r="I10" i="4"/>
  <c r="O10" i="4" s="1"/>
  <c r="I25" i="4"/>
  <c r="O25" i="4" s="1"/>
  <c r="I27" i="4"/>
  <c r="O27" i="4" s="1"/>
  <c r="I9" i="4"/>
  <c r="O9" i="4" s="1"/>
  <c r="O11" i="4"/>
</calcChain>
</file>

<file path=xl/sharedStrings.xml><?xml version="1.0" encoding="utf-8"?>
<sst xmlns="http://schemas.openxmlformats.org/spreadsheetml/2006/main" count="173" uniqueCount="77">
  <si>
    <t xml:space="preserve">  </t>
  </si>
  <si>
    <t xml:space="preserve">pCa 9.0 </t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</si>
  <si>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</si>
  <si>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</si>
  <si>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</si>
  <si>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</si>
  <si>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</si>
  <si>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</si>
  <si>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</si>
  <si>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Conc in M (See calculations in MaxChelator output file)</t>
  </si>
  <si>
    <t>Unit</t>
  </si>
  <si>
    <t xml:space="preserve">EGTA </t>
  </si>
  <si>
    <t xml:space="preserve">Sigma </t>
  </si>
  <si>
    <t>g</t>
  </si>
  <si>
    <t xml:space="preserve">Creatine Phosphate </t>
  </si>
  <si>
    <t xml:space="preserve">Roche </t>
  </si>
  <si>
    <t xml:space="preserve">ATP </t>
  </si>
  <si>
    <t xml:space="preserve">CaCl2 </t>
  </si>
  <si>
    <t>Orion</t>
  </si>
  <si>
    <t>µL </t>
  </si>
  <si>
    <t xml:space="preserve">MgCl2 </t>
  </si>
  <si>
    <t>NA</t>
  </si>
  <si>
    <t>ml</t>
  </si>
  <si>
    <t xml:space="preserve">Ionic Strength is 180mM if 16mM is used for pHing. </t>
  </si>
  <si>
    <t xml:space="preserve">pCa 4.5 </t>
  </si>
  <si>
    <t xml:space="preserve">Stock </t>
  </si>
  <si>
    <t xml:space="preserve">Ionic Strength is 180mM if 32mM is used for pHing. </t>
  </si>
  <si>
    <t>pCa</t>
  </si>
  <si>
    <t>vials</t>
  </si>
  <si>
    <t>amt/vial</t>
  </si>
  <si>
    <t>total volume</t>
  </si>
  <si>
    <t>volume to prep</t>
  </si>
  <si>
    <t>vol left</t>
  </si>
  <si>
    <t>4.5ml vials</t>
  </si>
  <si>
    <t>vol 90 (mL)</t>
  </si>
  <si>
    <t>vol 45 (mL)</t>
  </si>
  <si>
    <t>Amount Added</t>
  </si>
  <si>
    <t>Prop 9.0</t>
  </si>
  <si>
    <t>Prop 4.5</t>
  </si>
  <si>
    <t>Check</t>
  </si>
  <si>
    <t>SLCH4035</t>
  </si>
  <si>
    <t>ZQ1</t>
  </si>
  <si>
    <t>conce in M</t>
  </si>
  <si>
    <t>BES</t>
  </si>
  <si>
    <t>K Propionate</t>
  </si>
  <si>
    <t>TCI</t>
  </si>
  <si>
    <t>BCCD5280</t>
  </si>
  <si>
    <t>14853</t>
  </si>
  <si>
    <t>P0510</t>
  </si>
  <si>
    <t>BQHGI</t>
  </si>
  <si>
    <t>922006</t>
  </si>
  <si>
    <t>E4378</t>
  </si>
  <si>
    <t>10519987001</t>
  </si>
  <si>
    <t>DTT</t>
  </si>
  <si>
    <t>56166123</t>
  </si>
  <si>
    <t>Solution:</t>
  </si>
  <si>
    <t>Made by:</t>
  </si>
  <si>
    <t>Date:</t>
  </si>
  <si>
    <r>
      <t xml:space="preserve">All </t>
    </r>
    <r>
      <rPr>
        <b/>
        <sz val="11"/>
        <color theme="1"/>
        <rFont val="Arial"/>
        <family val="2"/>
      </rPr>
      <t>masses</t>
    </r>
    <r>
      <rPr>
        <sz val="11"/>
        <color theme="1"/>
        <rFont val="Arial"/>
        <family val="2"/>
      </rPr>
      <t xml:space="preserve"> are in </t>
    </r>
    <r>
      <rPr>
        <b/>
        <sz val="11"/>
        <color theme="1"/>
        <rFont val="Arial"/>
        <family val="2"/>
      </rPr>
      <t>grams</t>
    </r>
    <r>
      <rPr>
        <sz val="11"/>
        <color theme="1"/>
        <rFont val="Arial"/>
        <family val="2"/>
      </rPr>
      <t xml:space="preserve"> and </t>
    </r>
    <r>
      <rPr>
        <b/>
        <sz val="11"/>
        <color theme="1"/>
        <rFont val="Arial"/>
        <family val="2"/>
      </rPr>
      <t>volumes</t>
    </r>
    <r>
      <rPr>
        <sz val="11"/>
        <color theme="1"/>
        <rFont val="Arial"/>
        <family val="2"/>
      </rPr>
      <t xml:space="preserve"> in </t>
    </r>
    <r>
      <rPr>
        <b/>
        <sz val="11"/>
        <color theme="1"/>
        <rFont val="Arial"/>
        <family val="2"/>
      </rPr>
      <t>mL</t>
    </r>
    <r>
      <rPr>
        <sz val="11"/>
        <color theme="1"/>
        <rFont val="Arial"/>
        <family val="2"/>
      </rPr>
      <t xml:space="preserve"> unless explicitly stated. Bold and color any units that are not in grams or mL for an additional visual check.</t>
    </r>
  </si>
  <si>
    <t>pCa @37C pH7</t>
  </si>
  <si>
    <t>GNM</t>
  </si>
  <si>
    <t>2Feb23</t>
  </si>
  <si>
    <t>Target pH</t>
  </si>
  <si>
    <t>Initial pH</t>
  </si>
  <si>
    <t>Final pH</t>
  </si>
  <si>
    <t xml:space="preserve">Target Temp (°C) </t>
  </si>
  <si>
    <t>Amount of HCl/KOH</t>
  </si>
  <si>
    <r>
      <t xml:space="preserve">Amount for </t>
    </r>
    <r>
      <rPr>
        <b/>
        <sz val="16"/>
        <color theme="4"/>
        <rFont val="Arial"/>
        <family val="2"/>
      </rPr>
      <t>1L</t>
    </r>
  </si>
  <si>
    <r>
      <t xml:space="preserve">Amount for 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</si>
  <si>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r>
      <t xml:space="preserve">Amount for </t>
    </r>
    <r>
      <rPr>
        <b/>
        <sz val="14"/>
        <color theme="4"/>
        <rFont val="Arial"/>
        <family val="2"/>
      </rPr>
      <t>250 mL</t>
    </r>
  </si>
  <si>
    <r>
      <t xml:space="preserve">Amount for </t>
    </r>
    <r>
      <rPr>
        <b/>
        <sz val="14"/>
        <color theme="4"/>
        <rFont val="Arial"/>
        <family val="2"/>
      </rPr>
      <t>100 mL</t>
    </r>
  </si>
  <si>
    <r>
      <t xml:space="preserve">Amount for      </t>
    </r>
    <r>
      <rPr>
        <b/>
        <sz val="14"/>
        <color rgb="FFFF0000"/>
        <rFont val="Arial"/>
        <family val="2"/>
      </rPr>
      <t>1 L</t>
    </r>
  </si>
  <si>
    <r>
      <t xml:space="preserve">Amount for </t>
    </r>
    <r>
      <rPr>
        <b/>
        <sz val="14"/>
        <color rgb="FFFF0000"/>
        <rFont val="Arial"/>
        <family val="2"/>
      </rPr>
      <t>500 mL</t>
    </r>
  </si>
  <si>
    <r>
      <t xml:space="preserve">Amount for </t>
    </r>
    <r>
      <rPr>
        <b/>
        <sz val="14"/>
        <color rgb="FFFF0000"/>
        <rFont val="Arial"/>
        <family val="2"/>
      </rPr>
      <t>250 mL</t>
    </r>
  </si>
  <si>
    <r>
      <t xml:space="preserve">Amount for </t>
    </r>
    <r>
      <rPr>
        <b/>
        <sz val="14"/>
        <color rgb="FFFF0000"/>
        <rFont val="Arial"/>
        <family val="2"/>
      </rPr>
      <t>100 mL</t>
    </r>
  </si>
  <si>
    <t>Notes:</t>
  </si>
  <si>
    <t>pCa Mixing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</si>
</sst>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0"/>
    <numFmt numFmtId="165" formatCode="0.0000"/>
    <numFmt numFmtId="166" formatCode="0.000"/>
    <numFmt numFmtId="167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4"/>
      <name val="Arial"/>
      <family val="2"/>
    </font>
    <font>
      <b/>
      <sz val="12"/>
      <color rgb="FFFF0000"/>
      <name val="Arial"/>
      <family val="2"/>
    </font>
    <font>
      <sz val="11"/>
      <color theme="2" tint="-9.9978637043366805E-2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b/>
      <sz val="14"/>
      <color theme="5"/>
      <name val="Arial"/>
      <family val="2"/>
    </font>
    <font>
      <b/>
      <sz val="14"/>
      <color theme="4"/>
      <name val="Arial"/>
      <family val="2"/>
    </font>
    <font>
      <b/>
      <sz val="16"/>
      <color theme="4"/>
      <name val="Arial"/>
      <family val="2"/>
    </font>
    <font>
      <b/>
      <sz val="14"/>
      <color rgb="FFFF0000"/>
      <name val="Arial"/>
      <family val="2"/>
    </font>
    <font>
      <b/>
      <sz val="11"/>
      <color rgb="FF0070C0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2"/>
      <name val="Arial"/>
      <family val="2"/>
    </font>
    <font>
      <sz val="11"/>
      <color theme="2"/>
      <name val="Arial"/>
      <family val="2"/>
    </font>
    <font>
      <sz val="14"/>
      <color theme="2" tint="-9.9978637043366805E-2"/>
      <name val="Arial"/>
      <family val="2"/>
    </font>
    <font>
      <sz val="11"/>
      <color theme="2" tint="-9.9978637043366805E-2"/>
      <name val="Arial"/>
      <family val="2"/>
    </font>
    <font>
      <sz val="12"/>
      <color theme="2"/>
      <name val="Arial"/>
      <family val="2"/>
    </font>
    <font>
      <sz val="12"/>
      <color theme="2" tint="-9.9978637043366805E-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8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justify" vertical="center" wrapText="1"/>
    </xf>
    <xf numFmtId="0" fontId="1" fillId="6" borderId="0" xfId="0" applyFont="1" applyFill="1" applyBorder="1" applyAlignment="1">
      <alignment horizontal="justify" vertical="center" wrapText="1"/>
    </xf>
    <xf numFmtId="0" fontId="1" fillId="6" borderId="8" xfId="0" applyFont="1" applyFill="1" applyBorder="1" applyAlignment="1">
      <alignment horizontal="justify"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6" borderId="13" xfId="0" applyFont="1" applyFill="1" applyBorder="1" applyAlignment="1">
      <alignment horizontal="justify" vertical="center" wrapText="1"/>
    </xf>
    <xf numFmtId="0" fontId="1" fillId="6" borderId="14" xfId="0" applyFont="1" applyFill="1" applyBorder="1" applyAlignment="1">
      <alignment horizontal="justify" vertical="center" wrapText="1"/>
    </xf>
    <xf numFmtId="0" fontId="1" fillId="6" borderId="11" xfId="0" applyFont="1" applyFill="1" applyBorder="1" applyAlignment="1">
      <alignment horizontal="justify" vertical="center" wrapText="1"/>
    </xf>
    <xf numFmtId="0" fontId="1" fillId="6" borderId="7" xfId="0" applyFont="1" applyFill="1" applyBorder="1" applyAlignment="1">
      <alignment horizontal="justify" vertical="center" wrapText="1"/>
    </xf>
    <xf numFmtId="0" fontId="1" fillId="6" borderId="12" xfId="0" applyFont="1" applyFill="1" applyBorder="1" applyAlignment="1">
      <alignment horizontal="justify" vertical="center" wrapText="1"/>
    </xf>
    <xf numFmtId="49" fontId="9" fillId="5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0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2" borderId="1" xfId="0" applyFont="1" applyFill="1" applyBorder="1"/>
    <xf numFmtId="165" fontId="1" fillId="0" borderId="1" xfId="0" applyNumberFormat="1" applyFont="1" applyBorder="1"/>
    <xf numFmtId="167" fontId="1" fillId="0" borderId="1" xfId="0" applyNumberFormat="1" applyFont="1" applyBorder="1"/>
    <xf numFmtId="166" fontId="1" fillId="2" borderId="1" xfId="0" applyNumberFormat="1" applyFont="1" applyFill="1" applyBorder="1"/>
    <xf numFmtId="1" fontId="1" fillId="0" borderId="1" xfId="0" applyNumberFormat="1" applyFont="1" applyBorder="1"/>
    <xf numFmtId="11" fontId="1" fillId="2" borderId="1" xfId="0" applyNumberFormat="1" applyFont="1" applyFill="1" applyBorder="1"/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11" fontId="1" fillId="0" borderId="1" xfId="0" applyNumberFormat="1" applyFont="1" applyBorder="1"/>
    <xf numFmtId="2" fontId="1" fillId="0" borderId="1" xfId="0" applyNumberFormat="1" applyFont="1" applyBorder="1"/>
    <xf numFmtId="166" fontId="1" fillId="0" borderId="1" xfId="0" applyNumberFormat="1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1" fontId="14" fillId="0" borderId="1" xfId="0" applyNumberFormat="1" applyFont="1" applyBorder="1"/>
    <xf numFmtId="2" fontId="14" fillId="0" borderId="1" xfId="0" applyNumberFormat="1" applyFont="1" applyBorder="1"/>
    <xf numFmtId="166" fontId="14" fillId="0" borderId="1" xfId="0" applyNumberFormat="1" applyFont="1" applyBorder="1"/>
    <xf numFmtId="0" fontId="14" fillId="0" borderId="0" xfId="0" applyFont="1"/>
    <xf numFmtId="11" fontId="1" fillId="0" borderId="0" xfId="0" applyNumberFormat="1" applyFont="1"/>
    <xf numFmtId="2" fontId="1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6" fillId="0" borderId="0" xfId="0" applyFont="1"/>
    <xf numFmtId="0" fontId="1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1" fontId="15" fillId="0" borderId="1" xfId="0" applyNumberFormat="1" applyFont="1" applyBorder="1"/>
    <xf numFmtId="2" fontId="15" fillId="0" borderId="1" xfId="0" applyNumberFormat="1" applyFont="1" applyBorder="1"/>
    <xf numFmtId="166" fontId="15" fillId="0" borderId="1" xfId="0" applyNumberFormat="1" applyFont="1" applyBorder="1"/>
    <xf numFmtId="0" fontId="1" fillId="0" borderId="0" xfId="0" applyFont="1" applyAlignment="1"/>
    <xf numFmtId="0" fontId="1" fillId="6" borderId="9" xfId="0" applyFont="1" applyFill="1" applyBorder="1" applyAlignment="1">
      <alignment horizontal="left" vertical="top"/>
    </xf>
    <xf numFmtId="0" fontId="1" fillId="6" borderId="10" xfId="0" applyFont="1" applyFill="1" applyBorder="1" applyAlignment="1">
      <alignment horizontal="left" vertical="top"/>
    </xf>
    <xf numFmtId="0" fontId="1" fillId="6" borderId="13" xfId="0" applyFont="1" applyFill="1" applyBorder="1" applyAlignment="1">
      <alignment horizontal="left" vertical="top"/>
    </xf>
    <xf numFmtId="0" fontId="1" fillId="6" borderId="0" xfId="0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0" fontId="1" fillId="6" borderId="11" xfId="0" applyFont="1" applyFill="1" applyBorder="1" applyAlignment="1">
      <alignment horizontal="left" vertical="top"/>
    </xf>
    <xf numFmtId="0" fontId="1" fillId="6" borderId="7" xfId="0" applyFont="1" applyFill="1" applyBorder="1" applyAlignment="1">
      <alignment horizontal="left" vertical="top"/>
    </xf>
    <xf numFmtId="0" fontId="1" fillId="6" borderId="12" xfId="0" applyFont="1" applyFill="1" applyBorder="1" applyAlignment="1">
      <alignment horizontal="left" vertical="top"/>
    </xf>
    <xf numFmtId="0" fontId="7" fillId="6" borderId="8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64" fontId="18" fillId="0" borderId="1" xfId="0" applyNumberFormat="1" applyFont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2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18" fillId="0" borderId="5" xfId="0" applyFont="1" applyBorder="1" applyAlignment="1">
      <alignment horizontal="center"/>
    </xf>
    <xf numFmtId="0" fontId="18" fillId="0" borderId="5" xfId="0" applyFont="1" applyBorder="1"/>
    <xf numFmtId="0" fontId="17" fillId="0" borderId="1" xfId="0" applyFont="1" applyBorder="1"/>
    <xf numFmtId="0" fontId="17" fillId="0" borderId="3" xfId="0" applyFont="1" applyBorder="1"/>
    <xf numFmtId="0" fontId="17" fillId="0" borderId="4" xfId="0" applyFont="1" applyBorder="1"/>
    <xf numFmtId="0" fontId="17" fillId="0" borderId="3" xfId="0" applyFont="1" applyFill="1" applyBorder="1"/>
    <xf numFmtId="0" fontId="17" fillId="0" borderId="4" xfId="0" applyFont="1" applyFill="1" applyBorder="1"/>
    <xf numFmtId="0" fontId="17" fillId="7" borderId="3" xfId="0" applyFont="1" applyFill="1" applyBorder="1"/>
    <xf numFmtId="0" fontId="17" fillId="7" borderId="4" xfId="0" applyFont="1" applyFill="1" applyBorder="1"/>
    <xf numFmtId="0" fontId="17" fillId="0" borderId="1" xfId="0" applyFont="1" applyFill="1" applyBorder="1"/>
    <xf numFmtId="0" fontId="16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B885-84A9-4636-8F7B-D7A273BC960B}">
  <sheetPr>
    <pageSetUpPr fitToPage="1"/>
  </sheetPr>
  <dimension ref="A1:Z47"/>
  <sheetViews>
    <sheetView tabSelected="1" zoomScaleNormal="100" workbookViewId="0">
      <selection activeCell="C11" sqref="C11"/>
    </sheetView>
  </sheetViews>
  <sheetFormatPr defaultRowHeight="13.8" x14ac:dyDescent="0.25"/>
  <cols>
    <col min="1" max="1" width="19" style="20" customWidth="1"/>
    <col min="2" max="2" width="10.21875" style="20" bestFit="1" customWidth="1"/>
    <col min="3" max="4" width="13.33203125" style="20" bestFit="1" customWidth="1"/>
    <col min="5" max="7" width="9" style="20" bestFit="1" customWidth="1"/>
    <col min="8" max="8" width="9.109375" style="20" bestFit="1" customWidth="1"/>
    <col min="9" max="9" width="13.6640625" style="20" bestFit="1" customWidth="1"/>
    <col min="10" max="10" width="4.88671875" style="20" customWidth="1"/>
    <col min="11" max="11" width="13.44140625" style="20" customWidth="1"/>
    <col min="12" max="12" width="4.6640625" style="20" bestFit="1" customWidth="1"/>
    <col min="13" max="13" width="14.109375" style="20" customWidth="1"/>
    <col min="14" max="14" width="4.6640625" style="20" bestFit="1" customWidth="1"/>
    <col min="15" max="15" width="12.88671875" style="20" customWidth="1"/>
    <col min="16" max="16" width="4.6640625" style="20" bestFit="1" customWidth="1"/>
    <col min="17" max="18" width="17.6640625" style="20" bestFit="1" customWidth="1"/>
    <col min="19" max="22" width="8.88671875" style="20"/>
    <col min="23" max="24" width="12" style="20" bestFit="1" customWidth="1"/>
    <col min="25" max="16384" width="8.88671875" style="20"/>
  </cols>
  <sheetData>
    <row r="1" spans="1:26" ht="17.399999999999999" customHeight="1" x14ac:dyDescent="0.3">
      <c r="A1" s="5" t="s">
        <v>55</v>
      </c>
      <c r="B1" s="6" t="s">
        <v>59</v>
      </c>
      <c r="C1" s="7"/>
      <c r="D1" s="7"/>
      <c r="H1" s="11" t="s">
        <v>58</v>
      </c>
      <c r="I1" s="9"/>
      <c r="J1" s="9"/>
      <c r="K1" s="9"/>
      <c r="L1" s="9"/>
      <c r="M1" s="12"/>
    </row>
    <row r="2" spans="1:26" ht="14.4" x14ac:dyDescent="0.3">
      <c r="A2" s="8" t="s">
        <v>56</v>
      </c>
      <c r="B2" s="6" t="s">
        <v>60</v>
      </c>
      <c r="C2" s="6"/>
      <c r="D2" s="6"/>
      <c r="H2" s="13"/>
      <c r="I2" s="10"/>
      <c r="J2" s="10"/>
      <c r="K2" s="10"/>
      <c r="L2" s="10"/>
      <c r="M2" s="14"/>
    </row>
    <row r="3" spans="1:26" ht="14.4" x14ac:dyDescent="0.3">
      <c r="A3" s="8" t="s">
        <v>57</v>
      </c>
      <c r="B3" s="18" t="s">
        <v>61</v>
      </c>
      <c r="C3" s="18"/>
      <c r="D3" s="18"/>
      <c r="H3" s="15"/>
      <c r="I3" s="16"/>
      <c r="J3" s="16"/>
      <c r="K3" s="16"/>
      <c r="L3" s="16"/>
      <c r="M3" s="17"/>
    </row>
    <row r="4" spans="1:26" ht="17.399999999999999" x14ac:dyDescent="0.3">
      <c r="R4" s="21"/>
      <c r="S4" s="21"/>
      <c r="T4" s="21"/>
      <c r="U4" s="21"/>
    </row>
    <row r="5" spans="1:26" ht="17.399999999999999" x14ac:dyDescent="0.3">
      <c r="A5" s="22" t="s">
        <v>1</v>
      </c>
      <c r="B5" s="23"/>
      <c r="C5" s="24"/>
      <c r="D5" s="25"/>
      <c r="E5" s="25"/>
      <c r="F5" s="25"/>
      <c r="G5" s="25"/>
      <c r="H5" s="25"/>
      <c r="I5" s="26" t="s">
        <v>67</v>
      </c>
      <c r="J5" s="27" t="s">
        <v>10</v>
      </c>
      <c r="K5" s="28" t="s">
        <v>68</v>
      </c>
      <c r="L5" s="27" t="s">
        <v>10</v>
      </c>
      <c r="M5" s="26" t="s">
        <v>69</v>
      </c>
      <c r="N5" s="27" t="s">
        <v>10</v>
      </c>
      <c r="O5" s="26" t="s">
        <v>70</v>
      </c>
      <c r="P5" s="27" t="s">
        <v>10</v>
      </c>
      <c r="Q5" s="29" t="s">
        <v>36</v>
      </c>
    </row>
    <row r="6" spans="1:26" x14ac:dyDescent="0.25">
      <c r="A6" s="19" t="s">
        <v>2</v>
      </c>
      <c r="B6" s="19" t="s">
        <v>3</v>
      </c>
      <c r="C6" s="19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30"/>
      <c r="J6" s="31"/>
      <c r="K6" s="28"/>
      <c r="L6" s="31"/>
      <c r="M6" s="30"/>
      <c r="N6" s="31"/>
      <c r="O6" s="30"/>
      <c r="P6" s="31"/>
      <c r="Q6" s="32"/>
    </row>
    <row r="7" spans="1:26" x14ac:dyDescent="0.25">
      <c r="A7" s="19" t="s">
        <v>11</v>
      </c>
      <c r="B7" s="19" t="s">
        <v>12</v>
      </c>
      <c r="C7" s="33" t="s">
        <v>51</v>
      </c>
      <c r="D7" s="61" t="s">
        <v>40</v>
      </c>
      <c r="E7" s="19">
        <v>380.35</v>
      </c>
      <c r="F7" s="19">
        <v>97.9</v>
      </c>
      <c r="G7" s="19">
        <f>E7/F7*100</f>
        <v>388.50868232890707</v>
      </c>
      <c r="H7" s="34">
        <v>7.0000000000000001E-3</v>
      </c>
      <c r="I7" s="19">
        <f t="shared" ref="I7:I12" si="0">ROUND(G7*H7,4)</f>
        <v>2.7195999999999998</v>
      </c>
      <c r="J7" s="19" t="s">
        <v>13</v>
      </c>
      <c r="K7" s="19">
        <f>ROUND(G7*H7*0.5,4)</f>
        <v>1.3597999999999999</v>
      </c>
      <c r="L7" s="19" t="s">
        <v>13</v>
      </c>
      <c r="M7" s="35">
        <f>H7*G7*0.25</f>
        <v>0.67989019407558737</v>
      </c>
      <c r="N7" s="19" t="s">
        <v>13</v>
      </c>
      <c r="O7" s="19">
        <f>I7/10</f>
        <v>0.27195999999999998</v>
      </c>
      <c r="P7" s="19" t="s">
        <v>13</v>
      </c>
      <c r="Q7" s="19"/>
    </row>
    <row r="8" spans="1:26" x14ac:dyDescent="0.25">
      <c r="A8" s="19" t="s">
        <v>43</v>
      </c>
      <c r="B8" s="19" t="s">
        <v>12</v>
      </c>
      <c r="C8" s="33" t="s">
        <v>47</v>
      </c>
      <c r="D8" s="61" t="s">
        <v>46</v>
      </c>
      <c r="E8" s="19">
        <v>213.25</v>
      </c>
      <c r="F8" s="36">
        <v>99.6</v>
      </c>
      <c r="G8" s="19">
        <f>(E8/F8)*100</f>
        <v>214.10642570281126</v>
      </c>
      <c r="H8" s="37">
        <v>0.05</v>
      </c>
      <c r="I8" s="19">
        <f t="shared" si="0"/>
        <v>10.705299999999999</v>
      </c>
      <c r="J8" s="19" t="s">
        <v>13</v>
      </c>
      <c r="K8" s="19">
        <f>ROUND(G8*H8*0.5,4)</f>
        <v>5.3526999999999996</v>
      </c>
      <c r="L8" s="19" t="s">
        <v>13</v>
      </c>
      <c r="M8" s="35">
        <f t="shared" ref="M8:M11" si="1">H8*G8*0.25</f>
        <v>2.6763303212851408</v>
      </c>
      <c r="N8" s="19" t="s">
        <v>13</v>
      </c>
      <c r="O8" s="19">
        <f t="shared" ref="O8:O13" si="2">I8/10</f>
        <v>1.07053</v>
      </c>
      <c r="P8" s="19" t="s">
        <v>13</v>
      </c>
      <c r="Q8" s="19"/>
    </row>
    <row r="9" spans="1:26" x14ac:dyDescent="0.25">
      <c r="A9" s="19" t="s">
        <v>44</v>
      </c>
      <c r="B9" s="19" t="s">
        <v>45</v>
      </c>
      <c r="C9" s="33" t="s">
        <v>48</v>
      </c>
      <c r="D9" s="61" t="s">
        <v>49</v>
      </c>
      <c r="E9" s="19">
        <v>112.17</v>
      </c>
      <c r="F9" s="19">
        <v>100</v>
      </c>
      <c r="G9" s="19">
        <f>E9/F9*100</f>
        <v>112.16999999999999</v>
      </c>
      <c r="H9" s="34">
        <v>4.8000000000000001E-2</v>
      </c>
      <c r="I9" s="19">
        <f t="shared" si="0"/>
        <v>5.3841999999999999</v>
      </c>
      <c r="J9" s="19" t="s">
        <v>13</v>
      </c>
      <c r="K9" s="19">
        <f>ROUND(G9*H9*0.5,4)</f>
        <v>2.6920999999999999</v>
      </c>
      <c r="L9" s="19" t="s">
        <v>13</v>
      </c>
      <c r="M9" s="35">
        <f t="shared" si="1"/>
        <v>1.3460399999999999</v>
      </c>
      <c r="N9" s="19" t="s">
        <v>13</v>
      </c>
      <c r="O9" s="19">
        <f t="shared" si="2"/>
        <v>0.53842000000000001</v>
      </c>
      <c r="P9" s="19" t="s">
        <v>13</v>
      </c>
      <c r="Q9" s="19"/>
    </row>
    <row r="10" spans="1:26" x14ac:dyDescent="0.25">
      <c r="A10" s="19" t="s">
        <v>14</v>
      </c>
      <c r="B10" s="19" t="s">
        <v>15</v>
      </c>
      <c r="C10" s="38">
        <v>10621714001</v>
      </c>
      <c r="D10" s="61">
        <v>58203023</v>
      </c>
      <c r="E10" s="19">
        <v>327.14</v>
      </c>
      <c r="F10" s="19">
        <v>100</v>
      </c>
      <c r="G10" s="19">
        <f>E10/F10*100</f>
        <v>327.14</v>
      </c>
      <c r="H10" s="34">
        <v>1.4500000000000001E-2</v>
      </c>
      <c r="I10" s="19">
        <f t="shared" si="0"/>
        <v>4.7435</v>
      </c>
      <c r="J10" s="19" t="s">
        <v>13</v>
      </c>
      <c r="K10" s="19">
        <f>ROUND(G10*H10*0.5,4)</f>
        <v>2.3717999999999999</v>
      </c>
      <c r="L10" s="19" t="s">
        <v>13</v>
      </c>
      <c r="M10" s="35">
        <f t="shared" si="1"/>
        <v>1.1858825</v>
      </c>
      <c r="N10" s="19" t="s">
        <v>13</v>
      </c>
      <c r="O10" s="19">
        <f t="shared" si="2"/>
        <v>0.47434999999999999</v>
      </c>
      <c r="P10" s="19" t="s">
        <v>13</v>
      </c>
      <c r="Q10" s="19"/>
    </row>
    <row r="11" spans="1:26" x14ac:dyDescent="0.25">
      <c r="A11" s="19" t="s">
        <v>16</v>
      </c>
      <c r="B11" s="19" t="s">
        <v>15</v>
      </c>
      <c r="C11" s="33" t="s">
        <v>52</v>
      </c>
      <c r="D11" s="61">
        <v>5520891</v>
      </c>
      <c r="E11" s="19">
        <v>605.19000000000005</v>
      </c>
      <c r="F11" s="19">
        <v>100</v>
      </c>
      <c r="G11" s="19">
        <f>E11/F11*100</f>
        <v>605.19000000000005</v>
      </c>
      <c r="H11" s="39">
        <v>4.5799999999999999E-3</v>
      </c>
      <c r="I11" s="19">
        <f t="shared" si="0"/>
        <v>2.7717999999999998</v>
      </c>
      <c r="J11" s="19" t="s">
        <v>13</v>
      </c>
      <c r="K11" s="19">
        <f>ROUND(G11*H11*0.5,4)</f>
        <v>1.3858999999999999</v>
      </c>
      <c r="L11" s="19" t="s">
        <v>13</v>
      </c>
      <c r="M11" s="35">
        <f t="shared" si="1"/>
        <v>0.69294255000000005</v>
      </c>
      <c r="N11" s="19" t="s">
        <v>13</v>
      </c>
      <c r="O11" s="19">
        <f t="shared" si="2"/>
        <v>0.27717999999999998</v>
      </c>
      <c r="P11" s="19" t="s">
        <v>13</v>
      </c>
      <c r="Q11" s="19"/>
    </row>
    <row r="12" spans="1:26" x14ac:dyDescent="0.25">
      <c r="A12" s="19" t="s">
        <v>53</v>
      </c>
      <c r="B12" s="19" t="s">
        <v>15</v>
      </c>
      <c r="C12" s="33" t="s">
        <v>54</v>
      </c>
      <c r="D12" s="61">
        <v>10197777001</v>
      </c>
      <c r="E12" s="40">
        <v>154.25</v>
      </c>
      <c r="F12" s="41">
        <v>99</v>
      </c>
      <c r="G12" s="19">
        <f>E12/F12*100</f>
        <v>155.80808080808083</v>
      </c>
      <c r="H12" s="42">
        <v>1E-3</v>
      </c>
      <c r="I12" s="43">
        <f t="shared" si="0"/>
        <v>0.15579999999999999</v>
      </c>
      <c r="J12" s="19" t="s">
        <v>13</v>
      </c>
      <c r="K12" s="44">
        <f>I12/2</f>
        <v>7.7899999999999997E-2</v>
      </c>
      <c r="L12" s="19" t="s">
        <v>13</v>
      </c>
      <c r="M12" s="44">
        <f>I12/4</f>
        <v>3.8949999999999999E-2</v>
      </c>
      <c r="N12" s="19" t="s">
        <v>13</v>
      </c>
      <c r="O12" s="19">
        <f>I12/10</f>
        <v>1.558E-2</v>
      </c>
      <c r="P12" s="19" t="s">
        <v>13</v>
      </c>
      <c r="Q12" s="45"/>
    </row>
    <row r="13" spans="1:26" x14ac:dyDescent="0.25">
      <c r="A13" s="19" t="s">
        <v>17</v>
      </c>
      <c r="B13" s="19" t="s">
        <v>18</v>
      </c>
      <c r="C13" s="33" t="s">
        <v>50</v>
      </c>
      <c r="D13" s="61" t="s">
        <v>41</v>
      </c>
      <c r="E13" s="46" t="s">
        <v>42</v>
      </c>
      <c r="F13" s="46"/>
      <c r="G13" s="45">
        <v>0.1003</v>
      </c>
      <c r="H13" s="47">
        <v>1.8600000000000001E-5</v>
      </c>
      <c r="I13" s="48">
        <f>((H13*1)/G13)*1000000</f>
        <v>185.44366899302096</v>
      </c>
      <c r="J13" s="45" t="s">
        <v>19</v>
      </c>
      <c r="K13" s="49">
        <f>I13/2</f>
        <v>92.721834496510482</v>
      </c>
      <c r="L13" s="45" t="s">
        <v>19</v>
      </c>
      <c r="M13" s="49">
        <f>I13/4</f>
        <v>46.360917248255241</v>
      </c>
      <c r="N13" s="45" t="s">
        <v>19</v>
      </c>
      <c r="O13" s="45">
        <f t="shared" si="2"/>
        <v>18.544366899302098</v>
      </c>
      <c r="P13" s="45" t="s">
        <v>19</v>
      </c>
      <c r="Q13" s="45"/>
      <c r="R13" s="50"/>
      <c r="W13" s="51"/>
    </row>
    <row r="14" spans="1:26" x14ac:dyDescent="0.25">
      <c r="A14" s="19" t="s">
        <v>20</v>
      </c>
      <c r="B14" s="19" t="s">
        <v>25</v>
      </c>
      <c r="C14" s="33" t="s">
        <v>21</v>
      </c>
      <c r="D14" s="19" t="s">
        <v>0</v>
      </c>
      <c r="E14" s="62" t="s">
        <v>42</v>
      </c>
      <c r="F14" s="62"/>
      <c r="G14" s="63">
        <v>0.5</v>
      </c>
      <c r="H14" s="64">
        <v>5.6800000000000002E-3</v>
      </c>
      <c r="I14" s="65">
        <f>((H14*1)/G14)*1000</f>
        <v>11.36</v>
      </c>
      <c r="J14" s="63" t="s">
        <v>22</v>
      </c>
      <c r="K14" s="66">
        <f>I14/2</f>
        <v>5.68</v>
      </c>
      <c r="L14" s="63" t="s">
        <v>22</v>
      </c>
      <c r="M14" s="66">
        <f>I14/4</f>
        <v>2.84</v>
      </c>
      <c r="N14" s="63" t="s">
        <v>22</v>
      </c>
      <c r="O14" s="63">
        <f>I14/10</f>
        <v>1.1359999999999999</v>
      </c>
      <c r="P14" s="63" t="s">
        <v>22</v>
      </c>
      <c r="Q14" s="45"/>
      <c r="R14" s="50"/>
      <c r="W14" s="51"/>
      <c r="Z14" s="52"/>
    </row>
    <row r="15" spans="1:26" x14ac:dyDescent="0.25">
      <c r="R15" s="50"/>
      <c r="W15" s="51"/>
      <c r="Z15" s="52"/>
    </row>
    <row r="16" spans="1:26" x14ac:dyDescent="0.25">
      <c r="A16" s="19" t="s">
        <v>63</v>
      </c>
      <c r="B16" s="19"/>
      <c r="D16" s="53" t="s">
        <v>62</v>
      </c>
      <c r="E16" s="54" t="s">
        <v>65</v>
      </c>
      <c r="F16" s="54"/>
    </row>
    <row r="17" spans="1:18" x14ac:dyDescent="0.25">
      <c r="A17" s="19" t="s">
        <v>64</v>
      </c>
      <c r="B17" s="19"/>
      <c r="C17" s="55"/>
      <c r="D17" s="56">
        <v>7</v>
      </c>
      <c r="E17" s="57">
        <v>37</v>
      </c>
      <c r="F17" s="57"/>
    </row>
    <row r="18" spans="1:18" x14ac:dyDescent="0.25">
      <c r="A18" s="19" t="s">
        <v>66</v>
      </c>
      <c r="B18" s="19"/>
      <c r="C18" s="55"/>
    </row>
    <row r="19" spans="1:18" x14ac:dyDescent="0.25">
      <c r="A19" s="67" t="s">
        <v>23</v>
      </c>
      <c r="B19" s="67"/>
      <c r="C19" s="67"/>
      <c r="D19" s="67"/>
    </row>
    <row r="20" spans="1:18" x14ac:dyDescent="0.25">
      <c r="A20" s="67"/>
      <c r="B20" s="67"/>
      <c r="C20" s="67"/>
      <c r="D20" s="67"/>
    </row>
    <row r="22" spans="1:18" ht="21" customHeight="1" x14ac:dyDescent="0.3">
      <c r="A22" s="58" t="s">
        <v>24</v>
      </c>
      <c r="B22" s="58"/>
      <c r="C22" s="58"/>
      <c r="D22" s="59"/>
      <c r="E22" s="59"/>
      <c r="F22" s="59"/>
      <c r="G22" s="59"/>
      <c r="H22" s="59"/>
      <c r="I22" s="26" t="s">
        <v>71</v>
      </c>
      <c r="J22" s="27" t="s">
        <v>10</v>
      </c>
      <c r="K22" s="26" t="s">
        <v>72</v>
      </c>
      <c r="L22" s="27" t="s">
        <v>10</v>
      </c>
      <c r="M22" s="26" t="s">
        <v>73</v>
      </c>
      <c r="N22" s="27" t="s">
        <v>10</v>
      </c>
      <c r="O22" s="26" t="s">
        <v>74</v>
      </c>
      <c r="P22" s="27" t="s">
        <v>10</v>
      </c>
      <c r="Q22" s="29" t="s">
        <v>36</v>
      </c>
    </row>
    <row r="23" spans="1:18" x14ac:dyDescent="0.25">
      <c r="A23" s="19" t="s">
        <v>2</v>
      </c>
      <c r="B23" s="19" t="s">
        <v>3</v>
      </c>
      <c r="C23" s="19" t="s">
        <v>4</v>
      </c>
      <c r="D23" s="19" t="s">
        <v>5</v>
      </c>
      <c r="E23" s="19" t="s">
        <v>6</v>
      </c>
      <c r="F23" s="19" t="s">
        <v>7</v>
      </c>
      <c r="G23" s="19" t="s">
        <v>8</v>
      </c>
      <c r="H23" s="19" t="s">
        <v>9</v>
      </c>
      <c r="I23" s="30"/>
      <c r="J23" s="31"/>
      <c r="K23" s="30"/>
      <c r="L23" s="31"/>
      <c r="M23" s="30"/>
      <c r="N23" s="31"/>
      <c r="O23" s="30"/>
      <c r="P23" s="31"/>
      <c r="Q23" s="32"/>
    </row>
    <row r="24" spans="1:18" x14ac:dyDescent="0.25">
      <c r="A24" s="19" t="s">
        <v>11</v>
      </c>
      <c r="B24" s="19" t="str">
        <f>B7</f>
        <v xml:space="preserve">Sigma </v>
      </c>
      <c r="C24" s="33" t="str">
        <f>C7</f>
        <v>E4378</v>
      </c>
      <c r="D24" s="19" t="str">
        <f>D7</f>
        <v>SLCH4035</v>
      </c>
      <c r="E24" s="19">
        <f>E7</f>
        <v>380.35</v>
      </c>
      <c r="F24" s="19">
        <f>F7</f>
        <v>97.9</v>
      </c>
      <c r="G24" s="19">
        <f>E24/F24*100</f>
        <v>388.50868232890707</v>
      </c>
      <c r="H24" s="34">
        <v>7.0000000000000001E-3</v>
      </c>
      <c r="I24" s="19">
        <f>ROUND(G24*H24,4)</f>
        <v>2.7195999999999998</v>
      </c>
      <c r="J24" s="19" t="s">
        <v>13</v>
      </c>
      <c r="K24" s="35">
        <f>G24*H24*0.5</f>
        <v>1.3597803881511747</v>
      </c>
      <c r="L24" s="19" t="s">
        <v>13</v>
      </c>
      <c r="M24" s="35">
        <f>H24*G24*0.25</f>
        <v>0.67989019407558737</v>
      </c>
      <c r="N24" s="19" t="s">
        <v>13</v>
      </c>
      <c r="O24" s="19">
        <f>I24/10</f>
        <v>0.27195999999999998</v>
      </c>
      <c r="P24" s="19" t="s">
        <v>13</v>
      </c>
      <c r="Q24" s="19"/>
    </row>
    <row r="25" spans="1:18" x14ac:dyDescent="0.25">
      <c r="A25" s="19" t="s">
        <v>43</v>
      </c>
      <c r="B25" s="19" t="str">
        <f>B8</f>
        <v xml:space="preserve">Sigma </v>
      </c>
      <c r="C25" s="33" t="str">
        <f>C8</f>
        <v>14853</v>
      </c>
      <c r="D25" s="19" t="str">
        <f>D8</f>
        <v>BCCD5280</v>
      </c>
      <c r="E25" s="19">
        <f>E8</f>
        <v>213.25</v>
      </c>
      <c r="F25" s="36">
        <f>F8</f>
        <v>99.6</v>
      </c>
      <c r="G25" s="19">
        <f>E25/F25*100</f>
        <v>214.10642570281126</v>
      </c>
      <c r="H25" s="37">
        <v>0.05</v>
      </c>
      <c r="I25" s="19">
        <f>ROUND(G25*H25,4)</f>
        <v>10.705299999999999</v>
      </c>
      <c r="J25" s="19" t="s">
        <v>13</v>
      </c>
      <c r="K25" s="35">
        <f t="shared" ref="K25:K28" si="3">G25*H25*0.5</f>
        <v>5.3526606425702816</v>
      </c>
      <c r="L25" s="19" t="s">
        <v>13</v>
      </c>
      <c r="M25" s="35">
        <f t="shared" ref="M25:M28" si="4">H25*G25*0.25</f>
        <v>2.6763303212851408</v>
      </c>
      <c r="N25" s="19" t="s">
        <v>13</v>
      </c>
      <c r="O25" s="19">
        <f t="shared" ref="O25:O31" si="5">I25/10</f>
        <v>1.07053</v>
      </c>
      <c r="P25" s="19" t="s">
        <v>13</v>
      </c>
      <c r="Q25" s="19"/>
    </row>
    <row r="26" spans="1:18" x14ac:dyDescent="0.25">
      <c r="A26" s="19" t="s">
        <v>44</v>
      </c>
      <c r="B26" s="19" t="str">
        <f>B9</f>
        <v>TCI</v>
      </c>
      <c r="C26" s="33" t="str">
        <f>C9</f>
        <v>P0510</v>
      </c>
      <c r="D26" s="19" t="str">
        <f>D9</f>
        <v>BQHGI</v>
      </c>
      <c r="E26" s="19">
        <f>E9</f>
        <v>112.17</v>
      </c>
      <c r="F26" s="19">
        <f>F9</f>
        <v>100</v>
      </c>
      <c r="G26" s="19">
        <f>E26/F26*100</f>
        <v>112.16999999999999</v>
      </c>
      <c r="H26" s="37">
        <v>3.2000000000000001E-2</v>
      </c>
      <c r="I26" s="19">
        <f>ROUND(G26*H26,4)</f>
        <v>3.5893999999999999</v>
      </c>
      <c r="J26" s="19" t="s">
        <v>13</v>
      </c>
      <c r="K26" s="35">
        <f t="shared" si="3"/>
        <v>1.7947199999999999</v>
      </c>
      <c r="L26" s="19" t="s">
        <v>13</v>
      </c>
      <c r="M26" s="35">
        <f t="shared" si="4"/>
        <v>0.89735999999999994</v>
      </c>
      <c r="N26" s="19" t="s">
        <v>13</v>
      </c>
      <c r="O26" s="19">
        <f t="shared" si="5"/>
        <v>0.35893999999999998</v>
      </c>
      <c r="P26" s="19" t="s">
        <v>13</v>
      </c>
      <c r="Q26" s="19"/>
      <c r="R26" s="60"/>
    </row>
    <row r="27" spans="1:18" x14ac:dyDescent="0.25">
      <c r="A27" s="19" t="s">
        <v>14</v>
      </c>
      <c r="B27" s="19" t="str">
        <f>B10</f>
        <v xml:space="preserve">Roche </v>
      </c>
      <c r="C27" s="38">
        <f>C10</f>
        <v>10621714001</v>
      </c>
      <c r="D27" s="19">
        <f>D10</f>
        <v>58203023</v>
      </c>
      <c r="E27" s="19">
        <f>E10</f>
        <v>327.14</v>
      </c>
      <c r="F27" s="19">
        <f>F10</f>
        <v>100</v>
      </c>
      <c r="G27" s="19">
        <f>E27/F27*100</f>
        <v>327.14</v>
      </c>
      <c r="H27" s="34">
        <v>1.4500000000000001E-2</v>
      </c>
      <c r="I27" s="19">
        <f>ROUND(G27*H27,4)</f>
        <v>4.7435</v>
      </c>
      <c r="J27" s="19" t="s">
        <v>13</v>
      </c>
      <c r="K27" s="35">
        <f t="shared" si="3"/>
        <v>2.3717649999999999</v>
      </c>
      <c r="L27" s="19" t="s">
        <v>13</v>
      </c>
      <c r="M27" s="35">
        <f t="shared" si="4"/>
        <v>1.1858825</v>
      </c>
      <c r="N27" s="19" t="s">
        <v>13</v>
      </c>
      <c r="O27" s="19">
        <f t="shared" si="5"/>
        <v>0.47434999999999999</v>
      </c>
      <c r="P27" s="19" t="s">
        <v>13</v>
      </c>
      <c r="Q27" s="19"/>
    </row>
    <row r="28" spans="1:18" x14ac:dyDescent="0.25">
      <c r="A28" s="19" t="s">
        <v>16</v>
      </c>
      <c r="B28" s="19" t="str">
        <f>B11</f>
        <v xml:space="preserve">Roche </v>
      </c>
      <c r="C28" s="33" t="str">
        <f>C11</f>
        <v>10519987001</v>
      </c>
      <c r="D28" s="19">
        <f>D11</f>
        <v>5520891</v>
      </c>
      <c r="E28" s="19">
        <f>E11</f>
        <v>605.19000000000005</v>
      </c>
      <c r="F28" s="19">
        <f>F11</f>
        <v>100</v>
      </c>
      <c r="G28" s="19">
        <f>E28/F28*100</f>
        <v>605.19000000000005</v>
      </c>
      <c r="H28" s="39">
        <v>4.64E-3</v>
      </c>
      <c r="I28" s="19">
        <f>ROUND(G28*H28,4)</f>
        <v>2.8081</v>
      </c>
      <c r="J28" s="19" t="s">
        <v>13</v>
      </c>
      <c r="K28" s="35">
        <f t="shared" si="3"/>
        <v>1.4040408000000002</v>
      </c>
      <c r="L28" s="19" t="s">
        <v>13</v>
      </c>
      <c r="M28" s="35">
        <f t="shared" si="4"/>
        <v>0.7020204000000001</v>
      </c>
      <c r="N28" s="19" t="s">
        <v>13</v>
      </c>
      <c r="O28" s="19">
        <f t="shared" si="5"/>
        <v>0.28081</v>
      </c>
      <c r="P28" s="19" t="s">
        <v>13</v>
      </c>
      <c r="Q28" s="19"/>
      <c r="R28" s="60"/>
    </row>
    <row r="29" spans="1:18" x14ac:dyDescent="0.25">
      <c r="A29" s="19" t="s">
        <v>53</v>
      </c>
      <c r="B29" s="19" t="str">
        <f>B12</f>
        <v xml:space="preserve">Roche </v>
      </c>
      <c r="C29" s="19" t="str">
        <f t="shared" ref="C29:P29" si="6">C12</f>
        <v>56166123</v>
      </c>
      <c r="D29" s="19">
        <f t="shared" si="6"/>
        <v>10197777001</v>
      </c>
      <c r="E29" s="19">
        <f t="shared" si="6"/>
        <v>154.25</v>
      </c>
      <c r="F29" s="19">
        <f t="shared" si="6"/>
        <v>99</v>
      </c>
      <c r="G29" s="19">
        <f t="shared" si="6"/>
        <v>155.80808080808083</v>
      </c>
      <c r="H29" s="19">
        <f t="shared" si="6"/>
        <v>1E-3</v>
      </c>
      <c r="I29" s="19">
        <f t="shared" si="6"/>
        <v>0.15579999999999999</v>
      </c>
      <c r="J29" s="19" t="str">
        <f t="shared" si="6"/>
        <v>g</v>
      </c>
      <c r="K29" s="19">
        <f t="shared" si="6"/>
        <v>7.7899999999999997E-2</v>
      </c>
      <c r="L29" s="19" t="str">
        <f t="shared" si="6"/>
        <v>g</v>
      </c>
      <c r="M29" s="19">
        <f t="shared" si="6"/>
        <v>3.8949999999999999E-2</v>
      </c>
      <c r="N29" s="19" t="str">
        <f t="shared" si="6"/>
        <v>g</v>
      </c>
      <c r="O29" s="19">
        <f t="shared" si="6"/>
        <v>1.558E-2</v>
      </c>
      <c r="P29" s="19" t="str">
        <f t="shared" si="6"/>
        <v>g</v>
      </c>
      <c r="Q29" s="19"/>
      <c r="R29" s="60"/>
    </row>
    <row r="30" spans="1:18" x14ac:dyDescent="0.25">
      <c r="A30" s="19" t="s">
        <v>17</v>
      </c>
      <c r="B30" s="19" t="str">
        <f>B13</f>
        <v>Orion</v>
      </c>
      <c r="C30" s="33" t="str">
        <f>C13</f>
        <v>922006</v>
      </c>
      <c r="D30" s="19" t="str">
        <f>D13</f>
        <v>ZQ1</v>
      </c>
      <c r="E30" s="62" t="s">
        <v>42</v>
      </c>
      <c r="F30" s="62"/>
      <c r="G30" s="63">
        <v>0.1003</v>
      </c>
      <c r="H30" s="64">
        <v>7.0099999999999997E-3</v>
      </c>
      <c r="I30" s="65">
        <f>((H30*1)/G30)*1000</f>
        <v>69.890329012961118</v>
      </c>
      <c r="J30" s="63" t="s">
        <v>22</v>
      </c>
      <c r="K30" s="66">
        <f>I30/2</f>
        <v>34.945164506480559</v>
      </c>
      <c r="L30" s="63" t="s">
        <v>22</v>
      </c>
      <c r="M30" s="66">
        <f>I30/4</f>
        <v>17.472582253240279</v>
      </c>
      <c r="N30" s="63" t="s">
        <v>22</v>
      </c>
      <c r="O30" s="63">
        <f t="shared" si="5"/>
        <v>6.9890329012961114</v>
      </c>
      <c r="P30" s="63" t="s">
        <v>22</v>
      </c>
      <c r="Q30" s="45"/>
      <c r="R30" s="50"/>
    </row>
    <row r="31" spans="1:18" x14ac:dyDescent="0.25">
      <c r="A31" s="19" t="s">
        <v>20</v>
      </c>
      <c r="B31" s="19" t="str">
        <f>B14</f>
        <v xml:space="preserve">Stock </v>
      </c>
      <c r="C31" s="33" t="s">
        <v>21</v>
      </c>
      <c r="D31" s="19" t="s">
        <v>0</v>
      </c>
      <c r="E31" s="62" t="s">
        <v>42</v>
      </c>
      <c r="F31" s="62"/>
      <c r="G31" s="63">
        <v>0.5</v>
      </c>
      <c r="H31" s="64">
        <v>5.2100000000000002E-3</v>
      </c>
      <c r="I31" s="65">
        <f>((H31*1)/G31)*1000</f>
        <v>10.42</v>
      </c>
      <c r="J31" s="63" t="s">
        <v>22</v>
      </c>
      <c r="K31" s="66">
        <f>I31/2</f>
        <v>5.21</v>
      </c>
      <c r="L31" s="63" t="s">
        <v>22</v>
      </c>
      <c r="M31" s="66">
        <f>I31/4</f>
        <v>2.605</v>
      </c>
      <c r="N31" s="63" t="s">
        <v>22</v>
      </c>
      <c r="O31" s="63">
        <f t="shared" si="5"/>
        <v>1.042</v>
      </c>
      <c r="P31" s="63" t="s">
        <v>22</v>
      </c>
      <c r="Q31" s="45"/>
      <c r="R31" s="50"/>
    </row>
    <row r="33" spans="1:17" x14ac:dyDescent="0.25">
      <c r="A33" s="19" t="s">
        <v>63</v>
      </c>
      <c r="B33" s="19"/>
      <c r="D33" s="53" t="s">
        <v>62</v>
      </c>
      <c r="E33" s="54" t="s">
        <v>65</v>
      </c>
      <c r="F33" s="54"/>
    </row>
    <row r="34" spans="1:17" x14ac:dyDescent="0.25">
      <c r="A34" s="19" t="s">
        <v>64</v>
      </c>
      <c r="B34" s="19"/>
      <c r="C34" s="55"/>
      <c r="D34" s="56">
        <v>7</v>
      </c>
      <c r="E34" s="57">
        <v>37</v>
      </c>
      <c r="F34" s="57"/>
    </row>
    <row r="35" spans="1:17" x14ac:dyDescent="0.25">
      <c r="A35" s="19" t="s">
        <v>66</v>
      </c>
      <c r="B35" s="19"/>
      <c r="C35" s="55"/>
    </row>
    <row r="36" spans="1:17" x14ac:dyDescent="0.25">
      <c r="A36" s="20" t="s">
        <v>26</v>
      </c>
    </row>
    <row r="39" spans="1:17" x14ac:dyDescent="0.25">
      <c r="A39" s="76" t="s">
        <v>75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9"/>
    </row>
    <row r="40" spans="1:17" x14ac:dyDescent="0.25">
      <c r="A40" s="70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2"/>
    </row>
    <row r="41" spans="1:1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2"/>
    </row>
    <row r="42" spans="1:17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2"/>
    </row>
    <row r="43" spans="1:17" x14ac:dyDescent="0.25">
      <c r="A43" s="70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2"/>
    </row>
    <row r="44" spans="1:17" x14ac:dyDescent="0.25">
      <c r="A44" s="70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2"/>
    </row>
    <row r="45" spans="1:17" x14ac:dyDescent="0.25">
      <c r="A45" s="70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2"/>
    </row>
    <row r="46" spans="1:17" x14ac:dyDescent="0.25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2"/>
    </row>
    <row r="47" spans="1:17" x14ac:dyDescent="0.25">
      <c r="A47" s="7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5"/>
    </row>
  </sheetData>
  <mergeCells count="33">
    <mergeCell ref="A39:Q47"/>
    <mergeCell ref="E16:F16"/>
    <mergeCell ref="E17:F17"/>
    <mergeCell ref="E33:F33"/>
    <mergeCell ref="E34:F34"/>
    <mergeCell ref="B1:D1"/>
    <mergeCell ref="B2:D2"/>
    <mergeCell ref="B3:D3"/>
    <mergeCell ref="H1:M3"/>
    <mergeCell ref="Q22:Q23"/>
    <mergeCell ref="N5:N6"/>
    <mergeCell ref="L5:L6"/>
    <mergeCell ref="L22:L23"/>
    <mergeCell ref="N22:N23"/>
    <mergeCell ref="O5:O6"/>
    <mergeCell ref="O22:O23"/>
    <mergeCell ref="P5:P6"/>
    <mergeCell ref="P22:P23"/>
    <mergeCell ref="E31:F31"/>
    <mergeCell ref="K5:K6"/>
    <mergeCell ref="A5:C5"/>
    <mergeCell ref="A22:C22"/>
    <mergeCell ref="E13:F13"/>
    <mergeCell ref="E14:F14"/>
    <mergeCell ref="E30:F30"/>
    <mergeCell ref="I5:I6"/>
    <mergeCell ref="J5:J6"/>
    <mergeCell ref="J22:J23"/>
    <mergeCell ref="M5:M6"/>
    <mergeCell ref="I22:I23"/>
    <mergeCell ref="K22:K23"/>
    <mergeCell ref="Q5:Q6"/>
    <mergeCell ref="M22:M23"/>
  </mergeCells>
  <pageMargins left="0.25" right="0.25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5879-A3F5-4999-ADF2-8C2DDFA1ACC5}">
  <dimension ref="A1:K22"/>
  <sheetViews>
    <sheetView workbookViewId="0">
      <selection activeCell="D22" sqref="D22"/>
    </sheetView>
  </sheetViews>
  <sheetFormatPr defaultRowHeight="14.4" x14ac:dyDescent="0.3"/>
  <cols>
    <col min="6" max="6" width="14.6640625" bestFit="1" customWidth="1"/>
    <col min="7" max="7" width="17.33203125" bestFit="1" customWidth="1"/>
    <col min="8" max="8" width="13.109375" bestFit="1" customWidth="1"/>
    <col min="9" max="9" width="12" bestFit="1" customWidth="1"/>
    <col min="10" max="10" width="13.109375" bestFit="1" customWidth="1"/>
    <col min="11" max="11" width="12" bestFit="1" customWidth="1"/>
    <col min="14" max="14" width="12" bestFit="1" customWidth="1"/>
  </cols>
  <sheetData>
    <row r="1" spans="1:11" ht="17.399999999999999" x14ac:dyDescent="0.3">
      <c r="G1" s="87" t="s">
        <v>76</v>
      </c>
      <c r="H1" s="87"/>
      <c r="I1" s="87"/>
      <c r="J1" s="87"/>
      <c r="K1" s="87"/>
    </row>
    <row r="3" spans="1:11" ht="15.6" x14ac:dyDescent="0.3">
      <c r="A3" s="89" t="s">
        <v>27</v>
      </c>
      <c r="B3" s="90" t="s">
        <v>37</v>
      </c>
      <c r="C3" s="90" t="s">
        <v>38</v>
      </c>
      <c r="D3" s="90" t="s">
        <v>28</v>
      </c>
      <c r="E3" s="90" t="s">
        <v>29</v>
      </c>
      <c r="F3" s="90" t="s">
        <v>30</v>
      </c>
      <c r="G3" s="1"/>
      <c r="H3" s="2" t="s">
        <v>34</v>
      </c>
      <c r="I3" s="77" t="s">
        <v>39</v>
      </c>
      <c r="J3" s="3" t="s">
        <v>35</v>
      </c>
      <c r="K3" s="77" t="s">
        <v>39</v>
      </c>
    </row>
    <row r="4" spans="1:11" ht="17.399999999999999" x14ac:dyDescent="0.3">
      <c r="A4" s="90">
        <v>6.6</v>
      </c>
      <c r="B4" s="88">
        <v>0.60104000000000002</v>
      </c>
      <c r="C4" s="88">
        <v>0.39895999999999998</v>
      </c>
      <c r="D4" s="91">
        <v>45</v>
      </c>
      <c r="E4" s="91">
        <v>1.5</v>
      </c>
      <c r="F4" s="91">
        <f>D4*E4</f>
        <v>67.5</v>
      </c>
      <c r="G4" s="78">
        <v>6.6</v>
      </c>
      <c r="H4" s="79">
        <f>B4*F4</f>
        <v>40.5702</v>
      </c>
      <c r="I4" s="80"/>
      <c r="J4" s="79">
        <f>F4*C4</f>
        <v>26.9298</v>
      </c>
      <c r="K4" s="19"/>
    </row>
    <row r="5" spans="1:11" ht="17.399999999999999" x14ac:dyDescent="0.3">
      <c r="A5" s="92">
        <v>6.5</v>
      </c>
      <c r="B5" s="93">
        <v>0.544547</v>
      </c>
      <c r="C5" s="93">
        <v>0.455453</v>
      </c>
      <c r="D5" s="94">
        <v>0</v>
      </c>
      <c r="E5" s="94">
        <v>1.5</v>
      </c>
      <c r="F5" s="94">
        <f t="shared" ref="F5:F18" si="0">D5*E5</f>
        <v>0</v>
      </c>
      <c r="G5" s="81">
        <v>6.5</v>
      </c>
      <c r="H5" s="82">
        <f t="shared" ref="H5:H18" si="1">B5*F5</f>
        <v>0</v>
      </c>
      <c r="I5" s="82"/>
      <c r="J5" s="82">
        <f>F5*C5</f>
        <v>0</v>
      </c>
      <c r="K5" s="83"/>
    </row>
    <row r="6" spans="1:11" ht="17.399999999999999" x14ac:dyDescent="0.3">
      <c r="A6" s="90">
        <v>6.4</v>
      </c>
      <c r="B6" s="88">
        <v>0.48697000000000001</v>
      </c>
      <c r="C6" s="88">
        <v>0.51302999999999999</v>
      </c>
      <c r="D6" s="91">
        <v>45</v>
      </c>
      <c r="E6" s="91">
        <v>1.5</v>
      </c>
      <c r="F6" s="91">
        <f t="shared" si="0"/>
        <v>67.5</v>
      </c>
      <c r="G6" s="78">
        <v>6.4</v>
      </c>
      <c r="H6" s="79">
        <f t="shared" si="1"/>
        <v>32.870474999999999</v>
      </c>
      <c r="I6" s="79"/>
      <c r="J6" s="79">
        <f t="shared" ref="J6:J18" si="2">F6*C6</f>
        <v>34.629525000000001</v>
      </c>
      <c r="K6" s="19"/>
    </row>
    <row r="7" spans="1:11" s="4" customFormat="1" ht="17.399999999999999" x14ac:dyDescent="0.3">
      <c r="A7" s="95">
        <v>6.3</v>
      </c>
      <c r="B7" s="96">
        <v>0.42981900000000001</v>
      </c>
      <c r="C7" s="96">
        <v>0.57018100000000005</v>
      </c>
      <c r="D7" s="97">
        <v>0</v>
      </c>
      <c r="E7" s="97">
        <v>1.5</v>
      </c>
      <c r="F7" s="97">
        <f t="shared" si="0"/>
        <v>0</v>
      </c>
      <c r="G7" s="84">
        <v>6.3</v>
      </c>
      <c r="H7" s="85">
        <f t="shared" si="1"/>
        <v>0</v>
      </c>
      <c r="I7" s="85"/>
      <c r="J7" s="85">
        <f t="shared" si="2"/>
        <v>0</v>
      </c>
      <c r="K7" s="86"/>
    </row>
    <row r="8" spans="1:11" ht="17.399999999999999" x14ac:dyDescent="0.3">
      <c r="A8" s="90">
        <v>6.2</v>
      </c>
      <c r="B8" s="88">
        <v>0.374554</v>
      </c>
      <c r="C8" s="88">
        <v>0.62544599999999995</v>
      </c>
      <c r="D8" s="91">
        <v>45</v>
      </c>
      <c r="E8" s="91">
        <v>1.5</v>
      </c>
      <c r="F8" s="91">
        <f t="shared" si="0"/>
        <v>67.5</v>
      </c>
      <c r="G8" s="78">
        <v>6.2</v>
      </c>
      <c r="H8" s="79">
        <f t="shared" si="1"/>
        <v>25.282395000000001</v>
      </c>
      <c r="I8" s="79"/>
      <c r="J8" s="79">
        <f t="shared" si="2"/>
        <v>42.217604999999999</v>
      </c>
      <c r="K8" s="19"/>
    </row>
    <row r="9" spans="1:11" s="4" customFormat="1" ht="17.399999999999999" x14ac:dyDescent="0.3">
      <c r="A9" s="95">
        <v>6.1</v>
      </c>
      <c r="B9" s="96">
        <v>0.32244499999999998</v>
      </c>
      <c r="C9" s="96">
        <v>0.67755500000000002</v>
      </c>
      <c r="D9" s="97">
        <v>0</v>
      </c>
      <c r="E9" s="97">
        <v>1.5</v>
      </c>
      <c r="F9" s="97">
        <f t="shared" si="0"/>
        <v>0</v>
      </c>
      <c r="G9" s="84">
        <v>6.1</v>
      </c>
      <c r="H9" s="85">
        <f t="shared" si="1"/>
        <v>0</v>
      </c>
      <c r="I9" s="85"/>
      <c r="J9" s="85">
        <f t="shared" si="2"/>
        <v>0</v>
      </c>
      <c r="K9" s="86"/>
    </row>
    <row r="10" spans="1:11" ht="17.399999999999999" x14ac:dyDescent="0.3">
      <c r="A10" s="90">
        <v>6</v>
      </c>
      <c r="B10" s="88">
        <v>0.27445999999999998</v>
      </c>
      <c r="C10" s="88">
        <v>0.72553999999999996</v>
      </c>
      <c r="D10" s="91">
        <v>45</v>
      </c>
      <c r="E10" s="91">
        <v>1.5</v>
      </c>
      <c r="F10" s="91">
        <f t="shared" si="0"/>
        <v>67.5</v>
      </c>
      <c r="G10" s="78">
        <v>6</v>
      </c>
      <c r="H10" s="79">
        <f t="shared" si="1"/>
        <v>18.526049999999998</v>
      </c>
      <c r="I10" s="79"/>
      <c r="J10" s="79">
        <f t="shared" si="2"/>
        <v>48.973949999999995</v>
      </c>
      <c r="K10" s="19"/>
    </row>
    <row r="11" spans="1:11" s="4" customFormat="1" ht="17.399999999999999" x14ac:dyDescent="0.3">
      <c r="A11" s="95">
        <v>5.9</v>
      </c>
      <c r="B11" s="96">
        <v>0.23121800000000001</v>
      </c>
      <c r="C11" s="96">
        <v>0.76878199999999997</v>
      </c>
      <c r="D11" s="97">
        <v>0</v>
      </c>
      <c r="E11" s="97">
        <v>1.5</v>
      </c>
      <c r="F11" s="97">
        <f t="shared" si="0"/>
        <v>0</v>
      </c>
      <c r="G11" s="84">
        <v>5.9</v>
      </c>
      <c r="H11" s="85">
        <f t="shared" si="1"/>
        <v>0</v>
      </c>
      <c r="I11" s="85"/>
      <c r="J11" s="85">
        <f t="shared" si="2"/>
        <v>0</v>
      </c>
      <c r="K11" s="86"/>
    </row>
    <row r="12" spans="1:11" ht="17.399999999999999" x14ac:dyDescent="0.3">
      <c r="A12" s="90">
        <v>5.8</v>
      </c>
      <c r="B12" s="88">
        <v>0.192991</v>
      </c>
      <c r="C12" s="88">
        <v>0.80700899999999998</v>
      </c>
      <c r="D12" s="91">
        <v>45</v>
      </c>
      <c r="E12" s="91">
        <v>1.5</v>
      </c>
      <c r="F12" s="91">
        <f t="shared" si="0"/>
        <v>67.5</v>
      </c>
      <c r="G12" s="78">
        <v>5.8</v>
      </c>
      <c r="H12" s="79">
        <f t="shared" si="1"/>
        <v>13.026892499999999</v>
      </c>
      <c r="I12" s="79"/>
      <c r="J12" s="79">
        <f t="shared" si="2"/>
        <v>54.473107499999998</v>
      </c>
      <c r="K12" s="19"/>
    </row>
    <row r="13" spans="1:11" ht="17.399999999999999" x14ac:dyDescent="0.3">
      <c r="A13" s="92">
        <v>5.7</v>
      </c>
      <c r="B13" s="93">
        <v>0.15975300000000001</v>
      </c>
      <c r="C13" s="93">
        <v>0.84024699999999997</v>
      </c>
      <c r="D13" s="94">
        <v>0</v>
      </c>
      <c r="E13" s="94">
        <v>1.5</v>
      </c>
      <c r="F13" s="94">
        <f t="shared" si="0"/>
        <v>0</v>
      </c>
      <c r="G13" s="81">
        <v>5.7</v>
      </c>
      <c r="H13" s="82">
        <f t="shared" si="1"/>
        <v>0</v>
      </c>
      <c r="I13" s="82"/>
      <c r="J13" s="82">
        <f t="shared" si="2"/>
        <v>0</v>
      </c>
      <c r="K13" s="83"/>
    </row>
    <row r="14" spans="1:11" ht="17.399999999999999" x14ac:dyDescent="0.3">
      <c r="A14" s="90">
        <v>5.6</v>
      </c>
      <c r="B14" s="88">
        <v>0.13125100000000001</v>
      </c>
      <c r="C14" s="88">
        <v>0.86874899999999999</v>
      </c>
      <c r="D14" s="91">
        <v>45</v>
      </c>
      <c r="E14" s="91">
        <v>1.5</v>
      </c>
      <c r="F14" s="91">
        <f t="shared" si="0"/>
        <v>67.5</v>
      </c>
      <c r="G14" s="78">
        <v>5.6</v>
      </c>
      <c r="H14" s="79">
        <f t="shared" si="1"/>
        <v>8.8594425000000001</v>
      </c>
      <c r="I14" s="79"/>
      <c r="J14" s="79">
        <f t="shared" si="2"/>
        <v>58.6405575</v>
      </c>
      <c r="K14" s="19"/>
    </row>
    <row r="15" spans="1:11" ht="17.399999999999999" x14ac:dyDescent="0.3">
      <c r="A15" s="92">
        <v>5.5</v>
      </c>
      <c r="B15" s="93">
        <v>0.107076</v>
      </c>
      <c r="C15" s="93">
        <v>0.89292400000000005</v>
      </c>
      <c r="D15" s="94">
        <v>0</v>
      </c>
      <c r="E15" s="94">
        <v>1.5</v>
      </c>
      <c r="F15" s="94">
        <f t="shared" si="0"/>
        <v>0</v>
      </c>
      <c r="G15" s="81">
        <v>5.5</v>
      </c>
      <c r="H15" s="82">
        <f t="shared" si="1"/>
        <v>0</v>
      </c>
      <c r="I15" s="82"/>
      <c r="J15" s="82">
        <f t="shared" si="2"/>
        <v>0</v>
      </c>
      <c r="K15" s="83"/>
    </row>
    <row r="16" spans="1:11" ht="17.399999999999999" x14ac:dyDescent="0.3">
      <c r="A16" s="90">
        <v>5.4</v>
      </c>
      <c r="B16" s="88">
        <v>8.6738300000000004E-2</v>
      </c>
      <c r="C16" s="88">
        <v>0.91326200000000002</v>
      </c>
      <c r="D16" s="91">
        <v>45</v>
      </c>
      <c r="E16" s="91">
        <v>1.5</v>
      </c>
      <c r="F16" s="91">
        <f t="shared" si="0"/>
        <v>67.5</v>
      </c>
      <c r="G16" s="78">
        <v>5.4</v>
      </c>
      <c r="H16" s="79">
        <f t="shared" si="1"/>
        <v>5.8548352500000007</v>
      </c>
      <c r="I16" s="79"/>
      <c r="J16" s="79">
        <f t="shared" si="2"/>
        <v>61.645184999999998</v>
      </c>
      <c r="K16" s="19"/>
    </row>
    <row r="17" spans="1:11" ht="17.399999999999999" x14ac:dyDescent="0.3">
      <c r="A17" s="92">
        <v>5.2</v>
      </c>
      <c r="B17" s="93">
        <v>5.54879E-2</v>
      </c>
      <c r="C17" s="93">
        <v>0.94451200000000002</v>
      </c>
      <c r="D17" s="94">
        <v>0</v>
      </c>
      <c r="E17" s="94">
        <v>1.5</v>
      </c>
      <c r="F17" s="94">
        <f t="shared" si="0"/>
        <v>0</v>
      </c>
      <c r="G17" s="81">
        <v>5.2</v>
      </c>
      <c r="H17" s="82">
        <f t="shared" si="1"/>
        <v>0</v>
      </c>
      <c r="I17" s="82"/>
      <c r="J17" s="82">
        <f t="shared" si="2"/>
        <v>0</v>
      </c>
      <c r="K17" s="83"/>
    </row>
    <row r="18" spans="1:11" ht="17.399999999999999" x14ac:dyDescent="0.3">
      <c r="A18" s="90">
        <v>5</v>
      </c>
      <c r="B18" s="88">
        <v>3.3536999999999997E-2</v>
      </c>
      <c r="C18" s="88">
        <v>0.96646299999999996</v>
      </c>
      <c r="D18" s="91">
        <v>45</v>
      </c>
      <c r="E18" s="91">
        <v>1.5</v>
      </c>
      <c r="F18" s="91">
        <f t="shared" si="0"/>
        <v>67.5</v>
      </c>
      <c r="G18" s="98">
        <v>5</v>
      </c>
      <c r="H18" s="99">
        <f t="shared" si="1"/>
        <v>2.2637475</v>
      </c>
      <c r="I18" s="99"/>
      <c r="J18" s="99">
        <f t="shared" si="2"/>
        <v>65.236252499999992</v>
      </c>
      <c r="K18" s="19"/>
    </row>
    <row r="19" spans="1:11" ht="15.6" x14ac:dyDescent="0.3">
      <c r="A19" s="20"/>
      <c r="B19" s="51"/>
      <c r="C19" s="20"/>
      <c r="D19" s="20"/>
      <c r="E19" s="20"/>
      <c r="G19" s="100" t="s">
        <v>30</v>
      </c>
      <c r="H19" s="101">
        <f>SUM(H4:H18)</f>
        <v>147.25403775000001</v>
      </c>
      <c r="I19" s="101"/>
      <c r="J19" s="102">
        <f>SUM(J4:J18)</f>
        <v>392.74598249999997</v>
      </c>
      <c r="K19" s="20"/>
    </row>
    <row r="20" spans="1:11" ht="15.6" x14ac:dyDescent="0.3">
      <c r="A20" s="20"/>
      <c r="B20" s="20"/>
      <c r="C20" s="20"/>
      <c r="D20" s="20"/>
      <c r="E20" s="20"/>
      <c r="G20" s="108" t="s">
        <v>31</v>
      </c>
      <c r="H20" s="105">
        <v>250</v>
      </c>
      <c r="I20" s="105"/>
      <c r="J20" s="106">
        <v>500</v>
      </c>
      <c r="K20" s="20"/>
    </row>
    <row r="21" spans="1:11" ht="15.6" x14ac:dyDescent="0.3">
      <c r="A21" s="20"/>
      <c r="B21" s="20"/>
      <c r="C21" s="20"/>
      <c r="D21" s="20"/>
      <c r="E21" s="20"/>
      <c r="G21" s="107" t="s">
        <v>32</v>
      </c>
      <c r="H21" s="103">
        <f>H20-H19</f>
        <v>102.74596224999999</v>
      </c>
      <c r="I21" s="103"/>
      <c r="J21" s="104">
        <f>J20-J19</f>
        <v>107.25401750000003</v>
      </c>
      <c r="K21" s="20"/>
    </row>
    <row r="22" spans="1:11" ht="15.6" x14ac:dyDescent="0.3">
      <c r="A22" s="20"/>
      <c r="B22" s="20"/>
      <c r="C22" s="20"/>
      <c r="D22" s="20"/>
      <c r="E22" s="20"/>
      <c r="G22" s="108" t="s">
        <v>33</v>
      </c>
      <c r="H22" s="105">
        <f>H21/4</f>
        <v>25.686490562499998</v>
      </c>
      <c r="I22" s="105"/>
      <c r="J22" s="106">
        <f>J21/4</f>
        <v>26.813504375000008</v>
      </c>
      <c r="K22" s="20"/>
    </row>
  </sheetData>
  <mergeCells count="1">
    <mergeCell ref="G1:K1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8C5A5F-E725-41A4-8601-E4ED4BF2E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3719E9-DEAC-4857-9162-CA5CC7447214}">
  <ds:schemaRefs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5d5a2885-0f9b-4d04-9bc1-f867a2376b8a"/>
    <ds:schemaRef ds:uri="http://purl.org/dc/dcmitype/"/>
    <ds:schemaRef ds:uri="6cbc0c5a-d948-46e5-8624-1bad210f77c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FF793ED-39D3-47CF-943C-26042DE886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</vt:lpstr>
      <vt:lpstr>mixing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</dc:creator>
  <cp:keywords/>
  <dc:description/>
  <cp:lastModifiedBy>Milburn, Gregory N.</cp:lastModifiedBy>
  <cp:revision/>
  <cp:lastPrinted>2024-02-23T17:32:07Z</cp:lastPrinted>
  <dcterms:created xsi:type="dcterms:W3CDTF">2018-07-03T20:59:04Z</dcterms:created>
  <dcterms:modified xsi:type="dcterms:W3CDTF">2024-02-23T17:50:57Z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