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ya222\Desktop\Pipette_Calibration_Check\"/>
    </mc:Choice>
  </mc:AlternateContent>
  <xr:revisionPtr revIDLastSave="0" documentId="13_ncr:1_{71D5C1C5-1033-430D-A689-AAECB5705984}" xr6:coauthVersionLast="36" xr6:coauthVersionMax="36" xr10:uidLastSave="{00000000-0000-0000-0000-000000000000}"/>
  <bookViews>
    <workbookView xWindow="0" yWindow="0" windowWidth="28800" windowHeight="11625" tabRatio="286" xr2:uid="{997F91FD-5CA8-4734-A137-4E112E6D6F28}"/>
  </bookViews>
  <sheets>
    <sheet name="Calibration Summary" sheetId="5" r:id="rId1"/>
    <sheet name="100% Volume Calculations" sheetId="1" r:id="rId2"/>
    <sheet name="10% Volume Calculations" sheetId="3" r:id="rId3"/>
  </sheets>
  <definedNames>
    <definedName name="_xlnm.Print_Area" localSheetId="2">'10% Volume Calculations'!$A$1:$G$26</definedName>
    <definedName name="_xlnm.Print_Area" localSheetId="1">'100% Volume Calculations'!$A$1:$G$26</definedName>
    <definedName name="_xlnm.Print_Area" localSheetId="0">'Calibration Summary'!$A$1:$B$26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5" l="1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" i="5"/>
  <c r="L28" i="1"/>
  <c r="I3" i="1"/>
  <c r="J3" i="1"/>
  <c r="K3" i="1"/>
  <c r="L3" i="1"/>
  <c r="I4" i="1"/>
  <c r="J4" i="1"/>
  <c r="K4" i="1"/>
  <c r="L4" i="1"/>
  <c r="I5" i="1"/>
  <c r="J5" i="1"/>
  <c r="K5" i="1"/>
  <c r="L5" i="1"/>
  <c r="I6" i="1"/>
  <c r="J6" i="1"/>
  <c r="K6" i="1"/>
  <c r="L6" i="1"/>
  <c r="I7" i="1"/>
  <c r="J7" i="1"/>
  <c r="K7" i="1"/>
  <c r="L7" i="1"/>
  <c r="I8" i="1"/>
  <c r="J8" i="1"/>
  <c r="K8" i="1"/>
  <c r="L8" i="1"/>
  <c r="I9" i="1"/>
  <c r="J9" i="1"/>
  <c r="K9" i="1"/>
  <c r="L9" i="1"/>
  <c r="I10" i="1"/>
  <c r="J10" i="1"/>
  <c r="K10" i="1"/>
  <c r="L10" i="1"/>
  <c r="I11" i="1"/>
  <c r="J11" i="1"/>
  <c r="K11" i="1"/>
  <c r="L11" i="1"/>
  <c r="I12" i="1"/>
  <c r="J12" i="1"/>
  <c r="K12" i="1"/>
  <c r="L12" i="1"/>
  <c r="I13" i="1"/>
  <c r="J13" i="1"/>
  <c r="K13" i="1"/>
  <c r="L13" i="1"/>
  <c r="I14" i="1"/>
  <c r="J14" i="1"/>
  <c r="K14" i="1"/>
  <c r="L14" i="1"/>
  <c r="I15" i="1"/>
  <c r="J15" i="1"/>
  <c r="K15" i="1"/>
  <c r="L15" i="1"/>
  <c r="I16" i="1"/>
  <c r="J16" i="1"/>
  <c r="K16" i="1"/>
  <c r="L16" i="1"/>
  <c r="I17" i="1"/>
  <c r="J17" i="1"/>
  <c r="K17" i="1"/>
  <c r="L17" i="1"/>
  <c r="I18" i="1"/>
  <c r="J18" i="1"/>
  <c r="K18" i="1"/>
  <c r="L18" i="1"/>
  <c r="I19" i="1"/>
  <c r="J19" i="1"/>
  <c r="K19" i="1"/>
  <c r="L19" i="1"/>
  <c r="I20" i="1"/>
  <c r="J20" i="1"/>
  <c r="K20" i="1"/>
  <c r="L20" i="1"/>
  <c r="I21" i="1"/>
  <c r="J21" i="1"/>
  <c r="K21" i="1"/>
  <c r="L21" i="1"/>
  <c r="I22" i="1"/>
  <c r="J22" i="1"/>
  <c r="K22" i="1"/>
  <c r="L22" i="1"/>
  <c r="I23" i="1"/>
  <c r="J23" i="1"/>
  <c r="K23" i="1"/>
  <c r="L23" i="1"/>
  <c r="I24" i="1"/>
  <c r="J24" i="1"/>
  <c r="K24" i="1"/>
  <c r="L24" i="1"/>
  <c r="I25" i="1"/>
  <c r="J25" i="1"/>
  <c r="K25" i="1"/>
  <c r="L25" i="1"/>
  <c r="I26" i="1"/>
  <c r="J26" i="1"/>
  <c r="K26" i="1"/>
  <c r="L26" i="1"/>
  <c r="I27" i="1"/>
  <c r="J27" i="1"/>
  <c r="K27" i="1"/>
  <c r="L27" i="1"/>
  <c r="I28" i="1"/>
  <c r="J28" i="1"/>
  <c r="K28" i="1"/>
  <c r="J2" i="1"/>
  <c r="K2" i="1"/>
  <c r="L2" i="1"/>
  <c r="I2" i="1"/>
  <c r="I2" i="3"/>
  <c r="J2" i="3"/>
  <c r="K2" i="3"/>
  <c r="L2" i="3"/>
  <c r="I3" i="3"/>
  <c r="J3" i="3"/>
  <c r="K3" i="3"/>
  <c r="L3" i="3"/>
  <c r="I4" i="3"/>
  <c r="J4" i="3"/>
  <c r="K4" i="3"/>
  <c r="L4" i="3"/>
  <c r="I5" i="3"/>
  <c r="J5" i="3"/>
  <c r="K5" i="3"/>
  <c r="L5" i="3"/>
  <c r="I6" i="3"/>
  <c r="J6" i="3"/>
  <c r="K6" i="3"/>
  <c r="L6" i="3"/>
  <c r="I7" i="3"/>
  <c r="J7" i="3"/>
  <c r="K7" i="3"/>
  <c r="L7" i="3"/>
  <c r="I8" i="3"/>
  <c r="J8" i="3"/>
  <c r="K8" i="3"/>
  <c r="L8" i="3"/>
  <c r="I9" i="3"/>
  <c r="J9" i="3"/>
  <c r="K9" i="3"/>
  <c r="L9" i="3"/>
  <c r="I10" i="3"/>
  <c r="J10" i="3"/>
  <c r="K10" i="3"/>
  <c r="L10" i="3"/>
  <c r="I11" i="3"/>
  <c r="J11" i="3"/>
  <c r="K11" i="3"/>
  <c r="L11" i="3"/>
  <c r="I12" i="3"/>
  <c r="J12" i="3"/>
  <c r="K12" i="3"/>
  <c r="L12" i="3"/>
  <c r="I13" i="3"/>
  <c r="J13" i="3"/>
  <c r="K13" i="3"/>
  <c r="L13" i="3"/>
  <c r="I14" i="3"/>
  <c r="J14" i="3"/>
  <c r="K14" i="3"/>
  <c r="L14" i="3"/>
  <c r="I15" i="3"/>
  <c r="J15" i="3"/>
  <c r="K15" i="3"/>
  <c r="L15" i="3"/>
  <c r="I16" i="3"/>
  <c r="J16" i="3"/>
  <c r="K16" i="3"/>
  <c r="L16" i="3"/>
  <c r="I17" i="3"/>
  <c r="J17" i="3"/>
  <c r="K17" i="3"/>
  <c r="L17" i="3"/>
  <c r="I18" i="3"/>
  <c r="J18" i="3"/>
  <c r="K18" i="3"/>
  <c r="L18" i="3"/>
  <c r="I19" i="3"/>
  <c r="J19" i="3"/>
  <c r="K19" i="3"/>
  <c r="L19" i="3"/>
  <c r="I20" i="3"/>
  <c r="J20" i="3"/>
  <c r="K20" i="3"/>
  <c r="L20" i="3"/>
  <c r="I21" i="3"/>
  <c r="J21" i="3"/>
  <c r="K21" i="3"/>
  <c r="L21" i="3"/>
  <c r="I22" i="3"/>
  <c r="J22" i="3"/>
  <c r="K22" i="3"/>
  <c r="L22" i="3"/>
  <c r="I23" i="3"/>
  <c r="J23" i="3"/>
  <c r="K23" i="3"/>
  <c r="L23" i="3"/>
  <c r="I24" i="3"/>
  <c r="J24" i="3"/>
  <c r="K24" i="3"/>
  <c r="L24" i="3"/>
  <c r="I26" i="3"/>
  <c r="J26" i="3"/>
  <c r="K26" i="3"/>
  <c r="L26" i="3"/>
  <c r="I27" i="3"/>
  <c r="J27" i="3"/>
  <c r="K27" i="3"/>
  <c r="L27" i="3"/>
  <c r="I28" i="3"/>
  <c r="J28" i="3"/>
  <c r="K28" i="3"/>
  <c r="L28" i="3"/>
  <c r="L25" i="3"/>
  <c r="I25" i="3"/>
  <c r="J25" i="3"/>
  <c r="K25" i="3"/>
  <c r="D26" i="3"/>
  <c r="E25" i="3"/>
  <c r="M25" i="3" l="1"/>
  <c r="T25" i="3"/>
  <c r="S2" i="3"/>
  <c r="R2" i="3"/>
  <c r="Q2" i="3"/>
  <c r="P2" i="3"/>
  <c r="O2" i="3"/>
  <c r="N2" i="3"/>
  <c r="M2" i="3"/>
  <c r="T2" i="3" s="1"/>
  <c r="S2" i="1"/>
  <c r="R2" i="1"/>
  <c r="Q2" i="1"/>
  <c r="P2" i="1"/>
  <c r="O2" i="1"/>
  <c r="N2" i="1"/>
  <c r="M2" i="1"/>
  <c r="T2" i="1" s="1"/>
  <c r="F28" i="3"/>
  <c r="E28" i="3"/>
  <c r="D28" i="3"/>
  <c r="C28" i="3"/>
  <c r="G28" i="3" s="1"/>
  <c r="F27" i="3"/>
  <c r="E27" i="3"/>
  <c r="D27" i="3"/>
  <c r="C27" i="3"/>
  <c r="F26" i="3"/>
  <c r="E26" i="3"/>
  <c r="C26" i="3"/>
  <c r="F25" i="3"/>
  <c r="D25" i="3"/>
  <c r="C25" i="3"/>
  <c r="G25" i="3" s="1"/>
  <c r="F24" i="3"/>
  <c r="E24" i="3"/>
  <c r="D24" i="3"/>
  <c r="C24" i="3"/>
  <c r="G24" i="3" s="1"/>
  <c r="F23" i="3"/>
  <c r="E23" i="3"/>
  <c r="D23" i="3"/>
  <c r="C23" i="3"/>
  <c r="G23" i="3" s="1"/>
  <c r="F22" i="3"/>
  <c r="E22" i="3"/>
  <c r="D22" i="3"/>
  <c r="C22" i="3"/>
  <c r="F21" i="3"/>
  <c r="E21" i="3"/>
  <c r="D21" i="3"/>
  <c r="C21" i="3"/>
  <c r="F20" i="3"/>
  <c r="E20" i="3"/>
  <c r="D20" i="3"/>
  <c r="C20" i="3"/>
  <c r="F19" i="3"/>
  <c r="E19" i="3"/>
  <c r="D19" i="3"/>
  <c r="C19" i="3"/>
  <c r="F18" i="3"/>
  <c r="E18" i="3"/>
  <c r="D18" i="3"/>
  <c r="C18" i="3"/>
  <c r="F17" i="3"/>
  <c r="E17" i="3"/>
  <c r="D17" i="3"/>
  <c r="C17" i="3"/>
  <c r="G17" i="3" s="1"/>
  <c r="F16" i="3"/>
  <c r="E16" i="3"/>
  <c r="D16" i="3"/>
  <c r="C16" i="3"/>
  <c r="G16" i="3" s="1"/>
  <c r="F15" i="3"/>
  <c r="E15" i="3"/>
  <c r="D15" i="3"/>
  <c r="C15" i="3"/>
  <c r="G15" i="3" s="1"/>
  <c r="F14" i="3"/>
  <c r="E14" i="3"/>
  <c r="D14" i="3"/>
  <c r="C14" i="3"/>
  <c r="F13" i="3"/>
  <c r="E13" i="3"/>
  <c r="D13" i="3"/>
  <c r="C13" i="3"/>
  <c r="F12" i="3"/>
  <c r="E12" i="3"/>
  <c r="D12" i="3"/>
  <c r="C12" i="3"/>
  <c r="F11" i="3"/>
  <c r="E11" i="3"/>
  <c r="D11" i="3"/>
  <c r="C11" i="3"/>
  <c r="F10" i="3"/>
  <c r="E10" i="3"/>
  <c r="D10" i="3"/>
  <c r="C10" i="3"/>
  <c r="G10" i="3" s="1"/>
  <c r="F9" i="3"/>
  <c r="E9" i="3"/>
  <c r="D9" i="3"/>
  <c r="C9" i="3"/>
  <c r="G8" i="3"/>
  <c r="F8" i="3"/>
  <c r="E8" i="3"/>
  <c r="D8" i="3"/>
  <c r="C8" i="3"/>
  <c r="F7" i="3"/>
  <c r="E7" i="3"/>
  <c r="D7" i="3"/>
  <c r="C7" i="3"/>
  <c r="G7" i="3" s="1"/>
  <c r="F6" i="3"/>
  <c r="E6" i="3"/>
  <c r="D6" i="3"/>
  <c r="C6" i="3"/>
  <c r="G6" i="3" s="1"/>
  <c r="F5" i="3"/>
  <c r="E5" i="3"/>
  <c r="D5" i="3"/>
  <c r="C5" i="3"/>
  <c r="G5" i="3" s="1"/>
  <c r="F4" i="3"/>
  <c r="E4" i="3"/>
  <c r="D4" i="3"/>
  <c r="C4" i="3"/>
  <c r="F3" i="3"/>
  <c r="E3" i="3"/>
  <c r="D3" i="3"/>
  <c r="C3" i="3"/>
  <c r="F2" i="3"/>
  <c r="E2" i="3"/>
  <c r="D2" i="3"/>
  <c r="C2" i="3"/>
  <c r="G2" i="3" s="1"/>
  <c r="F28" i="1"/>
  <c r="E28" i="1"/>
  <c r="D28" i="1"/>
  <c r="C28" i="1"/>
  <c r="F27" i="1"/>
  <c r="E27" i="1"/>
  <c r="D27" i="1"/>
  <c r="C27" i="1"/>
  <c r="F26" i="1"/>
  <c r="E26" i="1"/>
  <c r="D26" i="1"/>
  <c r="C26" i="1"/>
  <c r="P8" i="3" l="1"/>
  <c r="G9" i="3"/>
  <c r="N8" i="3"/>
  <c r="R8" i="3" s="1"/>
  <c r="S8" i="3" s="1"/>
  <c r="O9" i="3"/>
  <c r="Q9" i="3"/>
  <c r="P18" i="3"/>
  <c r="O8" i="3"/>
  <c r="Q8" i="3"/>
  <c r="O18" i="3"/>
  <c r="P10" i="3"/>
  <c r="G27" i="3"/>
  <c r="Q28" i="3"/>
  <c r="G26" i="3"/>
  <c r="P27" i="3"/>
  <c r="O28" i="3"/>
  <c r="G14" i="3"/>
  <c r="Q14" i="3" s="1"/>
  <c r="P17" i="3"/>
  <c r="P26" i="3"/>
  <c r="G19" i="3"/>
  <c r="G22" i="3"/>
  <c r="O22" i="3" s="1"/>
  <c r="N18" i="3"/>
  <c r="R18" i="3" s="1"/>
  <c r="S18" i="3" s="1"/>
  <c r="O10" i="3"/>
  <c r="Q10" i="3"/>
  <c r="P28" i="3"/>
  <c r="G4" i="3"/>
  <c r="N17" i="3"/>
  <c r="G18" i="3"/>
  <c r="N28" i="3"/>
  <c r="G21" i="3"/>
  <c r="O17" i="3"/>
  <c r="Q17" i="3"/>
  <c r="N10" i="3"/>
  <c r="Q18" i="3"/>
  <c r="G3" i="3"/>
  <c r="G13" i="3"/>
  <c r="Q13" i="3" s="1"/>
  <c r="O4" i="3"/>
  <c r="N4" i="3"/>
  <c r="M4" i="3"/>
  <c r="T4" i="3" s="1"/>
  <c r="Q4" i="3"/>
  <c r="P4" i="3"/>
  <c r="O16" i="3"/>
  <c r="Q5" i="3"/>
  <c r="P5" i="3"/>
  <c r="O5" i="3"/>
  <c r="N5" i="3"/>
  <c r="R5" i="3" s="1"/>
  <c r="S5" i="3" s="1"/>
  <c r="M5" i="3"/>
  <c r="T5" i="3" s="1"/>
  <c r="O24" i="3"/>
  <c r="Q22" i="3"/>
  <c r="P22" i="3"/>
  <c r="M16" i="3"/>
  <c r="T16" i="3" s="1"/>
  <c r="Q16" i="3"/>
  <c r="N21" i="3"/>
  <c r="M21" i="3"/>
  <c r="T21" i="3" s="1"/>
  <c r="O21" i="3"/>
  <c r="P21" i="3"/>
  <c r="N3" i="3"/>
  <c r="O3" i="3"/>
  <c r="M3" i="3"/>
  <c r="T3" i="3" s="1"/>
  <c r="P3" i="3"/>
  <c r="O6" i="3"/>
  <c r="O25" i="3"/>
  <c r="P25" i="3"/>
  <c r="Q25" i="3"/>
  <c r="P16" i="3"/>
  <c r="Q23" i="3"/>
  <c r="P23" i="3"/>
  <c r="O23" i="3"/>
  <c r="N23" i="3"/>
  <c r="R23" i="3" s="1"/>
  <c r="S23" i="3" s="1"/>
  <c r="M23" i="3"/>
  <c r="T23" i="3" s="1"/>
  <c r="Q6" i="3"/>
  <c r="P6" i="3"/>
  <c r="M6" i="3"/>
  <c r="T6" i="3" s="1"/>
  <c r="O7" i="3"/>
  <c r="Q24" i="3"/>
  <c r="P24" i="3"/>
  <c r="Q15" i="3"/>
  <c r="P15" i="3"/>
  <c r="Q12" i="3"/>
  <c r="P7" i="3"/>
  <c r="Q7" i="3"/>
  <c r="O15" i="3"/>
  <c r="Q3" i="3"/>
  <c r="M10" i="3"/>
  <c r="T10" i="3" s="1"/>
  <c r="Q21" i="3"/>
  <c r="N7" i="3"/>
  <c r="R7" i="3" s="1"/>
  <c r="S7" i="3" s="1"/>
  <c r="N16" i="3"/>
  <c r="R16" i="3" s="1"/>
  <c r="S16" i="3" s="1"/>
  <c r="N25" i="3"/>
  <c r="R25" i="3" s="1"/>
  <c r="S25" i="3" s="1"/>
  <c r="G11" i="3"/>
  <c r="Q11" i="3" s="1"/>
  <c r="G20" i="3"/>
  <c r="O20" i="3" s="1"/>
  <c r="N15" i="3"/>
  <c r="N24" i="3"/>
  <c r="N6" i="3"/>
  <c r="G12" i="3"/>
  <c r="M18" i="3"/>
  <c r="T18" i="3" s="1"/>
  <c r="M28" i="3"/>
  <c r="T28" i="3" s="1"/>
  <c r="F25" i="1"/>
  <c r="E25" i="1"/>
  <c r="D25" i="1"/>
  <c r="C25" i="1"/>
  <c r="F24" i="1"/>
  <c r="E24" i="1"/>
  <c r="D24" i="1"/>
  <c r="C24" i="1"/>
  <c r="F23" i="1"/>
  <c r="E23" i="1"/>
  <c r="D23" i="1"/>
  <c r="C23" i="1"/>
  <c r="F22" i="1"/>
  <c r="E22" i="1"/>
  <c r="D22" i="1"/>
  <c r="C22" i="1"/>
  <c r="F21" i="1"/>
  <c r="E21" i="1"/>
  <c r="D21" i="1"/>
  <c r="C21" i="1"/>
  <c r="F20" i="1"/>
  <c r="E20" i="1"/>
  <c r="D20" i="1"/>
  <c r="C20" i="1"/>
  <c r="F19" i="1"/>
  <c r="E19" i="1"/>
  <c r="D19" i="1"/>
  <c r="C19" i="1"/>
  <c r="F18" i="1"/>
  <c r="E18" i="1"/>
  <c r="D18" i="1"/>
  <c r="C18" i="1"/>
  <c r="F17" i="1"/>
  <c r="E17" i="1"/>
  <c r="D17" i="1"/>
  <c r="C17" i="1"/>
  <c r="F16" i="1"/>
  <c r="E16" i="1"/>
  <c r="D16" i="1"/>
  <c r="C16" i="1"/>
  <c r="F15" i="1"/>
  <c r="E15" i="1"/>
  <c r="D15" i="1"/>
  <c r="C15" i="1"/>
  <c r="F14" i="1"/>
  <c r="E14" i="1"/>
  <c r="D14" i="1"/>
  <c r="C14" i="1"/>
  <c r="F13" i="1"/>
  <c r="E13" i="1"/>
  <c r="D13" i="1"/>
  <c r="C13" i="1"/>
  <c r="F12" i="1"/>
  <c r="E12" i="1"/>
  <c r="D12" i="1"/>
  <c r="C12" i="1"/>
  <c r="F11" i="1"/>
  <c r="E11" i="1"/>
  <c r="D11" i="1"/>
  <c r="C11" i="1"/>
  <c r="F10" i="1"/>
  <c r="E10" i="1"/>
  <c r="D10" i="1"/>
  <c r="C10" i="1"/>
  <c r="F9" i="1"/>
  <c r="E9" i="1"/>
  <c r="D9" i="1"/>
  <c r="C9" i="1"/>
  <c r="F8" i="1"/>
  <c r="E8" i="1"/>
  <c r="D8" i="1"/>
  <c r="C8" i="1"/>
  <c r="F7" i="1"/>
  <c r="E7" i="1"/>
  <c r="D7" i="1"/>
  <c r="C7" i="1"/>
  <c r="F6" i="1"/>
  <c r="E6" i="1"/>
  <c r="D6" i="1"/>
  <c r="C6" i="1"/>
  <c r="F5" i="1"/>
  <c r="E5" i="1"/>
  <c r="D5" i="1"/>
  <c r="C5" i="1"/>
  <c r="F4" i="1"/>
  <c r="E4" i="1"/>
  <c r="D4" i="1"/>
  <c r="C4" i="1"/>
  <c r="F3" i="1"/>
  <c r="E3" i="1"/>
  <c r="D3" i="1"/>
  <c r="C3" i="1"/>
  <c r="O19" i="3" l="1"/>
  <c r="Q19" i="3"/>
  <c r="O27" i="3"/>
  <c r="O26" i="3"/>
  <c r="N19" i="3"/>
  <c r="P19" i="3"/>
  <c r="M7" i="3"/>
  <c r="T7" i="3" s="1"/>
  <c r="N26" i="3"/>
  <c r="R10" i="3"/>
  <c r="S10" i="3" s="1"/>
  <c r="M14" i="3"/>
  <c r="T14" i="3" s="1"/>
  <c r="N27" i="3"/>
  <c r="R27" i="3" s="1"/>
  <c r="S27" i="3" s="1"/>
  <c r="R28" i="3"/>
  <c r="S28" i="3" s="1"/>
  <c r="N14" i="3"/>
  <c r="P14" i="3"/>
  <c r="N9" i="3"/>
  <c r="M27" i="3"/>
  <c r="T27" i="3" s="1"/>
  <c r="Q26" i="3"/>
  <c r="M15" i="3"/>
  <c r="T15" i="3" s="1"/>
  <c r="M19" i="3"/>
  <c r="T19" i="3" s="1"/>
  <c r="P9" i="3"/>
  <c r="O14" i="3"/>
  <c r="N13" i="3"/>
  <c r="R13" i="3" s="1"/>
  <c r="S13" i="3" s="1"/>
  <c r="R17" i="3"/>
  <c r="S17" i="3" s="1"/>
  <c r="M26" i="3"/>
  <c r="T26" i="3" s="1"/>
  <c r="R6" i="3"/>
  <c r="S6" i="3" s="1"/>
  <c r="O13" i="3"/>
  <c r="R24" i="3"/>
  <c r="S24" i="3" s="1"/>
  <c r="P13" i="3"/>
  <c r="N22" i="3"/>
  <c r="R22" i="3" s="1"/>
  <c r="S22" i="3" s="1"/>
  <c r="R15" i="3"/>
  <c r="S15" i="3" s="1"/>
  <c r="Q27" i="3"/>
  <c r="R3" i="3"/>
  <c r="S3" i="3" s="1"/>
  <c r="P11" i="3"/>
  <c r="M11" i="3"/>
  <c r="T11" i="3" s="1"/>
  <c r="R21" i="3"/>
  <c r="S21" i="3" s="1"/>
  <c r="M17" i="3"/>
  <c r="T17" i="3" s="1"/>
  <c r="P20" i="3"/>
  <c r="O11" i="3"/>
  <c r="M8" i="3"/>
  <c r="T8" i="3" s="1"/>
  <c r="Q20" i="3"/>
  <c r="N11" i="3"/>
  <c r="R11" i="3" s="1"/>
  <c r="S11" i="3" s="1"/>
  <c r="N20" i="3"/>
  <c r="M9" i="3"/>
  <c r="T9" i="3" s="1"/>
  <c r="M24" i="3"/>
  <c r="T24" i="3" s="1"/>
  <c r="N12" i="3"/>
  <c r="P12" i="3"/>
  <c r="O12" i="3"/>
  <c r="R4" i="3"/>
  <c r="S4" i="3" s="1"/>
  <c r="G3" i="1"/>
  <c r="P3" i="1" s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F2" i="1"/>
  <c r="E2" i="1"/>
  <c r="D2" i="1"/>
  <c r="C2" i="1"/>
  <c r="R19" i="3" l="1"/>
  <c r="S19" i="3" s="1"/>
  <c r="M22" i="3"/>
  <c r="T22" i="3" s="1"/>
  <c r="R14" i="3"/>
  <c r="S14" i="3" s="1"/>
  <c r="M12" i="3"/>
  <c r="T12" i="3" s="1"/>
  <c r="R9" i="3"/>
  <c r="S9" i="3" s="1"/>
  <c r="M13" i="3"/>
  <c r="T13" i="3" s="1"/>
  <c r="R26" i="3"/>
  <c r="S26" i="3" s="1"/>
  <c r="Q3" i="1"/>
  <c r="M9" i="1"/>
  <c r="T9" i="1" s="1"/>
  <c r="Q15" i="1"/>
  <c r="P15" i="1"/>
  <c r="M11" i="1"/>
  <c r="T11" i="1" s="1"/>
  <c r="O15" i="1"/>
  <c r="N3" i="1"/>
  <c r="O3" i="1"/>
  <c r="G2" i="1"/>
  <c r="N15" i="1"/>
  <c r="R15" i="1" s="1"/>
  <c r="S15" i="1" s="1"/>
  <c r="M20" i="3"/>
  <c r="T20" i="3" s="1"/>
  <c r="R20" i="3"/>
  <c r="S20" i="3" s="1"/>
  <c r="R12" i="3"/>
  <c r="S12" i="3" s="1"/>
  <c r="P28" i="1"/>
  <c r="N28" i="1"/>
  <c r="Q28" i="1"/>
  <c r="O28" i="1"/>
  <c r="N27" i="1"/>
  <c r="O27" i="1"/>
  <c r="Q27" i="1"/>
  <c r="P27" i="1"/>
  <c r="N26" i="1"/>
  <c r="O26" i="1"/>
  <c r="P26" i="1"/>
  <c r="Q26" i="1"/>
  <c r="O25" i="1"/>
  <c r="N25" i="1"/>
  <c r="P25" i="1"/>
  <c r="Q25" i="1"/>
  <c r="M25" i="1"/>
  <c r="T25" i="1" s="1"/>
  <c r="N24" i="1"/>
  <c r="O24" i="1"/>
  <c r="P24" i="1"/>
  <c r="Q24" i="1"/>
  <c r="O23" i="1"/>
  <c r="N23" i="1"/>
  <c r="P23" i="1"/>
  <c r="Q23" i="1"/>
  <c r="P22" i="1"/>
  <c r="Q22" i="1"/>
  <c r="N22" i="1"/>
  <c r="O22" i="1"/>
  <c r="N21" i="1"/>
  <c r="O21" i="1"/>
  <c r="P21" i="1"/>
  <c r="Q21" i="1"/>
  <c r="M21" i="1"/>
  <c r="T21" i="1" s="1"/>
  <c r="O20" i="1"/>
  <c r="P20" i="1"/>
  <c r="N20" i="1"/>
  <c r="Q20" i="1"/>
  <c r="N19" i="1"/>
  <c r="O19" i="1"/>
  <c r="P19" i="1"/>
  <c r="Q19" i="1"/>
  <c r="O18" i="1"/>
  <c r="N18" i="1"/>
  <c r="P18" i="1"/>
  <c r="Q18" i="1"/>
  <c r="N17" i="1"/>
  <c r="O17" i="1"/>
  <c r="P17" i="1"/>
  <c r="Q17" i="1"/>
  <c r="Q16" i="1"/>
  <c r="N16" i="1"/>
  <c r="O16" i="1"/>
  <c r="P16" i="1"/>
  <c r="O14" i="1"/>
  <c r="P14" i="1"/>
  <c r="Q14" i="1"/>
  <c r="N14" i="1"/>
  <c r="N13" i="1"/>
  <c r="P13" i="1"/>
  <c r="Q13" i="1"/>
  <c r="O13" i="1"/>
  <c r="N12" i="1"/>
  <c r="O12" i="1"/>
  <c r="P12" i="1"/>
  <c r="Q12" i="1"/>
  <c r="N11" i="1"/>
  <c r="O11" i="1"/>
  <c r="P11" i="1"/>
  <c r="Q11" i="1"/>
  <c r="N10" i="1"/>
  <c r="P10" i="1"/>
  <c r="O10" i="1"/>
  <c r="Q10" i="1"/>
  <c r="O9" i="1"/>
  <c r="Q9" i="1"/>
  <c r="N9" i="1"/>
  <c r="P9" i="1"/>
  <c r="Q8" i="1"/>
  <c r="N8" i="1"/>
  <c r="O8" i="1"/>
  <c r="P8" i="1"/>
  <c r="O7" i="1"/>
  <c r="P7" i="1"/>
  <c r="Q7" i="1"/>
  <c r="N7" i="1"/>
  <c r="O6" i="1"/>
  <c r="P6" i="1"/>
  <c r="Q6" i="1"/>
  <c r="N6" i="1"/>
  <c r="P5" i="1"/>
  <c r="Q5" i="1"/>
  <c r="O5" i="1"/>
  <c r="N5" i="1"/>
  <c r="O4" i="1"/>
  <c r="P4" i="1"/>
  <c r="Q4" i="1"/>
  <c r="N4" i="1"/>
  <c r="R16" i="1" l="1"/>
  <c r="S16" i="1" s="1"/>
  <c r="R3" i="1"/>
  <c r="S3" i="1" s="1"/>
  <c r="M15" i="1"/>
  <c r="T15" i="1" s="1"/>
  <c r="M3" i="1"/>
  <c r="T3" i="1" s="1"/>
  <c r="M19" i="1"/>
  <c r="T19" i="1" s="1"/>
  <c r="M18" i="1"/>
  <c r="T18" i="1" s="1"/>
  <c r="R28" i="1"/>
  <c r="S28" i="1" s="1"/>
  <c r="M28" i="1"/>
  <c r="T28" i="1" s="1"/>
  <c r="M27" i="1"/>
  <c r="T27" i="1" s="1"/>
  <c r="R27" i="1"/>
  <c r="S27" i="1" s="1"/>
  <c r="M26" i="1"/>
  <c r="T26" i="1" s="1"/>
  <c r="R26" i="1"/>
  <c r="S26" i="1" s="1"/>
  <c r="R25" i="1"/>
  <c r="S25" i="1" s="1"/>
  <c r="M24" i="1"/>
  <c r="T24" i="1" s="1"/>
  <c r="R24" i="1"/>
  <c r="S24" i="1" s="1"/>
  <c r="R23" i="1"/>
  <c r="S23" i="1" s="1"/>
  <c r="M23" i="1"/>
  <c r="T23" i="1" s="1"/>
  <c r="M22" i="1"/>
  <c r="T22" i="1" s="1"/>
  <c r="R22" i="1"/>
  <c r="S22" i="1" s="1"/>
  <c r="R21" i="1"/>
  <c r="S21" i="1" s="1"/>
  <c r="M20" i="1"/>
  <c r="T20" i="1" s="1"/>
  <c r="R20" i="1"/>
  <c r="S20" i="1" s="1"/>
  <c r="R19" i="1"/>
  <c r="S19" i="1" s="1"/>
  <c r="R18" i="1"/>
  <c r="S18" i="1" s="1"/>
  <c r="M17" i="1"/>
  <c r="T17" i="1" s="1"/>
  <c r="R17" i="1"/>
  <c r="S17" i="1" s="1"/>
  <c r="M16" i="1"/>
  <c r="T16" i="1" s="1"/>
  <c r="R14" i="1"/>
  <c r="S14" i="1" s="1"/>
  <c r="M14" i="1"/>
  <c r="T14" i="1" s="1"/>
  <c r="R13" i="1"/>
  <c r="S13" i="1" s="1"/>
  <c r="M13" i="1"/>
  <c r="T13" i="1" s="1"/>
  <c r="M12" i="1"/>
  <c r="T12" i="1" s="1"/>
  <c r="R12" i="1"/>
  <c r="S12" i="1" s="1"/>
  <c r="R11" i="1"/>
  <c r="S11" i="1" s="1"/>
  <c r="R10" i="1"/>
  <c r="S10" i="1" s="1"/>
  <c r="M10" i="1"/>
  <c r="T10" i="1" s="1"/>
  <c r="R9" i="1"/>
  <c r="S9" i="1" s="1"/>
  <c r="R8" i="1"/>
  <c r="S8" i="1" s="1"/>
  <c r="M8" i="1"/>
  <c r="T8" i="1" s="1"/>
  <c r="M7" i="1"/>
  <c r="T7" i="1" s="1"/>
  <c r="R7" i="1"/>
  <c r="S7" i="1" s="1"/>
  <c r="M6" i="1"/>
  <c r="T6" i="1" s="1"/>
  <c r="R6" i="1"/>
  <c r="S6" i="1" s="1"/>
  <c r="R5" i="1"/>
  <c r="S5" i="1" s="1"/>
  <c r="M5" i="1"/>
  <c r="T5" i="1" s="1"/>
  <c r="R4" i="1"/>
  <c r="S4" i="1" s="1"/>
  <c r="M4" i="1"/>
  <c r="T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Yackzan, Andrew T.</author>
  </authors>
  <commentList>
    <comment ref="I1" authorId="0" shapeId="0" xr:uid="{215CB285-34FD-4337-9552-CD273236E31F}">
      <text>
        <r>
          <rPr>
            <b/>
            <sz val="9"/>
            <color indexed="81"/>
            <rFont val="Tahoma"/>
            <charset val="1"/>
          </rPr>
          <t>Yackzan, Andrew T.:</t>
        </r>
        <r>
          <rPr>
            <sz val="9"/>
            <color indexed="81"/>
            <rFont val="Tahoma"/>
            <charset val="1"/>
          </rPr>
          <t xml:space="preserve">
Systematic Error must be within ±0.6%, or pipette fails calibration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Yackzan, Andrew T.</author>
  </authors>
  <commentList>
    <comment ref="I1" authorId="0" shapeId="0" xr:uid="{574B215F-8267-4BB2-935E-010ED873172F}">
      <text>
        <r>
          <rPr>
            <b/>
            <sz val="9"/>
            <color indexed="81"/>
            <rFont val="Tahoma"/>
            <charset val="1"/>
          </rPr>
          <t>Yackzan, Andrew T.:</t>
        </r>
        <r>
          <rPr>
            <sz val="9"/>
            <color indexed="81"/>
            <rFont val="Tahoma"/>
            <charset val="1"/>
          </rPr>
          <t xml:space="preserve">
Systematic Error must be within ±0.6%, or pipette fails calibration</t>
        </r>
      </text>
    </comment>
    <comment ref="C5" authorId="0" shapeId="0" xr:uid="{B0DBFDDE-B7B7-4FB5-8EAA-B604A7C175F4}">
      <text>
        <r>
          <rPr>
            <b/>
            <sz val="9"/>
            <color indexed="81"/>
            <rFont val="Tahoma"/>
            <charset val="1"/>
          </rPr>
          <t>Yackzan, Andrew T.:</t>
        </r>
        <r>
          <rPr>
            <sz val="9"/>
            <color indexed="81"/>
            <rFont val="Tahoma"/>
            <charset val="1"/>
          </rPr>
          <t xml:space="preserve">
20% max volume (1mL)</t>
        </r>
      </text>
    </comment>
    <comment ref="D5" authorId="0" shapeId="0" xr:uid="{7022FC4B-AECA-4C5E-87FD-13704B75C352}">
      <text>
        <r>
          <rPr>
            <b/>
            <sz val="9"/>
            <color indexed="81"/>
            <rFont val="Tahoma"/>
            <charset val="1"/>
          </rPr>
          <t>Yackzan, Andrew T.:</t>
        </r>
        <r>
          <rPr>
            <sz val="9"/>
            <color indexed="81"/>
            <rFont val="Tahoma"/>
            <charset val="1"/>
          </rPr>
          <t xml:space="preserve">
20% max volume (1mL)</t>
        </r>
      </text>
    </comment>
    <comment ref="E5" authorId="0" shapeId="0" xr:uid="{6C686CFB-C08E-4E1B-A365-21CEBF130C56}">
      <text>
        <r>
          <rPr>
            <b/>
            <sz val="9"/>
            <color indexed="81"/>
            <rFont val="Tahoma"/>
            <charset val="1"/>
          </rPr>
          <t>Yackzan, Andrew T.:</t>
        </r>
        <r>
          <rPr>
            <sz val="9"/>
            <color indexed="81"/>
            <rFont val="Tahoma"/>
            <charset val="1"/>
          </rPr>
          <t xml:space="preserve">
20% max volume (1mL)</t>
        </r>
      </text>
    </comment>
    <comment ref="F5" authorId="0" shapeId="0" xr:uid="{5EB98864-7625-40D4-A2A0-EBEC026AAB0D}">
      <text>
        <r>
          <rPr>
            <b/>
            <sz val="9"/>
            <color indexed="81"/>
            <rFont val="Tahoma"/>
            <charset val="1"/>
          </rPr>
          <t>Yackzan, Andrew T.:</t>
        </r>
        <r>
          <rPr>
            <sz val="9"/>
            <color indexed="81"/>
            <rFont val="Tahoma"/>
            <charset val="1"/>
          </rPr>
          <t xml:space="preserve">
20% max volume (1mL)</t>
        </r>
      </text>
    </comment>
    <comment ref="G5" authorId="0" shapeId="0" xr:uid="{B0E3A61E-ACF3-43E6-84EE-6944CBD24AE0}">
      <text>
        <r>
          <rPr>
            <b/>
            <sz val="9"/>
            <color indexed="81"/>
            <rFont val="Tahoma"/>
            <charset val="1"/>
          </rPr>
          <t>Yackzan, Andrew T.:</t>
        </r>
        <r>
          <rPr>
            <sz val="9"/>
            <color indexed="81"/>
            <rFont val="Tahoma"/>
            <charset val="1"/>
          </rPr>
          <t xml:space="preserve">
20% max volume (1mL)</t>
        </r>
      </text>
    </comment>
    <comment ref="C6" authorId="0" shapeId="0" xr:uid="{07A04E62-5B11-4491-8C01-A2469D21C038}">
      <text>
        <r>
          <rPr>
            <b/>
            <sz val="9"/>
            <color indexed="81"/>
            <rFont val="Tahoma"/>
            <charset val="1"/>
          </rPr>
          <t>Yackzan, Andrew T.:</t>
        </r>
        <r>
          <rPr>
            <sz val="9"/>
            <color indexed="81"/>
            <rFont val="Tahoma"/>
            <charset val="1"/>
          </rPr>
          <t xml:space="preserve">
20% max volume (1mL)</t>
        </r>
      </text>
    </comment>
    <comment ref="D6" authorId="0" shapeId="0" xr:uid="{E1684D9B-7BB7-407C-AE7F-B0D501C5234A}">
      <text>
        <r>
          <rPr>
            <b/>
            <sz val="9"/>
            <color indexed="81"/>
            <rFont val="Tahoma"/>
            <charset val="1"/>
          </rPr>
          <t>Yackzan, Andrew T.:</t>
        </r>
        <r>
          <rPr>
            <sz val="9"/>
            <color indexed="81"/>
            <rFont val="Tahoma"/>
            <charset val="1"/>
          </rPr>
          <t xml:space="preserve">
20% max volume (1mL)</t>
        </r>
      </text>
    </comment>
    <comment ref="E6" authorId="0" shapeId="0" xr:uid="{2281804B-B609-4023-8DAD-47B43CF6EDB1}">
      <text>
        <r>
          <rPr>
            <b/>
            <sz val="9"/>
            <color indexed="81"/>
            <rFont val="Tahoma"/>
            <charset val="1"/>
          </rPr>
          <t>Yackzan, Andrew T.:</t>
        </r>
        <r>
          <rPr>
            <sz val="9"/>
            <color indexed="81"/>
            <rFont val="Tahoma"/>
            <charset val="1"/>
          </rPr>
          <t xml:space="preserve">
20% max volume (1mL)</t>
        </r>
      </text>
    </comment>
    <comment ref="F6" authorId="0" shapeId="0" xr:uid="{6DA96D3E-E29E-4B63-8912-0C8BEF086401}">
      <text>
        <r>
          <rPr>
            <b/>
            <sz val="9"/>
            <color indexed="81"/>
            <rFont val="Tahoma"/>
            <charset val="1"/>
          </rPr>
          <t>Yackzan, Andrew T.:</t>
        </r>
        <r>
          <rPr>
            <sz val="9"/>
            <color indexed="81"/>
            <rFont val="Tahoma"/>
            <charset val="1"/>
          </rPr>
          <t xml:space="preserve">
20% max volume (1mL)</t>
        </r>
      </text>
    </comment>
    <comment ref="G6" authorId="0" shapeId="0" xr:uid="{F66926A3-36D8-4C27-92D1-0715689FA444}">
      <text>
        <r>
          <rPr>
            <b/>
            <sz val="9"/>
            <color indexed="81"/>
            <rFont val="Tahoma"/>
            <charset val="1"/>
          </rPr>
          <t>Yackzan, Andrew T.:</t>
        </r>
        <r>
          <rPr>
            <sz val="9"/>
            <color indexed="81"/>
            <rFont val="Tahoma"/>
            <charset val="1"/>
          </rPr>
          <t xml:space="preserve">
20% max volume (1mL)</t>
        </r>
      </text>
    </comment>
  </commentList>
</comments>
</file>

<file path=xl/sharedStrings.xml><?xml version="1.0" encoding="utf-8"?>
<sst xmlns="http://schemas.openxmlformats.org/spreadsheetml/2006/main" count="243" uniqueCount="48">
  <si>
    <t>Pipette</t>
  </si>
  <si>
    <t>Leak test
(pass/fail)</t>
  </si>
  <si>
    <t>Mean
Volume</t>
  </si>
  <si>
    <t>Precision @ 10% Volume</t>
  </si>
  <si>
    <t>10mL (1)</t>
  </si>
  <si>
    <t>10mL (2)</t>
  </si>
  <si>
    <t>10mL (3)</t>
  </si>
  <si>
    <t>5mL (1)</t>
  </si>
  <si>
    <t>5mL (2)</t>
  </si>
  <si>
    <t>1000μL (1)</t>
  </si>
  <si>
    <t>1000μL (2)</t>
  </si>
  <si>
    <t>1000μL (3)</t>
  </si>
  <si>
    <t>1000μL (4)</t>
  </si>
  <si>
    <t>1000μL (5)</t>
  </si>
  <si>
    <t>1000μL (6)</t>
  </si>
  <si>
    <t>300μL (1)</t>
  </si>
  <si>
    <t>300μL (2)</t>
  </si>
  <si>
    <t>300μL (3)</t>
  </si>
  <si>
    <t>100μL (1)</t>
  </si>
  <si>
    <t>100μL (2)</t>
  </si>
  <si>
    <t>100μL (3)</t>
  </si>
  <si>
    <t>100μL (4)</t>
  </si>
  <si>
    <t>10μL (1)</t>
  </si>
  <si>
    <t>10μL (2)</t>
  </si>
  <si>
    <t>10μL (3)</t>
  </si>
  <si>
    <t>10μL (4)</t>
  </si>
  <si>
    <t>10μL (5)</t>
  </si>
  <si>
    <t>2.5μL (1)</t>
  </si>
  <si>
    <t>2.5μL (2)</t>
  </si>
  <si>
    <t>2.5μL (3)</t>
  </si>
  <si>
    <t>2μL (1)</t>
  </si>
  <si>
    <t>Systematic Error @ 100% Volume</t>
  </si>
  <si>
    <t>Repeats</t>
  </si>
  <si>
    <t>Random Error @ 100% Volume</t>
  </si>
  <si>
    <t>pass</t>
  </si>
  <si>
    <t>?</t>
  </si>
  <si>
    <t>Mean
Sys.
Error</t>
  </si>
  <si>
    <t>Mean
Rand.
Error</t>
  </si>
  <si>
    <r>
      <t>Micrograms diH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
@ 100% volume</t>
    </r>
  </si>
  <si>
    <r>
      <t>Micrograms diH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
@ 10% volume</t>
    </r>
  </si>
  <si>
    <t>Coeefficient of
Variation in %</t>
  </si>
  <si>
    <t>Systemic Error @ 10% Volume</t>
  </si>
  <si>
    <t>Pass/Fail
Calibration</t>
  </si>
  <si>
    <t>100% Volume Tests
(pass/fail)</t>
  </si>
  <si>
    <t>10% Volume Tests
(pass/fail)</t>
  </si>
  <si>
    <t>Calibration Needed?
(yes/no)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</si>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</sst>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Dashed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Dashed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Dash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Dashed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Dashed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Dashed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8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164" fontId="1" fillId="0" borderId="7" xfId="1" applyNumberFormat="1" applyFont="1" applyBorder="1" applyAlignment="1">
      <alignment horizontal="center" vertical="center"/>
    </xf>
    <xf numFmtId="164" fontId="1" fillId="0" borderId="8" xfId="1" applyNumberFormat="1" applyFont="1" applyBorder="1" applyAlignment="1">
      <alignment horizontal="center" vertical="center"/>
    </xf>
    <xf numFmtId="164" fontId="1" fillId="0" borderId="27" xfId="1" applyNumberFormat="1" applyFont="1" applyBorder="1" applyAlignment="1">
      <alignment horizontal="center" vertical="center"/>
    </xf>
    <xf numFmtId="164" fontId="1" fillId="0" borderId="26" xfId="1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18" xfId="0" applyNumberFormat="1" applyFont="1" applyBorder="1" applyAlignment="1">
      <alignment horizontal="center" vertical="center"/>
    </xf>
    <xf numFmtId="164" fontId="1" fillId="0" borderId="14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164" fontId="1" fillId="0" borderId="19" xfId="0" applyNumberFormat="1" applyFont="1" applyBorder="1" applyAlignment="1">
      <alignment horizontal="center" vertical="center"/>
    </xf>
    <xf numFmtId="164" fontId="1" fillId="0" borderId="15" xfId="0" applyNumberFormat="1" applyFon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164" fontId="1" fillId="0" borderId="12" xfId="0" applyNumberFormat="1" applyFon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 vertical="center"/>
    </xf>
    <xf numFmtId="164" fontId="1" fillId="0" borderId="16" xfId="0" applyNumberFormat="1" applyFont="1" applyBorder="1" applyAlignment="1">
      <alignment horizontal="center" vertical="center"/>
    </xf>
    <xf numFmtId="164" fontId="1" fillId="0" borderId="21" xfId="0" applyNumberFormat="1" applyFont="1" applyBorder="1" applyAlignment="1">
      <alignment horizontal="center" vertical="center"/>
    </xf>
    <xf numFmtId="164" fontId="1" fillId="0" borderId="22" xfId="0" applyNumberFormat="1" applyFont="1" applyBorder="1" applyAlignment="1">
      <alignment horizontal="center" vertical="center"/>
    </xf>
    <xf numFmtId="164" fontId="1" fillId="0" borderId="23" xfId="0" applyNumberFormat="1" applyFont="1" applyBorder="1" applyAlignment="1">
      <alignment horizontal="center" vertical="center"/>
    </xf>
    <xf numFmtId="164" fontId="1" fillId="0" borderId="24" xfId="0" applyNumberFormat="1" applyFont="1" applyBorder="1" applyAlignment="1">
      <alignment horizontal="center" vertical="center"/>
    </xf>
    <xf numFmtId="164" fontId="1" fillId="0" borderId="27" xfId="0" applyNumberFormat="1" applyFont="1" applyBorder="1" applyAlignment="1">
      <alignment horizontal="center" vertical="center"/>
    </xf>
    <xf numFmtId="164" fontId="1" fillId="0" borderId="26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164" fontId="1" fillId="0" borderId="7" xfId="0" applyNumberFormat="1" applyFont="1" applyFill="1" applyBorder="1" applyAlignment="1">
      <alignment horizontal="center" vertical="center"/>
    </xf>
    <xf numFmtId="164" fontId="1" fillId="0" borderId="8" xfId="0" applyNumberFormat="1" applyFont="1" applyFill="1" applyBorder="1" applyAlignment="1">
      <alignment horizontal="center" vertical="center"/>
    </xf>
    <xf numFmtId="164" fontId="1" fillId="0" borderId="18" xfId="0" applyNumberFormat="1" applyFont="1" applyFill="1" applyBorder="1" applyAlignment="1">
      <alignment horizontal="center" vertical="center"/>
    </xf>
    <xf numFmtId="164" fontId="1" fillId="0" borderId="14" xfId="0" applyNumberFormat="1" applyFont="1" applyFill="1" applyBorder="1" applyAlignment="1">
      <alignment horizontal="center" vertical="center"/>
    </xf>
    <xf numFmtId="164" fontId="1" fillId="0" borderId="7" xfId="1" applyNumberFormat="1" applyFont="1" applyFill="1" applyBorder="1" applyAlignment="1">
      <alignment horizontal="center" vertical="center"/>
    </xf>
    <xf numFmtId="164" fontId="1" fillId="0" borderId="28" xfId="1" applyNumberFormat="1" applyFont="1" applyFill="1" applyBorder="1" applyAlignment="1">
      <alignment horizontal="center" vertical="center"/>
    </xf>
    <xf numFmtId="164" fontId="1" fillId="0" borderId="22" xfId="0" applyNumberFormat="1" applyFont="1" applyFill="1" applyBorder="1" applyAlignment="1">
      <alignment horizontal="center" vertical="center"/>
    </xf>
    <xf numFmtId="164" fontId="1" fillId="0" borderId="23" xfId="0" applyNumberFormat="1" applyFont="1" applyFill="1" applyBorder="1" applyAlignment="1">
      <alignment horizontal="center" vertical="center"/>
    </xf>
    <xf numFmtId="164" fontId="1" fillId="0" borderId="26" xfId="1" applyNumberFormat="1" applyFont="1" applyFill="1" applyBorder="1" applyAlignment="1">
      <alignment horizontal="center" vertical="center"/>
    </xf>
    <xf numFmtId="164" fontId="1" fillId="0" borderId="26" xfId="0" applyNumberFormat="1" applyFont="1" applyFill="1" applyBorder="1" applyAlignment="1">
      <alignment horizontal="center" vertical="center"/>
    </xf>
    <xf numFmtId="164" fontId="1" fillId="0" borderId="24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164" fontId="1" fillId="0" borderId="9" xfId="0" applyNumberFormat="1" applyFont="1" applyFill="1" applyBorder="1" applyAlignment="1">
      <alignment horizontal="center" vertical="center"/>
    </xf>
    <xf numFmtId="164" fontId="1" fillId="0" borderId="10" xfId="0" applyNumberFormat="1" applyFont="1" applyFill="1" applyBorder="1" applyAlignment="1">
      <alignment horizontal="center" vertical="center"/>
    </xf>
    <xf numFmtId="164" fontId="1" fillId="0" borderId="19" xfId="0" applyNumberFormat="1" applyFont="1" applyFill="1" applyBorder="1" applyAlignment="1">
      <alignment horizontal="center" vertical="center"/>
    </xf>
    <xf numFmtId="164" fontId="1" fillId="0" borderId="15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164" fontId="1" fillId="0" borderId="11" xfId="0" applyNumberFormat="1" applyFont="1" applyFill="1" applyBorder="1" applyAlignment="1">
      <alignment horizontal="center" vertical="center"/>
    </xf>
    <xf numFmtId="164" fontId="1" fillId="0" borderId="12" xfId="0" applyNumberFormat="1" applyFont="1" applyFill="1" applyBorder="1" applyAlignment="1">
      <alignment horizontal="center" vertical="center"/>
    </xf>
    <xf numFmtId="164" fontId="1" fillId="0" borderId="20" xfId="0" applyNumberFormat="1" applyFont="1" applyFill="1" applyBorder="1" applyAlignment="1">
      <alignment horizontal="center" vertical="center"/>
    </xf>
    <xf numFmtId="164" fontId="1" fillId="0" borderId="16" xfId="0" applyNumberFormat="1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164" fontId="1" fillId="0" borderId="21" xfId="0" applyNumberFormat="1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1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190498</xdr:colOff>
      <xdr:row>0</xdr:row>
      <xdr:rowOff>95250</xdr:rowOff>
    </xdr:from>
    <xdr:to>
      <xdr:col>10</xdr:col>
      <xdr:colOff>464343</xdr:colOff>
      <xdr:row>2</xdr:row>
      <xdr:rowOff>166687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6CA0DD0-DF28-470D-9DD9-51D806ABFC76}"/>
            </a:ext>
          </a:extLst>
        </xdr:cNvPr>
        <xdr:cNvSpPr txBox="1"/>
      </xdr:nvSpPr>
      <xdr:spPr>
        <a:xfrm>
          <a:off x="6048373" y="95250"/>
          <a:ext cx="3369470" cy="104775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>
              <a:latin typeface="Arial" panose="020B0604020202020204" pitchFamily="34" charset="0"/>
              <a:cs typeface="Arial" panose="020B0604020202020204" pitchFamily="34" charset="0"/>
            </a:rPr>
            <a:t>Systematic Error </a:t>
          </a:r>
          <a:r>
            <a:rPr lang="en-US" sz="1400" b="1">
              <a:latin typeface="Arial" panose="020B0604020202020204" pitchFamily="34" charset="0"/>
              <a:cs typeface="Arial" panose="020B0604020202020204" pitchFamily="34" charset="0"/>
            </a:rPr>
            <a:t>must be within</a:t>
          </a:r>
          <a:r>
            <a:rPr lang="en-US" sz="1400" b="1" baseline="0">
              <a:latin typeface="Arial" panose="020B0604020202020204" pitchFamily="34" charset="0"/>
              <a:cs typeface="Arial" panose="020B0604020202020204" pitchFamily="34" charset="0"/>
            </a:rPr>
            <a:t> ±</a:t>
          </a:r>
          <a:r>
            <a:rPr lang="en-US" sz="1400" b="1">
              <a:latin typeface="Arial" panose="020B0604020202020204" pitchFamily="34" charset="0"/>
              <a:cs typeface="Arial" panose="020B0604020202020204" pitchFamily="34" charset="0"/>
            </a:rPr>
            <a:t>0.6%</a:t>
          </a:r>
          <a:r>
            <a:rPr lang="en-US" sz="1400">
              <a:latin typeface="Arial" panose="020B0604020202020204" pitchFamily="34" charset="0"/>
              <a:cs typeface="Arial" panose="020B0604020202020204" pitchFamily="34" charset="0"/>
            </a:rPr>
            <a:t>, or pipette </a:t>
          </a:r>
          <a:r>
            <a:rPr lang="en-US" sz="1400" u="sng">
              <a:latin typeface="Arial" panose="020B0604020202020204" pitchFamily="34" charset="0"/>
              <a:cs typeface="Arial" panose="020B0604020202020204" pitchFamily="34" charset="0"/>
            </a:rPr>
            <a:t>fails calibration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309561</xdr:colOff>
      <xdr:row>0</xdr:row>
      <xdr:rowOff>238125</xdr:rowOff>
    </xdr:from>
    <xdr:to>
      <xdr:col>26</xdr:col>
      <xdr:colOff>142874</xdr:colOff>
      <xdr:row>1</xdr:row>
      <xdr:rowOff>357187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4D689C8-CC94-428F-91D2-83794C52B4BC}"/>
            </a:ext>
          </a:extLst>
        </xdr:cNvPr>
        <xdr:cNvSpPr txBox="1"/>
      </xdr:nvSpPr>
      <xdr:spPr>
        <a:xfrm>
          <a:off x="13632655" y="238125"/>
          <a:ext cx="3119438" cy="66675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>
              <a:latin typeface="Arial" panose="020B0604020202020204" pitchFamily="34" charset="0"/>
              <a:cs typeface="Arial" panose="020B0604020202020204" pitchFamily="34" charset="0"/>
            </a:rPr>
            <a:t>Systematic Error </a:t>
          </a:r>
          <a:r>
            <a:rPr lang="en-US" sz="1400" b="1">
              <a:latin typeface="Arial" panose="020B0604020202020204" pitchFamily="34" charset="0"/>
              <a:cs typeface="Arial" panose="020B0604020202020204" pitchFamily="34" charset="0"/>
            </a:rPr>
            <a:t>must be within</a:t>
          </a:r>
          <a:r>
            <a:rPr lang="en-US" sz="1400" b="1" baseline="0">
              <a:latin typeface="Arial" panose="020B0604020202020204" pitchFamily="34" charset="0"/>
              <a:cs typeface="Arial" panose="020B0604020202020204" pitchFamily="34" charset="0"/>
            </a:rPr>
            <a:t> ±</a:t>
          </a:r>
          <a:r>
            <a:rPr lang="en-US" sz="1400" b="1">
              <a:latin typeface="Arial" panose="020B0604020202020204" pitchFamily="34" charset="0"/>
              <a:cs typeface="Arial" panose="020B0604020202020204" pitchFamily="34" charset="0"/>
            </a:rPr>
            <a:t>0.6%</a:t>
          </a:r>
          <a:r>
            <a:rPr lang="en-US" sz="1400">
              <a:latin typeface="Arial" panose="020B0604020202020204" pitchFamily="34" charset="0"/>
              <a:cs typeface="Arial" panose="020B0604020202020204" pitchFamily="34" charset="0"/>
            </a:rPr>
            <a:t>, or pipette </a:t>
          </a:r>
          <a:r>
            <a:rPr lang="en-US" sz="1400" u="sng">
              <a:latin typeface="Arial" panose="020B0604020202020204" pitchFamily="34" charset="0"/>
              <a:cs typeface="Arial" panose="020B0604020202020204" pitchFamily="34" charset="0"/>
            </a:rPr>
            <a:t>fails calibration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285750</xdr:colOff>
      <xdr:row>0</xdr:row>
      <xdr:rowOff>178593</xdr:rowOff>
    </xdr:from>
    <xdr:to>
      <xdr:col>26</xdr:col>
      <xdr:colOff>119063</xdr:colOff>
      <xdr:row>1</xdr:row>
      <xdr:rowOff>297655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28C55A3-EADA-4305-84D5-24FE8AA4A384}"/>
            </a:ext>
          </a:extLst>
        </xdr:cNvPr>
        <xdr:cNvSpPr txBox="1"/>
      </xdr:nvSpPr>
      <xdr:spPr>
        <a:xfrm>
          <a:off x="13811250" y="178593"/>
          <a:ext cx="3119438" cy="66675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>
              <a:latin typeface="Arial" panose="020B0604020202020204" pitchFamily="34" charset="0"/>
              <a:cs typeface="Arial" panose="020B0604020202020204" pitchFamily="34" charset="0"/>
            </a:rPr>
            <a:t>Systematic Error </a:t>
          </a:r>
          <a:r>
            <a:rPr lang="en-US" sz="1400" b="1">
              <a:latin typeface="Arial" panose="020B0604020202020204" pitchFamily="34" charset="0"/>
              <a:cs typeface="Arial" panose="020B0604020202020204" pitchFamily="34" charset="0"/>
            </a:rPr>
            <a:t>must be within</a:t>
          </a:r>
          <a:r>
            <a:rPr lang="en-US" sz="1400" b="1" baseline="0">
              <a:latin typeface="Arial" panose="020B0604020202020204" pitchFamily="34" charset="0"/>
              <a:cs typeface="Arial" panose="020B0604020202020204" pitchFamily="34" charset="0"/>
            </a:rPr>
            <a:t> ±</a:t>
          </a:r>
          <a:r>
            <a:rPr lang="en-US" sz="1400" b="1">
              <a:latin typeface="Arial" panose="020B0604020202020204" pitchFamily="34" charset="0"/>
              <a:cs typeface="Arial" panose="020B0604020202020204" pitchFamily="34" charset="0"/>
            </a:rPr>
            <a:t>0.6%</a:t>
          </a:r>
          <a:r>
            <a:rPr lang="en-US" sz="1400">
              <a:latin typeface="Arial" panose="020B0604020202020204" pitchFamily="34" charset="0"/>
              <a:cs typeface="Arial" panose="020B0604020202020204" pitchFamily="34" charset="0"/>
            </a:rPr>
            <a:t>, or pipette </a:t>
          </a:r>
          <a:r>
            <a:rPr lang="en-US" sz="1400" u="sng">
              <a:latin typeface="Arial" panose="020B0604020202020204" pitchFamily="34" charset="0"/>
              <a:cs typeface="Arial" panose="020B0604020202020204" pitchFamily="34" charset="0"/>
            </a:rPr>
            <a:t>fails calibration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5CE11-E382-4C57-8E34-CAC0C3F1C80A}">
  <sheetPr>
    <pageSetUpPr fitToPage="1"/>
  </sheetPr>
  <dimension ref="A1:S28"/>
  <sheetViews>
    <sheetView tabSelected="1" zoomScale="80" zoomScaleNormal="80" workbookViewId="0">
      <selection activeCell="E9" sqref="E9"/>
    </sheetView>
  </sheetViews>
  <sheetFormatPr defaultColWidth="8.140625" defaultRowHeight="39.950000000000003" customHeight="1" x14ac:dyDescent="0.25"/>
  <cols>
    <col min="1" max="1" width="12" style="4" bestFit="1" customWidth="1"/>
    <col min="2" max="2" width="11" style="4" bestFit="1" customWidth="1"/>
    <col min="3" max="3" width="21.42578125" style="4" customWidth="1"/>
    <col min="4" max="4" width="20.140625" style="4" customWidth="1"/>
    <col min="5" max="5" width="22.28515625" style="4" bestFit="1" customWidth="1"/>
    <col min="6" max="6" width="8.7109375" style="4" bestFit="1" customWidth="1"/>
    <col min="7" max="7" width="9.5703125" style="4" bestFit="1" customWidth="1"/>
    <col min="8" max="8" width="9.28515625" style="4" bestFit="1" customWidth="1"/>
    <col min="9" max="9" width="10" style="4" bestFit="1" customWidth="1"/>
    <col min="10" max="10" width="8.7109375" style="4" bestFit="1" customWidth="1"/>
    <col min="11" max="11" width="10" style="4" bestFit="1" customWidth="1"/>
    <col min="12" max="17" width="8" style="4" bestFit="1" customWidth="1"/>
    <col min="18" max="18" width="14.85546875" style="4" bestFit="1" customWidth="1"/>
    <col min="19" max="19" width="24" style="36" customWidth="1"/>
    <col min="20" max="16384" width="8.140625" style="4"/>
  </cols>
  <sheetData>
    <row r="1" spans="1:19" ht="37.5" customHeight="1" thickBot="1" x14ac:dyDescent="0.3">
      <c r="A1" s="1" t="s">
        <v>0</v>
      </c>
      <c r="B1" s="2" t="s">
        <v>1</v>
      </c>
      <c r="C1" s="31" t="s">
        <v>43</v>
      </c>
      <c r="D1" s="72" t="s">
        <v>44</v>
      </c>
      <c r="E1" s="76" t="s">
        <v>45</v>
      </c>
      <c r="S1" s="4"/>
    </row>
    <row r="2" spans="1:19" ht="39.950000000000003" customHeight="1" x14ac:dyDescent="0.25">
      <c r="A2" s="5" t="s">
        <v>4</v>
      </c>
      <c r="B2" s="5" t="s">
        <v>34</v>
      </c>
      <c r="C2" s="61" t="s">
        <v>46</v>
      </c>
      <c r="D2" s="73" t="s">
        <v>46</v>
      </c>
      <c r="E2" s="77" t="str">
        <f>IF(AND(B2="pass",C2="PASS",D2="PASS"),"NO","YES")</f>
        <v>NO</v>
      </c>
      <c r="S2" s="4"/>
    </row>
    <row r="3" spans="1:19" ht="39.950000000000003" customHeight="1" x14ac:dyDescent="0.25">
      <c r="A3" s="6" t="s">
        <v>5</v>
      </c>
      <c r="B3" s="6" t="s">
        <v>34</v>
      </c>
      <c r="C3" s="62" t="s">
        <v>46</v>
      </c>
      <c r="D3" s="74" t="s">
        <v>46</v>
      </c>
      <c r="E3" s="78" t="str">
        <f t="shared" ref="E3:E28" si="0">IF(AND(B3="pass",C3="PASS",D3="PASS"),"NO","YES")</f>
        <v>NO</v>
      </c>
      <c r="S3" s="4"/>
    </row>
    <row r="4" spans="1:19" ht="39.950000000000003" customHeight="1" thickBot="1" x14ac:dyDescent="0.3">
      <c r="A4" s="7" t="s">
        <v>6</v>
      </c>
      <c r="B4" s="7" t="s">
        <v>34</v>
      </c>
      <c r="C4" s="63" t="s">
        <v>46</v>
      </c>
      <c r="D4" s="75" t="s">
        <v>46</v>
      </c>
      <c r="E4" s="79" t="str">
        <f t="shared" si="0"/>
        <v>NO</v>
      </c>
      <c r="S4" s="4"/>
    </row>
    <row r="5" spans="1:19" ht="39.950000000000003" customHeight="1" x14ac:dyDescent="0.25">
      <c r="A5" s="8" t="s">
        <v>7</v>
      </c>
      <c r="B5" s="8" t="s">
        <v>34</v>
      </c>
      <c r="C5" s="61" t="s">
        <v>46</v>
      </c>
      <c r="D5" s="73" t="s">
        <v>46</v>
      </c>
      <c r="E5" s="77" t="str">
        <f t="shared" si="0"/>
        <v>NO</v>
      </c>
      <c r="S5" s="4"/>
    </row>
    <row r="6" spans="1:19" ht="39.950000000000003" customHeight="1" thickBot="1" x14ac:dyDescent="0.3">
      <c r="A6" s="7" t="s">
        <v>8</v>
      </c>
      <c r="B6" s="7" t="s">
        <v>34</v>
      </c>
      <c r="C6" s="63" t="s">
        <v>46</v>
      </c>
      <c r="D6" s="75" t="s">
        <v>46</v>
      </c>
      <c r="E6" s="79" t="str">
        <f t="shared" si="0"/>
        <v>NO</v>
      </c>
      <c r="S6" s="4"/>
    </row>
    <row r="7" spans="1:19" ht="39.950000000000003" customHeight="1" x14ac:dyDescent="0.25">
      <c r="A7" s="8" t="s">
        <v>9</v>
      </c>
      <c r="B7" s="8" t="s">
        <v>34</v>
      </c>
      <c r="C7" s="61" t="s">
        <v>46</v>
      </c>
      <c r="D7" s="73" t="s">
        <v>47</v>
      </c>
      <c r="E7" s="77" t="str">
        <f t="shared" si="0"/>
        <v>YES</v>
      </c>
      <c r="S7" s="4"/>
    </row>
    <row r="8" spans="1:19" ht="39.950000000000003" customHeight="1" x14ac:dyDescent="0.25">
      <c r="A8" s="6" t="s">
        <v>10</v>
      </c>
      <c r="B8" s="6" t="s">
        <v>35</v>
      </c>
      <c r="C8" s="62" t="s">
        <v>46</v>
      </c>
      <c r="D8" s="74" t="s">
        <v>46</v>
      </c>
      <c r="E8" s="78" t="str">
        <f t="shared" si="0"/>
        <v>YES</v>
      </c>
      <c r="S8" s="4"/>
    </row>
    <row r="9" spans="1:19" ht="39.950000000000003" customHeight="1" x14ac:dyDescent="0.25">
      <c r="A9" s="6" t="s">
        <v>11</v>
      </c>
      <c r="B9" s="6" t="s">
        <v>35</v>
      </c>
      <c r="C9" s="62" t="s">
        <v>46</v>
      </c>
      <c r="D9" s="74" t="s">
        <v>46</v>
      </c>
      <c r="E9" s="78" t="str">
        <f t="shared" si="0"/>
        <v>YES</v>
      </c>
      <c r="S9" s="4"/>
    </row>
    <row r="10" spans="1:19" ht="39.950000000000003" customHeight="1" x14ac:dyDescent="0.25">
      <c r="A10" s="6" t="s">
        <v>12</v>
      </c>
      <c r="B10" s="6" t="s">
        <v>34</v>
      </c>
      <c r="C10" s="62" t="s">
        <v>46</v>
      </c>
      <c r="D10" s="74" t="s">
        <v>46</v>
      </c>
      <c r="E10" s="78" t="str">
        <f t="shared" si="0"/>
        <v>NO</v>
      </c>
      <c r="S10" s="4"/>
    </row>
    <row r="11" spans="1:19" ht="39.950000000000003" customHeight="1" x14ac:dyDescent="0.25">
      <c r="A11" s="6" t="s">
        <v>13</v>
      </c>
      <c r="B11" s="6" t="s">
        <v>34</v>
      </c>
      <c r="C11" s="62" t="s">
        <v>46</v>
      </c>
      <c r="D11" s="74" t="s">
        <v>46</v>
      </c>
      <c r="E11" s="78" t="str">
        <f t="shared" si="0"/>
        <v>NO</v>
      </c>
      <c r="S11" s="4"/>
    </row>
    <row r="12" spans="1:19" ht="39.950000000000003" customHeight="1" thickBot="1" x14ac:dyDescent="0.3">
      <c r="A12" s="7" t="s">
        <v>14</v>
      </c>
      <c r="B12" s="7" t="s">
        <v>34</v>
      </c>
      <c r="C12" s="63" t="s">
        <v>46</v>
      </c>
      <c r="D12" s="75" t="s">
        <v>46</v>
      </c>
      <c r="E12" s="79" t="str">
        <f t="shared" si="0"/>
        <v>NO</v>
      </c>
      <c r="S12" s="4"/>
    </row>
    <row r="13" spans="1:19" ht="39.950000000000003" customHeight="1" x14ac:dyDescent="0.25">
      <c r="A13" s="8" t="s">
        <v>15</v>
      </c>
      <c r="B13" s="8" t="s">
        <v>34</v>
      </c>
      <c r="C13" s="61" t="s">
        <v>46</v>
      </c>
      <c r="D13" s="73" t="s">
        <v>46</v>
      </c>
      <c r="E13" s="77" t="str">
        <f t="shared" si="0"/>
        <v>NO</v>
      </c>
      <c r="S13" s="4"/>
    </row>
    <row r="14" spans="1:19" ht="39.950000000000003" customHeight="1" x14ac:dyDescent="0.25">
      <c r="A14" s="6" t="s">
        <v>16</v>
      </c>
      <c r="B14" s="6" t="s">
        <v>34</v>
      </c>
      <c r="C14" s="62" t="s">
        <v>46</v>
      </c>
      <c r="D14" s="74" t="s">
        <v>46</v>
      </c>
      <c r="E14" s="78" t="str">
        <f t="shared" si="0"/>
        <v>NO</v>
      </c>
      <c r="S14" s="4"/>
    </row>
    <row r="15" spans="1:19" ht="39.950000000000003" customHeight="1" thickBot="1" x14ac:dyDescent="0.3">
      <c r="A15" s="7" t="s">
        <v>17</v>
      </c>
      <c r="B15" s="7" t="s">
        <v>34</v>
      </c>
      <c r="C15" s="63" t="s">
        <v>46</v>
      </c>
      <c r="D15" s="75" t="s">
        <v>47</v>
      </c>
      <c r="E15" s="79" t="str">
        <f t="shared" si="0"/>
        <v>YES</v>
      </c>
      <c r="S15" s="4"/>
    </row>
    <row r="16" spans="1:19" ht="39.950000000000003" customHeight="1" x14ac:dyDescent="0.25">
      <c r="A16" s="8" t="s">
        <v>18</v>
      </c>
      <c r="B16" s="8" t="s">
        <v>34</v>
      </c>
      <c r="C16" s="61" t="s">
        <v>46</v>
      </c>
      <c r="D16" s="73" t="s">
        <v>47</v>
      </c>
      <c r="E16" s="77" t="str">
        <f t="shared" si="0"/>
        <v>YES</v>
      </c>
      <c r="S16" s="4"/>
    </row>
    <row r="17" spans="1:19" ht="39.950000000000003" customHeight="1" x14ac:dyDescent="0.25">
      <c r="A17" s="6" t="s">
        <v>19</v>
      </c>
      <c r="B17" s="6" t="s">
        <v>34</v>
      </c>
      <c r="C17" s="62" t="s">
        <v>46</v>
      </c>
      <c r="D17" s="74" t="s">
        <v>47</v>
      </c>
      <c r="E17" s="78" t="str">
        <f t="shared" si="0"/>
        <v>YES</v>
      </c>
      <c r="S17" s="4"/>
    </row>
    <row r="18" spans="1:19" ht="39.950000000000003" customHeight="1" x14ac:dyDescent="0.25">
      <c r="A18" s="6" t="s">
        <v>20</v>
      </c>
      <c r="B18" s="6" t="s">
        <v>34</v>
      </c>
      <c r="C18" s="62" t="s">
        <v>46</v>
      </c>
      <c r="D18" s="74" t="s">
        <v>46</v>
      </c>
      <c r="E18" s="78" t="str">
        <f t="shared" si="0"/>
        <v>NO</v>
      </c>
      <c r="S18" s="4"/>
    </row>
    <row r="19" spans="1:19" ht="39.950000000000003" customHeight="1" thickBot="1" x14ac:dyDescent="0.3">
      <c r="A19" s="7" t="s">
        <v>21</v>
      </c>
      <c r="B19" s="7" t="s">
        <v>35</v>
      </c>
      <c r="C19" s="63" t="s">
        <v>46</v>
      </c>
      <c r="D19" s="75" t="s">
        <v>47</v>
      </c>
      <c r="E19" s="79" t="str">
        <f t="shared" si="0"/>
        <v>YES</v>
      </c>
      <c r="S19" s="4"/>
    </row>
    <row r="20" spans="1:19" ht="39.950000000000003" customHeight="1" x14ac:dyDescent="0.25">
      <c r="A20" s="8" t="s">
        <v>22</v>
      </c>
      <c r="B20" s="8" t="s">
        <v>34</v>
      </c>
      <c r="C20" s="61" t="s">
        <v>46</v>
      </c>
      <c r="D20" s="73" t="s">
        <v>47</v>
      </c>
      <c r="E20" s="77" t="str">
        <f t="shared" si="0"/>
        <v>YES</v>
      </c>
      <c r="S20" s="4"/>
    </row>
    <row r="21" spans="1:19" ht="39.950000000000003" customHeight="1" x14ac:dyDescent="0.25">
      <c r="A21" s="6" t="s">
        <v>23</v>
      </c>
      <c r="B21" s="6" t="s">
        <v>34</v>
      </c>
      <c r="C21" s="62" t="s">
        <v>46</v>
      </c>
      <c r="D21" s="74" t="s">
        <v>47</v>
      </c>
      <c r="E21" s="78" t="str">
        <f t="shared" si="0"/>
        <v>YES</v>
      </c>
      <c r="S21" s="4"/>
    </row>
    <row r="22" spans="1:19" ht="39.950000000000003" customHeight="1" x14ac:dyDescent="0.25">
      <c r="A22" s="6" t="s">
        <v>24</v>
      </c>
      <c r="B22" s="6" t="s">
        <v>34</v>
      </c>
      <c r="C22" s="62" t="s">
        <v>46</v>
      </c>
      <c r="D22" s="74" t="s">
        <v>47</v>
      </c>
      <c r="E22" s="78" t="str">
        <f t="shared" si="0"/>
        <v>YES</v>
      </c>
      <c r="S22" s="4"/>
    </row>
    <row r="23" spans="1:19" ht="39.950000000000003" customHeight="1" x14ac:dyDescent="0.25">
      <c r="A23" s="6" t="s">
        <v>25</v>
      </c>
      <c r="B23" s="6" t="s">
        <v>34</v>
      </c>
      <c r="C23" s="62" t="s">
        <v>46</v>
      </c>
      <c r="D23" s="74" t="s">
        <v>47</v>
      </c>
      <c r="E23" s="78" t="str">
        <f t="shared" si="0"/>
        <v>YES</v>
      </c>
      <c r="S23" s="4"/>
    </row>
    <row r="24" spans="1:19" ht="39.950000000000003" customHeight="1" thickBot="1" x14ac:dyDescent="0.3">
      <c r="A24" s="7" t="s">
        <v>26</v>
      </c>
      <c r="B24" s="7" t="s">
        <v>34</v>
      </c>
      <c r="C24" s="63" t="s">
        <v>46</v>
      </c>
      <c r="D24" s="75" t="s">
        <v>47</v>
      </c>
      <c r="E24" s="79" t="str">
        <f t="shared" si="0"/>
        <v>YES</v>
      </c>
      <c r="S24" s="4"/>
    </row>
    <row r="25" spans="1:19" ht="39.950000000000003" customHeight="1" x14ac:dyDescent="0.25">
      <c r="A25" s="8" t="s">
        <v>27</v>
      </c>
      <c r="B25" s="8" t="s">
        <v>34</v>
      </c>
      <c r="C25" s="61" t="s">
        <v>47</v>
      </c>
      <c r="D25" s="73" t="s">
        <v>47</v>
      </c>
      <c r="E25" s="77" t="str">
        <f t="shared" si="0"/>
        <v>YES</v>
      </c>
      <c r="S25" s="4"/>
    </row>
    <row r="26" spans="1:19" ht="39.950000000000003" customHeight="1" x14ac:dyDescent="0.25">
      <c r="A26" s="6" t="s">
        <v>28</v>
      </c>
      <c r="B26" s="6" t="s">
        <v>34</v>
      </c>
      <c r="C26" s="62" t="s">
        <v>47</v>
      </c>
      <c r="D26" s="74" t="s">
        <v>47</v>
      </c>
      <c r="E26" s="78" t="str">
        <f t="shared" si="0"/>
        <v>YES</v>
      </c>
      <c r="S26" s="4"/>
    </row>
    <row r="27" spans="1:19" ht="39.950000000000003" customHeight="1" thickBot="1" x14ac:dyDescent="0.3">
      <c r="A27" s="7" t="s">
        <v>29</v>
      </c>
      <c r="B27" s="7" t="s">
        <v>34</v>
      </c>
      <c r="C27" s="80" t="s">
        <v>47</v>
      </c>
      <c r="D27" s="81" t="s">
        <v>47</v>
      </c>
      <c r="E27" s="82" t="str">
        <f t="shared" si="0"/>
        <v>YES</v>
      </c>
      <c r="S27" s="4"/>
    </row>
    <row r="28" spans="1:19" ht="39.950000000000003" customHeight="1" thickBot="1" x14ac:dyDescent="0.3">
      <c r="A28" s="7" t="s">
        <v>30</v>
      </c>
      <c r="B28" s="7" t="s">
        <v>34</v>
      </c>
      <c r="C28" s="32" t="s">
        <v>47</v>
      </c>
      <c r="D28" s="83" t="s">
        <v>47</v>
      </c>
      <c r="E28" s="84" t="str">
        <f t="shared" si="0"/>
        <v>YES</v>
      </c>
      <c r="S28" s="4"/>
    </row>
  </sheetData>
  <conditionalFormatting sqref="C2:D28">
    <cfRule type="containsText" dxfId="9" priority="4" operator="containsText" text="FAIL">
      <formula>NOT(ISERROR(SEARCH("FAIL",C2)))</formula>
    </cfRule>
    <cfRule type="containsText" dxfId="8" priority="3" operator="containsText" text="PASS">
      <formula>NOT(ISERROR(SEARCH("PASS",C2)))</formula>
    </cfRule>
  </conditionalFormatting>
  <conditionalFormatting sqref="E2:E28">
    <cfRule type="containsText" dxfId="1" priority="2" operator="containsText" text="YES">
      <formula>NOT(ISERROR(SEARCH("YES",E2)))</formula>
    </cfRule>
    <cfRule type="containsText" dxfId="0" priority="1" operator="containsText" text="NO">
      <formula>NOT(ISERROR(SEARCH("NO",E2)))</formula>
    </cfRule>
  </conditionalFormatting>
  <pageMargins left="0.25" right="0.25" top="0.75" bottom="0.75" header="0.3" footer="0.3"/>
  <pageSetup scale="76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832DA-B038-4489-82D6-2F2BCD63C183}">
  <sheetPr>
    <pageSetUpPr fitToPage="1"/>
  </sheetPr>
  <dimension ref="A1:T28"/>
  <sheetViews>
    <sheetView zoomScale="80" zoomScaleNormal="80" workbookViewId="0">
      <selection sqref="A1:XFD1048576"/>
    </sheetView>
  </sheetViews>
  <sheetFormatPr defaultColWidth="8.140625" defaultRowHeight="39.950000000000003" customHeight="1" x14ac:dyDescent="0.25"/>
  <cols>
    <col min="1" max="1" width="12" style="4" bestFit="1" customWidth="1"/>
    <col min="2" max="2" width="11" style="4" bestFit="1" customWidth="1"/>
    <col min="3" max="5" width="8" style="4" bestFit="1" customWidth="1"/>
    <col min="6" max="6" width="9.28515625" style="4" bestFit="1" customWidth="1"/>
    <col min="7" max="7" width="8.7109375" style="4" bestFit="1" customWidth="1"/>
    <col min="8" max="8" width="9.5703125" style="4" bestFit="1" customWidth="1"/>
    <col min="9" max="9" width="9.28515625" style="4" bestFit="1" customWidth="1"/>
    <col min="10" max="10" width="10" style="4" bestFit="1" customWidth="1"/>
    <col min="11" max="11" width="8.7109375" style="4" bestFit="1" customWidth="1"/>
    <col min="12" max="12" width="10" style="4" bestFit="1" customWidth="1"/>
    <col min="13" max="18" width="8" style="4" bestFit="1" customWidth="1"/>
    <col min="19" max="19" width="14.85546875" style="4" bestFit="1" customWidth="1"/>
    <col min="20" max="20" width="12" style="36" bestFit="1" customWidth="1"/>
    <col min="21" max="16384" width="8.140625" style="4"/>
  </cols>
  <sheetData>
    <row r="1" spans="1:20" ht="43.5" thickBot="1" x14ac:dyDescent="0.3">
      <c r="A1" s="1" t="s">
        <v>0</v>
      </c>
      <c r="B1" s="2" t="s">
        <v>1</v>
      </c>
      <c r="C1" s="64" t="s">
        <v>38</v>
      </c>
      <c r="D1" s="65"/>
      <c r="E1" s="65"/>
      <c r="F1" s="66"/>
      <c r="G1" s="3" t="s">
        <v>2</v>
      </c>
      <c r="H1" s="1" t="s">
        <v>32</v>
      </c>
      <c r="I1" s="67" t="s">
        <v>31</v>
      </c>
      <c r="J1" s="65"/>
      <c r="K1" s="65"/>
      <c r="L1" s="66"/>
      <c r="M1" s="3" t="s">
        <v>36</v>
      </c>
      <c r="N1" s="67" t="s">
        <v>33</v>
      </c>
      <c r="O1" s="65"/>
      <c r="P1" s="65"/>
      <c r="Q1" s="66"/>
      <c r="R1" s="3" t="s">
        <v>37</v>
      </c>
      <c r="S1" s="3" t="s">
        <v>40</v>
      </c>
      <c r="T1" s="34" t="s">
        <v>42</v>
      </c>
    </row>
    <row r="2" spans="1:20" ht="39.950000000000003" customHeight="1" x14ac:dyDescent="0.25">
      <c r="A2" s="5" t="s">
        <v>4</v>
      </c>
      <c r="B2" s="5" t="s">
        <v>34</v>
      </c>
      <c r="C2" s="13">
        <f>15.5339-5.5728</f>
        <v>9.9610999999999983</v>
      </c>
      <c r="D2" s="14">
        <f>15.4693-5.5107</f>
        <v>9.9586000000000006</v>
      </c>
      <c r="E2" s="14">
        <f>15.5333-5.5598</f>
        <v>9.9735000000000014</v>
      </c>
      <c r="F2" s="15">
        <f>15.5191-5.438</f>
        <v>10.081099999999999</v>
      </c>
      <c r="G2" s="16">
        <f>AVERAGE(C2:F2)</f>
        <v>9.9935749999999999</v>
      </c>
      <c r="H2" s="5">
        <v>4</v>
      </c>
      <c r="I2" s="9">
        <f>IF(NOT(C2=0),100*($G2-C2)/C2,"NaN")</f>
        <v>0.32601821084018423</v>
      </c>
      <c r="J2" s="10">
        <f t="shared" ref="J2:L2" si="0">IF(NOT(D2=0),100*($G2-D2)/D2,"NaN")</f>
        <v>0.35120398449580575</v>
      </c>
      <c r="K2" s="10">
        <f t="shared" si="0"/>
        <v>0.20128340101266864</v>
      </c>
      <c r="L2" s="11">
        <f t="shared" si="0"/>
        <v>-0.86820882641774622</v>
      </c>
      <c r="M2" s="12">
        <f>AVERAGE(I2:L2)</f>
        <v>2.5741924827281104E-3</v>
      </c>
      <c r="N2" s="13">
        <f t="shared" ref="N2:N28" si="1">(C2 - $G2)^2</f>
        <v>1.0546256250001031E-3</v>
      </c>
      <c r="O2" s="14">
        <f t="shared" ref="O2:O28" si="2">(D2 - $G2)^2</f>
        <v>1.2232506249999519E-3</v>
      </c>
      <c r="P2" s="14">
        <f t="shared" ref="P2:P28" si="3">(E2 - $G2)^2</f>
        <v>4.0300562499994021E-4</v>
      </c>
      <c r="Q2" s="29">
        <f t="shared" ref="Q2:Q28" si="4">(F2 - $G2)^2</f>
        <v>7.6606256249998964E-3</v>
      </c>
      <c r="R2" s="30">
        <f>SQRT((SUM(N2:Q2)/(H2-1)))</f>
        <v>5.8712598023479001E-2</v>
      </c>
      <c r="S2" s="28">
        <f t="shared" ref="S2:S28" si="5">100*R2/G2</f>
        <v>0.5875034512021875</v>
      </c>
      <c r="T2" s="37" t="str">
        <f>IF(OR(M2&lt;-0.06,M2&gt;0.06),"FAIL","PASS")</f>
        <v>PASS</v>
      </c>
    </row>
    <row r="3" spans="1:20" ht="39.950000000000003" customHeight="1" x14ac:dyDescent="0.25">
      <c r="A3" s="6" t="s">
        <v>5</v>
      </c>
      <c r="B3" s="6" t="s">
        <v>34</v>
      </c>
      <c r="C3" s="17">
        <f>15.539-5.559</f>
        <v>9.98</v>
      </c>
      <c r="D3" s="18">
        <f>15.5999-5.6196</f>
        <v>9.9802999999999997</v>
      </c>
      <c r="E3" s="18">
        <f>15.4579-5.4948</f>
        <v>9.9631000000000007</v>
      </c>
      <c r="F3" s="19">
        <f>15.5325-5.5408</f>
        <v>9.9917000000000016</v>
      </c>
      <c r="G3" s="20">
        <f t="shared" ref="G3:G28" si="6">AVERAGE(C3:F3)</f>
        <v>9.9787750000000006</v>
      </c>
      <c r="H3" s="6">
        <v>4</v>
      </c>
      <c r="I3" s="25">
        <f t="shared" ref="I3:I28" si="7">IF(NOT(C3=0),100*($G3-C3)/C3,"NaN")</f>
        <v>-1.2274549098194485E-2</v>
      </c>
      <c r="J3" s="26">
        <f t="shared" ref="J3:J28" si="8">IF(NOT(D3=0),100*($G3-D3)/D3,"NaN")</f>
        <v>-1.5280101800538164E-2</v>
      </c>
      <c r="K3" s="26">
        <f t="shared" ref="K3:K28" si="9">IF(NOT(E3=0),100*($G3-E3)/E3,"NaN")</f>
        <v>0.15733054972849697</v>
      </c>
      <c r="L3" s="27">
        <f t="shared" ref="L3:L28" si="10">IF(NOT(F3=0),100*($G3-F3)/F3,"NaN")</f>
        <v>-0.12935736661429947</v>
      </c>
      <c r="M3" s="28">
        <f t="shared" ref="M3:M28" si="11">AVERAGE(I3:L3)</f>
        <v>1.0463305386620991E-4</v>
      </c>
      <c r="N3" s="17">
        <f t="shared" si="1"/>
        <v>1.5006249999995334E-6</v>
      </c>
      <c r="O3" s="18">
        <f t="shared" si="2"/>
        <v>2.3256249999972868E-6</v>
      </c>
      <c r="P3" s="18">
        <f t="shared" si="3"/>
        <v>2.4570562499999634E-4</v>
      </c>
      <c r="Q3" s="19">
        <f t="shared" si="4"/>
        <v>1.670556250000249E-4</v>
      </c>
      <c r="R3" s="20">
        <f>SQRT((SUM(N3:Q3)/(H3-1)))</f>
        <v>1.1783993380853794E-2</v>
      </c>
      <c r="S3" s="20">
        <f t="shared" si="5"/>
        <v>0.11809058106685233</v>
      </c>
      <c r="T3" s="49" t="str">
        <f t="shared" ref="T3:T28" si="12">IF(OR(M3&lt;-0.06,M3&gt;0.06),"FAIL","PASS")</f>
        <v>PASS</v>
      </c>
    </row>
    <row r="4" spans="1:20" ht="39.950000000000003" customHeight="1" thickBot="1" x14ac:dyDescent="0.3">
      <c r="A4" s="7" t="s">
        <v>6</v>
      </c>
      <c r="B4" s="7" t="s">
        <v>34</v>
      </c>
      <c r="C4" s="21">
        <f>15.4586-5.4938</f>
        <v>9.9648000000000003</v>
      </c>
      <c r="D4" s="22">
        <f>15.4913-5.5239</f>
        <v>9.9674000000000014</v>
      </c>
      <c r="E4" s="22">
        <f>15.4862-5.5357</f>
        <v>9.9504999999999999</v>
      </c>
      <c r="F4" s="23">
        <f>15.4655-5.5116</f>
        <v>9.9539000000000009</v>
      </c>
      <c r="G4" s="24">
        <f t="shared" si="6"/>
        <v>9.9591500000000011</v>
      </c>
      <c r="H4" s="7">
        <v>4</v>
      </c>
      <c r="I4" s="21">
        <f t="shared" si="7"/>
        <v>-5.6699582530500024E-2</v>
      </c>
      <c r="J4" s="22">
        <f t="shared" si="8"/>
        <v>-8.276982964464466E-2</v>
      </c>
      <c r="K4" s="22">
        <f t="shared" si="9"/>
        <v>8.6930305009810124E-2</v>
      </c>
      <c r="L4" s="23">
        <f t="shared" si="10"/>
        <v>5.2743145902613031E-2</v>
      </c>
      <c r="M4" s="24">
        <f t="shared" si="11"/>
        <v>5.1009684319616028E-5</v>
      </c>
      <c r="N4" s="21">
        <f t="shared" si="1"/>
        <v>3.1922499999991711E-5</v>
      </c>
      <c r="O4" s="22">
        <f t="shared" si="2"/>
        <v>6.8062500000005158E-5</v>
      </c>
      <c r="P4" s="22">
        <f t="shared" si="3"/>
        <v>7.4822500000020008E-5</v>
      </c>
      <c r="Q4" s="23">
        <f t="shared" si="4"/>
        <v>2.756250000000209E-5</v>
      </c>
      <c r="R4" s="24">
        <f t="shared" ref="R4:R28" si="13">SQRT((SUM(N4:Q4)/(H4-1)))</f>
        <v>8.2132007565061376E-3</v>
      </c>
      <c r="S4" s="24">
        <f t="shared" si="5"/>
        <v>8.2468892992937512E-2</v>
      </c>
      <c r="T4" s="54" t="str">
        <f t="shared" si="12"/>
        <v>PASS</v>
      </c>
    </row>
    <row r="5" spans="1:20" ht="39.950000000000003" customHeight="1" x14ac:dyDescent="0.25">
      <c r="A5" s="8" t="s">
        <v>7</v>
      </c>
      <c r="B5" s="8" t="s">
        <v>34</v>
      </c>
      <c r="C5" s="25">
        <f>11.8613-6.8441</f>
        <v>5.0171999999999999</v>
      </c>
      <c r="D5" s="26">
        <f>11.9417-6.924</f>
        <v>5.0177000000000005</v>
      </c>
      <c r="E5" s="26">
        <f>10.5592-5.5231</f>
        <v>5.0361000000000002</v>
      </c>
      <c r="F5" s="27">
        <f>10.6066-5.5718</f>
        <v>5.0348000000000006</v>
      </c>
      <c r="G5" s="28">
        <f t="shared" si="6"/>
        <v>5.0264500000000005</v>
      </c>
      <c r="H5" s="5">
        <v>4</v>
      </c>
      <c r="I5" s="25">
        <f t="shared" si="7"/>
        <v>0.18436578171092735</v>
      </c>
      <c r="J5" s="26">
        <f t="shared" si="8"/>
        <v>0.17438268529405973</v>
      </c>
      <c r="K5" s="26">
        <f t="shared" si="9"/>
        <v>-0.19161652866304707</v>
      </c>
      <c r="L5" s="27">
        <f t="shared" si="10"/>
        <v>-0.16584571383173272</v>
      </c>
      <c r="M5" s="28">
        <f t="shared" si="11"/>
        <v>3.2155612755182389E-4</v>
      </c>
      <c r="N5" s="25">
        <f t="shared" si="1"/>
        <v>8.5562500000011966E-5</v>
      </c>
      <c r="O5" s="26">
        <f t="shared" si="2"/>
        <v>7.6562500000000621E-5</v>
      </c>
      <c r="P5" s="26">
        <f t="shared" si="3"/>
        <v>9.3122499999994486E-5</v>
      </c>
      <c r="Q5" s="27">
        <f t="shared" si="4"/>
        <v>6.972250000000133E-5</v>
      </c>
      <c r="R5" s="28">
        <f t="shared" si="13"/>
        <v>1.0407849601783077E-2</v>
      </c>
      <c r="S5" s="28">
        <f t="shared" si="5"/>
        <v>0.20706163598132032</v>
      </c>
      <c r="T5" s="37" t="str">
        <f t="shared" si="12"/>
        <v>PASS</v>
      </c>
    </row>
    <row r="6" spans="1:20" ht="39.950000000000003" customHeight="1" thickBot="1" x14ac:dyDescent="0.3">
      <c r="A6" s="7" t="s">
        <v>8</v>
      </c>
      <c r="B6" s="7" t="s">
        <v>34</v>
      </c>
      <c r="C6" s="21">
        <f>10.5309-5.54</f>
        <v>4.9909000000000008</v>
      </c>
      <c r="D6" s="22">
        <f>10.5562-5.5583</f>
        <v>4.9979000000000005</v>
      </c>
      <c r="E6" s="22">
        <f>10.6268-5.6165</f>
        <v>5.0102999999999991</v>
      </c>
      <c r="F6" s="23">
        <f>10.5511-5.5367</f>
        <v>5.0144000000000002</v>
      </c>
      <c r="G6" s="24">
        <f t="shared" si="6"/>
        <v>5.0033750000000001</v>
      </c>
      <c r="H6" s="7">
        <v>4</v>
      </c>
      <c r="I6" s="21">
        <f t="shared" si="7"/>
        <v>0.24995491795065711</v>
      </c>
      <c r="J6" s="22">
        <f t="shared" si="8"/>
        <v>0.10954600932390952</v>
      </c>
      <c r="K6" s="22">
        <f t="shared" si="9"/>
        <v>-0.13821527653032675</v>
      </c>
      <c r="L6" s="23">
        <f t="shared" si="10"/>
        <v>-0.21986678366305165</v>
      </c>
      <c r="M6" s="24">
        <f t="shared" si="11"/>
        <v>3.5471677029705329E-4</v>
      </c>
      <c r="N6" s="21">
        <f t="shared" si="1"/>
        <v>1.5562562499998373E-4</v>
      </c>
      <c r="O6" s="22">
        <f t="shared" si="2"/>
        <v>2.9975624999996436E-5</v>
      </c>
      <c r="P6" s="22">
        <f t="shared" si="3"/>
        <v>4.7955624999985594E-5</v>
      </c>
      <c r="Q6" s="23">
        <f t="shared" si="4"/>
        <v>1.2155062500000138E-4</v>
      </c>
      <c r="R6" s="24">
        <f t="shared" si="13"/>
        <v>1.0879759494890303E-2</v>
      </c>
      <c r="S6" s="24">
        <f t="shared" si="5"/>
        <v>0.21744841221955788</v>
      </c>
      <c r="T6" s="54" t="str">
        <f t="shared" si="12"/>
        <v>PASS</v>
      </c>
    </row>
    <row r="7" spans="1:20" ht="39.950000000000003" customHeight="1" x14ac:dyDescent="0.25">
      <c r="A7" s="8" t="s">
        <v>9</v>
      </c>
      <c r="B7" s="8" t="s">
        <v>34</v>
      </c>
      <c r="C7" s="25">
        <f>1.989-0.9882</f>
        <v>1.0008000000000001</v>
      </c>
      <c r="D7" s="26">
        <f>1.9878-0.9885</f>
        <v>0.99929999999999997</v>
      </c>
      <c r="E7" s="26">
        <f>1.9954-0.9924</f>
        <v>1.0030000000000001</v>
      </c>
      <c r="F7" s="27">
        <f>1.9632-0.9882</f>
        <v>0.97500000000000009</v>
      </c>
      <c r="G7" s="28">
        <f t="shared" si="6"/>
        <v>0.9945250000000001</v>
      </c>
      <c r="H7" s="5">
        <v>4</v>
      </c>
      <c r="I7" s="25">
        <f t="shared" si="7"/>
        <v>-0.62699840127897977</v>
      </c>
      <c r="J7" s="26">
        <f t="shared" si="8"/>
        <v>-0.47783448413888352</v>
      </c>
      <c r="K7" s="26">
        <f t="shared" si="9"/>
        <v>-0.8449651046859431</v>
      </c>
      <c r="L7" s="27">
        <f t="shared" si="10"/>
        <v>2.0025641025641039</v>
      </c>
      <c r="M7" s="28">
        <f t="shared" si="11"/>
        <v>1.3191528115074402E-2</v>
      </c>
      <c r="N7" s="25">
        <f t="shared" si="1"/>
        <v>3.9375625000000384E-5</v>
      </c>
      <c r="O7" s="26">
        <f t="shared" si="2"/>
        <v>2.2800624999998687E-5</v>
      </c>
      <c r="P7" s="26">
        <f t="shared" si="3"/>
        <v>7.182562500000017E-5</v>
      </c>
      <c r="Q7" s="27">
        <f t="shared" si="4"/>
        <v>3.8122562500000055E-4</v>
      </c>
      <c r="R7" s="28">
        <f t="shared" si="13"/>
        <v>1.3105056276109613E-2</v>
      </c>
      <c r="S7" s="28">
        <f t="shared" si="5"/>
        <v>1.3177201454070648</v>
      </c>
      <c r="T7" s="37" t="str">
        <f>IF(OR(M7&lt;-0.06,M7&gt;0.06),"FAIL","PASS")</f>
        <v>PASS</v>
      </c>
    </row>
    <row r="8" spans="1:20" ht="39.950000000000003" customHeight="1" x14ac:dyDescent="0.25">
      <c r="A8" s="6" t="s">
        <v>10</v>
      </c>
      <c r="B8" s="6" t="s">
        <v>35</v>
      </c>
      <c r="C8" s="17">
        <f>1.9561-0.9911</f>
        <v>0.96499999999999997</v>
      </c>
      <c r="D8" s="18">
        <f>1.9795-0.9907</f>
        <v>0.98880000000000001</v>
      </c>
      <c r="E8" s="18">
        <f>1.9758-0.9932</f>
        <v>0.98260000000000003</v>
      </c>
      <c r="F8" s="19">
        <f>1.9873-0.9911</f>
        <v>0.99620000000000009</v>
      </c>
      <c r="G8" s="20">
        <f t="shared" si="6"/>
        <v>0.98314999999999997</v>
      </c>
      <c r="H8" s="6">
        <v>4</v>
      </c>
      <c r="I8" s="17">
        <f t="shared" si="7"/>
        <v>1.8808290155440415</v>
      </c>
      <c r="J8" s="18">
        <f t="shared" si="8"/>
        <v>-0.571399676375409</v>
      </c>
      <c r="K8" s="18">
        <f t="shared" si="9"/>
        <v>5.5973946672088278E-2</v>
      </c>
      <c r="L8" s="19">
        <f t="shared" si="10"/>
        <v>-1.3099779160811198</v>
      </c>
      <c r="M8" s="20">
        <f t="shared" si="11"/>
        <v>1.3856342439900249E-2</v>
      </c>
      <c r="N8" s="17">
        <f t="shared" si="1"/>
        <v>3.2942249999999996E-4</v>
      </c>
      <c r="O8" s="18">
        <f t="shared" si="2"/>
        <v>3.1922500000000493E-5</v>
      </c>
      <c r="P8" s="18">
        <f t="shared" si="3"/>
        <v>3.0249999999993336E-7</v>
      </c>
      <c r="Q8" s="19">
        <f t="shared" si="4"/>
        <v>1.7030250000000307E-4</v>
      </c>
      <c r="R8" s="20">
        <f t="shared" si="13"/>
        <v>1.3316030439536695E-2</v>
      </c>
      <c r="S8" s="20">
        <f t="shared" si="5"/>
        <v>1.354425107006733</v>
      </c>
      <c r="T8" s="49" t="str">
        <f t="shared" si="12"/>
        <v>PASS</v>
      </c>
    </row>
    <row r="9" spans="1:20" ht="39.950000000000003" customHeight="1" x14ac:dyDescent="0.25">
      <c r="A9" s="6" t="s">
        <v>11</v>
      </c>
      <c r="B9" s="6" t="s">
        <v>35</v>
      </c>
      <c r="C9" s="17">
        <f>1.9993-0.991</f>
        <v>1.0083000000000002</v>
      </c>
      <c r="D9" s="18">
        <f>1.9912-0.9902</f>
        <v>1.0010000000000001</v>
      </c>
      <c r="E9" s="18">
        <f>1.9896-0.9902</f>
        <v>0.99940000000000007</v>
      </c>
      <c r="F9" s="19">
        <f>1.9844-0.9804</f>
        <v>1.004</v>
      </c>
      <c r="G9" s="20">
        <f t="shared" si="6"/>
        <v>1.0031750000000001</v>
      </c>
      <c r="H9" s="6">
        <v>4</v>
      </c>
      <c r="I9" s="17">
        <f t="shared" si="7"/>
        <v>-0.50828126549638453</v>
      </c>
      <c r="J9" s="18">
        <f t="shared" si="8"/>
        <v>0.21728271728272106</v>
      </c>
      <c r="K9" s="18">
        <f t="shared" si="9"/>
        <v>0.37772663598159734</v>
      </c>
      <c r="L9" s="19">
        <f t="shared" si="10"/>
        <v>-8.2171314741021281E-2</v>
      </c>
      <c r="M9" s="20">
        <f t="shared" si="11"/>
        <v>1.1391932567281528E-3</v>
      </c>
      <c r="N9" s="17">
        <f t="shared" si="1"/>
        <v>2.6265625000000474E-5</v>
      </c>
      <c r="O9" s="18">
        <f t="shared" si="2"/>
        <v>4.7306250000001653E-6</v>
      </c>
      <c r="P9" s="18">
        <f t="shared" si="3"/>
        <v>1.4250625000000632E-5</v>
      </c>
      <c r="Q9" s="19">
        <f t="shared" si="4"/>
        <v>6.8062499999975854E-7</v>
      </c>
      <c r="R9" s="20">
        <f t="shared" si="13"/>
        <v>3.9126930197329575E-3</v>
      </c>
      <c r="S9" s="20">
        <f t="shared" si="5"/>
        <v>0.39003095369531304</v>
      </c>
      <c r="T9" s="49" t="str">
        <f t="shared" si="12"/>
        <v>PASS</v>
      </c>
    </row>
    <row r="10" spans="1:20" ht="39.950000000000003" customHeight="1" x14ac:dyDescent="0.25">
      <c r="A10" s="6" t="s">
        <v>12</v>
      </c>
      <c r="B10" s="6" t="s">
        <v>34</v>
      </c>
      <c r="C10" s="17">
        <f>2.004-0.9994</f>
        <v>1.0045999999999999</v>
      </c>
      <c r="D10" s="18">
        <f>2.0012-0.9933</f>
        <v>1.0078999999999998</v>
      </c>
      <c r="E10" s="18">
        <f>2.0009-0.9915</f>
        <v>1.0094000000000001</v>
      </c>
      <c r="F10" s="19">
        <f>2.0129-1.0067</f>
        <v>1.0062000000000002</v>
      </c>
      <c r="G10" s="20">
        <f t="shared" si="6"/>
        <v>1.0070250000000001</v>
      </c>
      <c r="H10" s="6">
        <v>4</v>
      </c>
      <c r="I10" s="17">
        <f t="shared" si="7"/>
        <v>0.24138960780411325</v>
      </c>
      <c r="J10" s="18">
        <f t="shared" si="8"/>
        <v>-8.6814168072203324E-2</v>
      </c>
      <c r="K10" s="18">
        <f t="shared" si="9"/>
        <v>-0.23528829007331245</v>
      </c>
      <c r="L10" s="19">
        <f t="shared" si="10"/>
        <v>8.1991651759079062E-2</v>
      </c>
      <c r="M10" s="20">
        <f t="shared" si="11"/>
        <v>3.1970035441913555E-4</v>
      </c>
      <c r="N10" s="17">
        <f t="shared" si="1"/>
        <v>5.8806250000005897E-6</v>
      </c>
      <c r="O10" s="18">
        <f t="shared" si="2"/>
        <v>7.6562499999953993E-7</v>
      </c>
      <c r="P10" s="18">
        <f t="shared" si="3"/>
        <v>5.6406250000000761E-6</v>
      </c>
      <c r="Q10" s="19">
        <f t="shared" si="4"/>
        <v>6.8062499999975854E-7</v>
      </c>
      <c r="R10" s="20">
        <f t="shared" si="13"/>
        <v>2.0790622886291761E-3</v>
      </c>
      <c r="S10" s="20">
        <f t="shared" si="5"/>
        <v>0.20645587633168752</v>
      </c>
      <c r="T10" s="49" t="str">
        <f t="shared" si="12"/>
        <v>PASS</v>
      </c>
    </row>
    <row r="11" spans="1:20" ht="39.950000000000003" customHeight="1" x14ac:dyDescent="0.25">
      <c r="A11" s="6" t="s">
        <v>13</v>
      </c>
      <c r="B11" s="6" t="s">
        <v>34</v>
      </c>
      <c r="C11" s="17">
        <f>1.9655-0.9882</f>
        <v>0.97730000000000006</v>
      </c>
      <c r="D11" s="18">
        <f>1.9687-0.9871</f>
        <v>0.98159999999999992</v>
      </c>
      <c r="E11" s="18">
        <f>1.988-0.9906</f>
        <v>0.99739999999999995</v>
      </c>
      <c r="F11" s="19">
        <f>1.9683-0.9853</f>
        <v>0.98299999999999998</v>
      </c>
      <c r="G11" s="20">
        <f t="shared" si="6"/>
        <v>0.98482499999999995</v>
      </c>
      <c r="H11" s="6">
        <v>4</v>
      </c>
      <c r="I11" s="17">
        <f t="shared" si="7"/>
        <v>0.76997851222755476</v>
      </c>
      <c r="J11" s="18">
        <f t="shared" si="8"/>
        <v>0.32854523227384208</v>
      </c>
      <c r="K11" s="18">
        <f t="shared" si="9"/>
        <v>-1.260778022859435</v>
      </c>
      <c r="L11" s="19">
        <f t="shared" si="10"/>
        <v>0.18565615462868418</v>
      </c>
      <c r="M11" s="20">
        <f t="shared" si="11"/>
        <v>5.8504690676615262E-3</v>
      </c>
      <c r="N11" s="17">
        <f t="shared" si="1"/>
        <v>5.6625624999998391E-5</v>
      </c>
      <c r="O11" s="18">
        <f t="shared" si="2"/>
        <v>1.0400625000000215E-5</v>
      </c>
      <c r="P11" s="18">
        <f t="shared" si="3"/>
        <v>1.5813062500000008E-4</v>
      </c>
      <c r="Q11" s="19">
        <f t="shared" si="4"/>
        <v>3.3306249999998742E-6</v>
      </c>
      <c r="R11" s="20">
        <f t="shared" si="13"/>
        <v>8.7271129246732863E-3</v>
      </c>
      <c r="S11" s="20">
        <f t="shared" si="5"/>
        <v>0.88615875152167001</v>
      </c>
      <c r="T11" s="49" t="str">
        <f t="shared" si="12"/>
        <v>PASS</v>
      </c>
    </row>
    <row r="12" spans="1:20" ht="39.950000000000003" customHeight="1" thickBot="1" x14ac:dyDescent="0.3">
      <c r="A12" s="7" t="s">
        <v>14</v>
      </c>
      <c r="B12" s="7" t="s">
        <v>34</v>
      </c>
      <c r="C12" s="21">
        <f>1.951-0.9872</f>
        <v>0.9638000000000001</v>
      </c>
      <c r="D12" s="22">
        <f>2.0138-1.0067</f>
        <v>1.0070999999999999</v>
      </c>
      <c r="E12" s="22">
        <f>2.0012-0.985</f>
        <v>1.0162</v>
      </c>
      <c r="F12" s="23">
        <f>1.983-0.9837</f>
        <v>0.99930000000000008</v>
      </c>
      <c r="G12" s="24">
        <f t="shared" si="6"/>
        <v>0.99659999999999993</v>
      </c>
      <c r="H12" s="7">
        <v>4</v>
      </c>
      <c r="I12" s="21">
        <f t="shared" si="7"/>
        <v>3.4031956837517976</v>
      </c>
      <c r="J12" s="22">
        <f t="shared" si="8"/>
        <v>-1.0425975573428612</v>
      </c>
      <c r="K12" s="22">
        <f t="shared" si="9"/>
        <v>-1.9287541822475951</v>
      </c>
      <c r="L12" s="23">
        <f t="shared" si="10"/>
        <v>-0.27018913239268955</v>
      </c>
      <c r="M12" s="24">
        <f t="shared" si="11"/>
        <v>4.0413702942162885E-2</v>
      </c>
      <c r="N12" s="21">
        <f t="shared" si="1"/>
        <v>1.0758399999999887E-3</v>
      </c>
      <c r="O12" s="22">
        <f t="shared" si="2"/>
        <v>1.1024999999999903E-4</v>
      </c>
      <c r="P12" s="22">
        <f t="shared" si="3"/>
        <v>3.8416000000000242E-4</v>
      </c>
      <c r="Q12" s="23">
        <f t="shared" si="4"/>
        <v>7.2900000000007925E-6</v>
      </c>
      <c r="R12" s="24">
        <f t="shared" si="13"/>
        <v>2.2931346813187044E-2</v>
      </c>
      <c r="S12" s="24">
        <f t="shared" si="5"/>
        <v>2.3009579383089549</v>
      </c>
      <c r="T12" s="54" t="str">
        <f t="shared" si="12"/>
        <v>PASS</v>
      </c>
    </row>
    <row r="13" spans="1:20" ht="39.950000000000003" customHeight="1" x14ac:dyDescent="0.25">
      <c r="A13" s="8" t="s">
        <v>15</v>
      </c>
      <c r="B13" s="8" t="s">
        <v>34</v>
      </c>
      <c r="C13" s="25">
        <f>0.4779-0.1823</f>
        <v>0.29559999999999997</v>
      </c>
      <c r="D13" s="26">
        <f>0.4759-0.1754</f>
        <v>0.30049999999999999</v>
      </c>
      <c r="E13" s="26">
        <f>0.4812-0.178</f>
        <v>0.30320000000000003</v>
      </c>
      <c r="F13" s="27">
        <f>0.4782-0.1786</f>
        <v>0.29959999999999998</v>
      </c>
      <c r="G13" s="28">
        <f t="shared" si="6"/>
        <v>0.29972500000000002</v>
      </c>
      <c r="H13" s="5">
        <v>4</v>
      </c>
      <c r="I13" s="25">
        <f t="shared" si="7"/>
        <v>1.3954668470906786</v>
      </c>
      <c r="J13" s="26">
        <f t="shared" si="8"/>
        <v>-0.25790349417636277</v>
      </c>
      <c r="K13" s="26">
        <f t="shared" si="9"/>
        <v>-1.1461081794195269</v>
      </c>
      <c r="L13" s="27">
        <f t="shared" si="10"/>
        <v>4.1722296395207525E-2</v>
      </c>
      <c r="M13" s="28">
        <f t="shared" si="11"/>
        <v>8.2943674724991201E-3</v>
      </c>
      <c r="N13" s="25">
        <f t="shared" si="1"/>
        <v>1.7015625000000375E-5</v>
      </c>
      <c r="O13" s="26">
        <f t="shared" si="2"/>
        <v>6.006249999999537E-7</v>
      </c>
      <c r="P13" s="26">
        <f t="shared" si="3"/>
        <v>1.2075625000000041E-5</v>
      </c>
      <c r="Q13" s="27">
        <f t="shared" si="4"/>
        <v>1.5625000000010435E-8</v>
      </c>
      <c r="R13" s="28">
        <f t="shared" si="13"/>
        <v>3.1468237955119328E-3</v>
      </c>
      <c r="S13" s="28">
        <f t="shared" si="5"/>
        <v>1.0499036768744456</v>
      </c>
      <c r="T13" s="37" t="str">
        <f t="shared" si="12"/>
        <v>PASS</v>
      </c>
    </row>
    <row r="14" spans="1:20" ht="39.950000000000003" customHeight="1" x14ac:dyDescent="0.25">
      <c r="A14" s="6" t="s">
        <v>16</v>
      </c>
      <c r="B14" s="6" t="s">
        <v>34</v>
      </c>
      <c r="C14" s="17">
        <f>0.4802-0.1812</f>
        <v>0.29900000000000004</v>
      </c>
      <c r="D14" s="18">
        <f>0.4776-0.1788</f>
        <v>0.29880000000000007</v>
      </c>
      <c r="E14" s="18">
        <f>0.4755-0.1761</f>
        <v>0.2994</v>
      </c>
      <c r="F14" s="19">
        <f>0.4756-0.1771</f>
        <v>0.29849999999999999</v>
      </c>
      <c r="G14" s="20">
        <f t="shared" si="6"/>
        <v>0.298925</v>
      </c>
      <c r="H14" s="6">
        <v>4</v>
      </c>
      <c r="I14" s="17">
        <f t="shared" si="7"/>
        <v>-2.508361204014958E-2</v>
      </c>
      <c r="J14" s="18">
        <f t="shared" si="8"/>
        <v>4.1834002677352974E-2</v>
      </c>
      <c r="K14" s="18">
        <f t="shared" si="9"/>
        <v>-0.15865063460253948</v>
      </c>
      <c r="L14" s="19">
        <f t="shared" si="10"/>
        <v>0.14237855946398953</v>
      </c>
      <c r="M14" s="20">
        <f t="shared" si="11"/>
        <v>1.195788746633647E-4</v>
      </c>
      <c r="N14" s="17">
        <f t="shared" si="1"/>
        <v>5.625000000007088E-9</v>
      </c>
      <c r="O14" s="18">
        <f t="shared" si="2"/>
        <v>1.5624999999982681E-8</v>
      </c>
      <c r="P14" s="18">
        <f t="shared" si="3"/>
        <v>2.2562500000000303E-7</v>
      </c>
      <c r="Q14" s="19">
        <f t="shared" si="4"/>
        <v>1.806250000000074E-7</v>
      </c>
      <c r="R14" s="20">
        <f t="shared" si="13"/>
        <v>3.7749172176353759E-4</v>
      </c>
      <c r="S14" s="20">
        <f t="shared" si="5"/>
        <v>0.12628308832099611</v>
      </c>
      <c r="T14" s="49" t="str">
        <f t="shared" si="12"/>
        <v>PASS</v>
      </c>
    </row>
    <row r="15" spans="1:20" ht="39.950000000000003" customHeight="1" thickBot="1" x14ac:dyDescent="0.3">
      <c r="A15" s="7" t="s">
        <v>17</v>
      </c>
      <c r="B15" s="7" t="s">
        <v>34</v>
      </c>
      <c r="C15" s="21">
        <f>0.4779-0.1792</f>
        <v>0.29869999999999997</v>
      </c>
      <c r="D15" s="22">
        <f>0.4779-0.1793</f>
        <v>0.29859999999999998</v>
      </c>
      <c r="E15" s="22">
        <f>0.4734-0.1749</f>
        <v>0.29849999999999999</v>
      </c>
      <c r="F15" s="23">
        <f>0.4776-0.1766</f>
        <v>0.30100000000000005</v>
      </c>
      <c r="G15" s="24">
        <f t="shared" si="6"/>
        <v>0.29920000000000002</v>
      </c>
      <c r="H15" s="7">
        <v>4</v>
      </c>
      <c r="I15" s="21">
        <f t="shared" si="7"/>
        <v>0.16739203213928891</v>
      </c>
      <c r="J15" s="22">
        <f t="shared" si="8"/>
        <v>0.20093770931012894</v>
      </c>
      <c r="K15" s="22">
        <f t="shared" si="9"/>
        <v>0.23450586264657755</v>
      </c>
      <c r="L15" s="23">
        <f t="shared" si="10"/>
        <v>-0.59800664451828023</v>
      </c>
      <c r="M15" s="24">
        <f>AVERAGE(I15:L15)</f>
        <v>1.2072398944288076E-3</v>
      </c>
      <c r="N15" s="21">
        <f t="shared" si="1"/>
        <v>2.5000000000005595E-7</v>
      </c>
      <c r="O15" s="22">
        <f t="shared" si="2"/>
        <v>3.6000000000005394E-7</v>
      </c>
      <c r="P15" s="22">
        <f t="shared" si="3"/>
        <v>4.9000000000004751E-7</v>
      </c>
      <c r="Q15" s="23">
        <f t="shared" si="4"/>
        <v>3.2400000000000859E-6</v>
      </c>
      <c r="R15" s="24">
        <f>SQRT((SUM(N15:Q15)/(H15-1)))</f>
        <v>1.202774570177948E-3</v>
      </c>
      <c r="S15" s="24">
        <f t="shared" si="5"/>
        <v>0.40199684832150667</v>
      </c>
      <c r="T15" s="54" t="str">
        <f t="shared" si="12"/>
        <v>PASS</v>
      </c>
    </row>
    <row r="16" spans="1:20" ht="39.950000000000003" customHeight="1" x14ac:dyDescent="0.25">
      <c r="A16" s="8" t="s">
        <v>18</v>
      </c>
      <c r="B16" s="8" t="s">
        <v>34</v>
      </c>
      <c r="C16" s="25">
        <f>0.2857-0.1866</f>
        <v>9.9100000000000021E-2</v>
      </c>
      <c r="D16" s="26">
        <f>0.2804-0.1812</f>
        <v>9.9199999999999983E-2</v>
      </c>
      <c r="E16" s="26">
        <f>0.2783-0.1786</f>
        <v>9.9699999999999983E-2</v>
      </c>
      <c r="F16" s="27">
        <f>0.2802-0.1802</f>
        <v>0.1</v>
      </c>
      <c r="G16" s="28">
        <f t="shared" si="6"/>
        <v>9.9500000000000005E-2</v>
      </c>
      <c r="H16" s="5">
        <v>4</v>
      </c>
      <c r="I16" s="25">
        <f t="shared" si="7"/>
        <v>0.40363269424821757</v>
      </c>
      <c r="J16" s="26">
        <f t="shared" si="8"/>
        <v>0.30241935483873239</v>
      </c>
      <c r="K16" s="26">
        <f t="shared" si="9"/>
        <v>-0.20060180541622669</v>
      </c>
      <c r="L16" s="27">
        <f t="shared" si="10"/>
        <v>-0.50000000000000044</v>
      </c>
      <c r="M16" s="28">
        <f t="shared" si="11"/>
        <v>1.3625609176807219E-3</v>
      </c>
      <c r="N16" s="25">
        <f t="shared" si="1"/>
        <v>1.5999999999998695E-7</v>
      </c>
      <c r="O16" s="26">
        <f t="shared" si="2"/>
        <v>9.0000000000013485E-8</v>
      </c>
      <c r="P16" s="26">
        <f t="shared" si="3"/>
        <v>3.9999999999991186E-8</v>
      </c>
      <c r="Q16" s="27">
        <f t="shared" si="4"/>
        <v>2.5000000000000047E-7</v>
      </c>
      <c r="R16" s="28">
        <f t="shared" si="13"/>
        <v>4.2426406871192541E-4</v>
      </c>
      <c r="S16" s="28">
        <f t="shared" si="5"/>
        <v>0.42639604895670896</v>
      </c>
      <c r="T16" s="37" t="str">
        <f t="shared" si="12"/>
        <v>PASS</v>
      </c>
    </row>
    <row r="17" spans="1:20" ht="39.950000000000003" customHeight="1" x14ac:dyDescent="0.25">
      <c r="A17" s="6" t="s">
        <v>19</v>
      </c>
      <c r="B17" s="6" t="s">
        <v>34</v>
      </c>
      <c r="C17" s="17">
        <f>0.2787-0.1783</f>
        <v>0.10040000000000002</v>
      </c>
      <c r="D17" s="18">
        <f>0.2811-0.1808</f>
        <v>0.10030000000000003</v>
      </c>
      <c r="E17" s="18">
        <f>0.2826-0.1824</f>
        <v>0.10020000000000001</v>
      </c>
      <c r="F17" s="19">
        <f>0.2849-0.1844</f>
        <v>0.10049999999999998</v>
      </c>
      <c r="G17" s="20">
        <f t="shared" si="6"/>
        <v>0.10035000000000001</v>
      </c>
      <c r="H17" s="6">
        <v>4</v>
      </c>
      <c r="I17" s="17">
        <f t="shared" si="7"/>
        <v>-4.9800796812757335E-2</v>
      </c>
      <c r="J17" s="18">
        <f t="shared" si="8"/>
        <v>4.9850448654018546E-2</v>
      </c>
      <c r="K17" s="18">
        <f t="shared" si="9"/>
        <v>0.14970059880239256</v>
      </c>
      <c r="L17" s="19">
        <f t="shared" si="10"/>
        <v>-0.14925373134325337</v>
      </c>
      <c r="M17" s="20">
        <f t="shared" si="11"/>
        <v>1.2412982510009996E-4</v>
      </c>
      <c r="N17" s="17">
        <f t="shared" si="1"/>
        <v>2.5000000000008372E-9</v>
      </c>
      <c r="O17" s="18">
        <f t="shared" si="2"/>
        <v>2.4999999999980616E-9</v>
      </c>
      <c r="P17" s="18">
        <f t="shared" si="3"/>
        <v>2.2499999999999209E-8</v>
      </c>
      <c r="Q17" s="19">
        <f t="shared" si="4"/>
        <v>2.2499999999990881E-8</v>
      </c>
      <c r="R17" s="20">
        <f t="shared" si="13"/>
        <v>1.2909944487356635E-4</v>
      </c>
      <c r="S17" s="20">
        <f t="shared" si="5"/>
        <v>0.12864917276887528</v>
      </c>
      <c r="T17" s="49" t="str">
        <f t="shared" si="12"/>
        <v>PASS</v>
      </c>
    </row>
    <row r="18" spans="1:20" ht="39.950000000000003" customHeight="1" x14ac:dyDescent="0.25">
      <c r="A18" s="6" t="s">
        <v>20</v>
      </c>
      <c r="B18" s="6" t="s">
        <v>34</v>
      </c>
      <c r="C18" s="17">
        <f>0.2808-0.1808</f>
        <v>0.1</v>
      </c>
      <c r="D18" s="18">
        <f>0.28-0.1795</f>
        <v>0.10050000000000003</v>
      </c>
      <c r="E18" s="18">
        <f>0.283-0.1826</f>
        <v>0.10039999999999996</v>
      </c>
      <c r="F18" s="19">
        <f>0.28-0.1793</f>
        <v>0.10070000000000004</v>
      </c>
      <c r="G18" s="20">
        <f t="shared" si="6"/>
        <v>0.10040000000000002</v>
      </c>
      <c r="H18" s="6">
        <v>4</v>
      </c>
      <c r="I18" s="17">
        <f t="shared" si="7"/>
        <v>0.40000000000001146</v>
      </c>
      <c r="J18" s="18">
        <f t="shared" si="8"/>
        <v>-9.9502487562205685E-2</v>
      </c>
      <c r="K18" s="18">
        <f t="shared" si="9"/>
        <v>5.5289991266193077E-14</v>
      </c>
      <c r="L18" s="19">
        <f t="shared" si="10"/>
        <v>-0.29791459781531515</v>
      </c>
      <c r="M18" s="20">
        <f t="shared" si="11"/>
        <v>6.4572865563647386E-4</v>
      </c>
      <c r="N18" s="17">
        <f t="shared" si="1"/>
        <v>1.6000000000000916E-7</v>
      </c>
      <c r="O18" s="18">
        <f t="shared" si="2"/>
        <v>1.0000000000003349E-8</v>
      </c>
      <c r="P18" s="18">
        <f t="shared" si="3"/>
        <v>3.0814879110195774E-33</v>
      </c>
      <c r="Q18" s="19">
        <f t="shared" si="4"/>
        <v>9.0000000000013485E-8</v>
      </c>
      <c r="R18" s="20">
        <f t="shared" si="13"/>
        <v>2.943920288776096E-4</v>
      </c>
      <c r="S18" s="20">
        <f t="shared" si="5"/>
        <v>0.2932191522685354</v>
      </c>
      <c r="T18" s="49" t="str">
        <f t="shared" si="12"/>
        <v>PASS</v>
      </c>
    </row>
    <row r="19" spans="1:20" ht="39.950000000000003" customHeight="1" thickBot="1" x14ac:dyDescent="0.3">
      <c r="A19" s="7" t="s">
        <v>21</v>
      </c>
      <c r="B19" s="7" t="s">
        <v>35</v>
      </c>
      <c r="C19" s="21">
        <f>0.2784-0.1808</f>
        <v>9.7599999999999992E-2</v>
      </c>
      <c r="D19" s="22">
        <f>0.278-0.182</f>
        <v>9.600000000000003E-2</v>
      </c>
      <c r="E19" s="22">
        <f>0.2849-0.1847</f>
        <v>0.10019999999999998</v>
      </c>
      <c r="F19" s="23">
        <f>0.281-0.1813</f>
        <v>9.9700000000000039E-2</v>
      </c>
      <c r="G19" s="24">
        <f t="shared" si="6"/>
        <v>9.8375000000000018E-2</v>
      </c>
      <c r="H19" s="7">
        <v>4</v>
      </c>
      <c r="I19" s="21">
        <f t="shared" si="7"/>
        <v>0.79405737704920665</v>
      </c>
      <c r="J19" s="22">
        <f t="shared" si="8"/>
        <v>2.4739583333333202</v>
      </c>
      <c r="K19" s="22">
        <f t="shared" si="9"/>
        <v>-1.8213572854291076</v>
      </c>
      <c r="L19" s="23">
        <f t="shared" si="10"/>
        <v>-1.3289869608826681</v>
      </c>
      <c r="M19" s="24">
        <f t="shared" si="11"/>
        <v>2.9417866017687755E-2</v>
      </c>
      <c r="N19" s="21">
        <f t="shared" si="1"/>
        <v>6.0062500000003978E-7</v>
      </c>
      <c r="O19" s="22">
        <f t="shared" si="2"/>
        <v>5.640624999999944E-6</v>
      </c>
      <c r="P19" s="22">
        <f t="shared" si="3"/>
        <v>3.3306249999998742E-6</v>
      </c>
      <c r="Q19" s="23">
        <f t="shared" si="4"/>
        <v>1.7556250000000547E-6</v>
      </c>
      <c r="R19" s="24">
        <f t="shared" si="13"/>
        <v>1.9431503630273454E-3</v>
      </c>
      <c r="S19" s="24">
        <f t="shared" si="5"/>
        <v>1.9752481453899315</v>
      </c>
      <c r="T19" s="54" t="str">
        <f t="shared" si="12"/>
        <v>PASS</v>
      </c>
    </row>
    <row r="20" spans="1:20" ht="39.950000000000003" customHeight="1" x14ac:dyDescent="0.25">
      <c r="A20" s="8" t="s">
        <v>22</v>
      </c>
      <c r="B20" s="8" t="s">
        <v>34</v>
      </c>
      <c r="C20" s="25">
        <f>0.1942-0.1845</f>
        <v>9.7000000000000142E-3</v>
      </c>
      <c r="D20" s="26">
        <f>0.1905-0.1805</f>
        <v>1.0000000000000009E-2</v>
      </c>
      <c r="E20" s="26">
        <f>0.1959-0.186</f>
        <v>9.8999999999999921E-3</v>
      </c>
      <c r="F20" s="27">
        <f>0.1885-0.1789</f>
        <v>9.5999999999999974E-3</v>
      </c>
      <c r="G20" s="28">
        <f t="shared" si="6"/>
        <v>9.8000000000000032E-3</v>
      </c>
      <c r="H20" s="5">
        <v>4</v>
      </c>
      <c r="I20" s="25">
        <f t="shared" si="7"/>
        <v>1.0309278350514313</v>
      </c>
      <c r="J20" s="26">
        <f t="shared" si="8"/>
        <v>-2.0000000000000555</v>
      </c>
      <c r="K20" s="26">
        <f t="shared" si="9"/>
        <v>-1.0101010101008996</v>
      </c>
      <c r="L20" s="27">
        <f t="shared" si="10"/>
        <v>2.0833333333333934</v>
      </c>
      <c r="M20" s="28">
        <f t="shared" si="11"/>
        <v>2.6040039570967399E-2</v>
      </c>
      <c r="N20" s="25">
        <f t="shared" si="1"/>
        <v>9.9999999999977966E-9</v>
      </c>
      <c r="O20" s="26">
        <f t="shared" si="2"/>
        <v>4.000000000000229E-8</v>
      </c>
      <c r="P20" s="26">
        <f t="shared" si="3"/>
        <v>9.9999999999977966E-9</v>
      </c>
      <c r="Q20" s="27">
        <f t="shared" si="4"/>
        <v>4.000000000000229E-8</v>
      </c>
      <c r="R20" s="28">
        <f t="shared" si="13"/>
        <v>1.8257418583505553E-4</v>
      </c>
      <c r="S20" s="28">
        <f t="shared" si="5"/>
        <v>1.8630018962760764</v>
      </c>
      <c r="T20" s="37" t="str">
        <f t="shared" si="12"/>
        <v>PASS</v>
      </c>
    </row>
    <row r="21" spans="1:20" ht="39.950000000000003" customHeight="1" x14ac:dyDescent="0.25">
      <c r="A21" s="6" t="s">
        <v>23</v>
      </c>
      <c r="B21" s="6" t="s">
        <v>34</v>
      </c>
      <c r="C21" s="17">
        <f>0.1913-0.1817</f>
        <v>9.5999999999999974E-3</v>
      </c>
      <c r="D21" s="18">
        <f>0.1963-0.1863</f>
        <v>1.0000000000000009E-2</v>
      </c>
      <c r="E21" s="18">
        <f>0.1912-0.1817</f>
        <v>9.5000000000000084E-3</v>
      </c>
      <c r="F21" s="19">
        <f>0.1885-0.1787</f>
        <v>9.8000000000000032E-3</v>
      </c>
      <c r="G21" s="20">
        <f t="shared" si="6"/>
        <v>9.7250000000000045E-3</v>
      </c>
      <c r="H21" s="6">
        <v>4</v>
      </c>
      <c r="I21" s="17">
        <f t="shared" si="7"/>
        <v>1.3020833333334072</v>
      </c>
      <c r="J21" s="18">
        <f t="shared" si="8"/>
        <v>-2.7500000000000417</v>
      </c>
      <c r="K21" s="18">
        <f t="shared" si="9"/>
        <v>2.3684210526315352</v>
      </c>
      <c r="L21" s="19">
        <f t="shared" si="10"/>
        <v>-0.7653061224489659</v>
      </c>
      <c r="M21" s="20">
        <f t="shared" si="11"/>
        <v>3.8799565878983699E-2</v>
      </c>
      <c r="N21" s="17">
        <f t="shared" si="1"/>
        <v>1.5625000000001763E-8</v>
      </c>
      <c r="O21" s="18">
        <f t="shared" si="2"/>
        <v>7.5625000000002426E-8</v>
      </c>
      <c r="P21" s="18">
        <f t="shared" si="3"/>
        <v>5.0624999999998218E-8</v>
      </c>
      <c r="Q21" s="19">
        <f t="shared" si="4"/>
        <v>5.6249999999998022E-9</v>
      </c>
      <c r="R21" s="20">
        <f t="shared" si="13"/>
        <v>2.2173557826083616E-4</v>
      </c>
      <c r="S21" s="20">
        <f t="shared" si="5"/>
        <v>2.2800573600085969</v>
      </c>
      <c r="T21" s="49" t="str">
        <f t="shared" si="12"/>
        <v>PASS</v>
      </c>
    </row>
    <row r="22" spans="1:20" ht="39.950000000000003" customHeight="1" x14ac:dyDescent="0.25">
      <c r="A22" s="6" t="s">
        <v>24</v>
      </c>
      <c r="B22" s="6" t="s">
        <v>34</v>
      </c>
      <c r="C22" s="17">
        <f>0.1896-0.18</f>
        <v>9.5999999999999974E-3</v>
      </c>
      <c r="D22" s="18">
        <f>0.1888-0.1787</f>
        <v>1.0099999999999998E-2</v>
      </c>
      <c r="E22" s="18">
        <f>0.1903-0.1804</f>
        <v>9.8999999999999921E-3</v>
      </c>
      <c r="F22" s="19">
        <f>0.1917-0.1819</f>
        <v>9.8000000000000032E-3</v>
      </c>
      <c r="G22" s="20">
        <f t="shared" si="6"/>
        <v>9.8499999999999976E-3</v>
      </c>
      <c r="H22" s="6">
        <v>4</v>
      </c>
      <c r="I22" s="17">
        <f t="shared" si="7"/>
        <v>2.6041666666666696</v>
      </c>
      <c r="J22" s="18">
        <f t="shared" si="8"/>
        <v>-2.4752475247524779</v>
      </c>
      <c r="K22" s="18">
        <f t="shared" si="9"/>
        <v>-0.50505050505044979</v>
      </c>
      <c r="L22" s="19">
        <f t="shared" si="10"/>
        <v>0.51020408163259667</v>
      </c>
      <c r="M22" s="20">
        <f t="shared" si="11"/>
        <v>3.3518179624084654E-2</v>
      </c>
      <c r="N22" s="17">
        <f t="shared" si="1"/>
        <v>6.2500000000000116E-8</v>
      </c>
      <c r="O22" s="18">
        <f t="shared" si="2"/>
        <v>6.2500000000000116E-8</v>
      </c>
      <c r="P22" s="18">
        <f t="shared" si="3"/>
        <v>2.4999999999994492E-9</v>
      </c>
      <c r="Q22" s="19">
        <f t="shared" si="4"/>
        <v>2.4999999999994492E-9</v>
      </c>
      <c r="R22" s="20">
        <f t="shared" si="13"/>
        <v>2.0816659994661257E-4</v>
      </c>
      <c r="S22" s="20">
        <f t="shared" si="5"/>
        <v>2.1133664969199253</v>
      </c>
      <c r="T22" s="49" t="str">
        <f t="shared" si="12"/>
        <v>PASS</v>
      </c>
    </row>
    <row r="23" spans="1:20" ht="39.950000000000003" customHeight="1" x14ac:dyDescent="0.25">
      <c r="A23" s="6" t="s">
        <v>25</v>
      </c>
      <c r="B23" s="6" t="s">
        <v>34</v>
      </c>
      <c r="C23" s="17">
        <f>0.1967-0.1867</f>
        <v>1.0000000000000009E-2</v>
      </c>
      <c r="D23" s="18">
        <f>0.1929-0.1827</f>
        <v>1.0199999999999987E-2</v>
      </c>
      <c r="E23" s="18">
        <f>0.1913-0.1815</f>
        <v>9.8000000000000032E-3</v>
      </c>
      <c r="F23" s="19">
        <f>0.1913-0.1814</f>
        <v>9.8999999999999921E-3</v>
      </c>
      <c r="G23" s="20">
        <f t="shared" si="6"/>
        <v>9.9749999999999978E-3</v>
      </c>
      <c r="H23" s="6">
        <v>4</v>
      </c>
      <c r="I23" s="17">
        <f t="shared" si="7"/>
        <v>-0.25000000000011102</v>
      </c>
      <c r="J23" s="18">
        <f t="shared" si="8"/>
        <v>-2.2058823529410723</v>
      </c>
      <c r="K23" s="18">
        <f t="shared" si="9"/>
        <v>1.7857142857142301</v>
      </c>
      <c r="L23" s="19">
        <f t="shared" si="10"/>
        <v>0.75757575757581497</v>
      </c>
      <c r="M23" s="20">
        <f t="shared" si="11"/>
        <v>2.1851922587215439E-2</v>
      </c>
      <c r="N23" s="17">
        <f t="shared" si="1"/>
        <v>6.2500000000055619E-10</v>
      </c>
      <c r="O23" s="18">
        <f t="shared" si="2"/>
        <v>5.0624999999995095E-8</v>
      </c>
      <c r="P23" s="18">
        <f t="shared" si="3"/>
        <v>3.0624999999998112E-8</v>
      </c>
      <c r="Q23" s="19">
        <f t="shared" si="4"/>
        <v>5.6250000000008428E-9</v>
      </c>
      <c r="R23" s="20">
        <f t="shared" si="13"/>
        <v>1.7078251276598806E-4</v>
      </c>
      <c r="S23" s="20">
        <f t="shared" si="5"/>
        <v>1.7121053911377253</v>
      </c>
      <c r="T23" s="49" t="str">
        <f t="shared" si="12"/>
        <v>PASS</v>
      </c>
    </row>
    <row r="24" spans="1:20" ht="39.950000000000003" customHeight="1" thickBot="1" x14ac:dyDescent="0.3">
      <c r="A24" s="7" t="s">
        <v>26</v>
      </c>
      <c r="B24" s="7" t="s">
        <v>34</v>
      </c>
      <c r="C24" s="21">
        <f>0.1911-0.181</f>
        <v>1.0099999999999998E-2</v>
      </c>
      <c r="D24" s="22">
        <f>0.1897-0.1795</f>
        <v>1.0200000000000015E-2</v>
      </c>
      <c r="E24" s="22">
        <f>0.194-0.184</f>
        <v>1.0000000000000009E-2</v>
      </c>
      <c r="F24" s="23">
        <f>0.1884-0.1787</f>
        <v>9.7000000000000142E-3</v>
      </c>
      <c r="G24" s="24">
        <f t="shared" si="6"/>
        <v>1.0000000000000009E-2</v>
      </c>
      <c r="H24" s="7">
        <v>4</v>
      </c>
      <c r="I24" s="21">
        <f t="shared" si="7"/>
        <v>-0.99009900990088129</v>
      </c>
      <c r="J24" s="22">
        <f t="shared" si="8"/>
        <v>-1.9607843137255436</v>
      </c>
      <c r="K24" s="22">
        <f t="shared" si="9"/>
        <v>0</v>
      </c>
      <c r="L24" s="23">
        <f t="shared" si="10"/>
        <v>3.0927835051545802</v>
      </c>
      <c r="M24" s="24">
        <f t="shared" si="11"/>
        <v>3.5475045382038828E-2</v>
      </c>
      <c r="N24" s="21">
        <f t="shared" si="1"/>
        <v>9.9999999999977966E-9</v>
      </c>
      <c r="O24" s="22">
        <f t="shared" si="2"/>
        <v>4.000000000000229E-8</v>
      </c>
      <c r="P24" s="22">
        <f t="shared" si="3"/>
        <v>0</v>
      </c>
      <c r="Q24" s="23">
        <f t="shared" si="4"/>
        <v>8.9999999999996835E-8</v>
      </c>
      <c r="R24" s="24">
        <f t="shared" si="13"/>
        <v>2.160246899469263E-4</v>
      </c>
      <c r="S24" s="24">
        <f t="shared" si="5"/>
        <v>2.1602468994692612</v>
      </c>
      <c r="T24" s="54" t="str">
        <f t="shared" si="12"/>
        <v>PASS</v>
      </c>
    </row>
    <row r="25" spans="1:20" ht="39.950000000000003" customHeight="1" x14ac:dyDescent="0.25">
      <c r="A25" s="8" t="s">
        <v>27</v>
      </c>
      <c r="B25" s="8" t="s">
        <v>34</v>
      </c>
      <c r="C25" s="25">
        <f>0.1788-0.1763</f>
        <v>2.4999999999999745E-3</v>
      </c>
      <c r="D25" s="26">
        <f>0.1801-0.1769</f>
        <v>3.2000000000000084E-3</v>
      </c>
      <c r="E25" s="26">
        <f>0.1782-0.1756</f>
        <v>2.5999999999999912E-3</v>
      </c>
      <c r="F25" s="27">
        <f>0.1816-0.1789</f>
        <v>2.7000000000000079E-3</v>
      </c>
      <c r="G25" s="28">
        <f t="shared" si="6"/>
        <v>2.7499999999999955E-3</v>
      </c>
      <c r="H25" s="5">
        <v>4</v>
      </c>
      <c r="I25" s="25">
        <f t="shared" si="7"/>
        <v>10.000000000000943</v>
      </c>
      <c r="J25" s="26">
        <f t="shared" si="8"/>
        <v>-14.062500000000366</v>
      </c>
      <c r="K25" s="26">
        <f t="shared" si="9"/>
        <v>5.7692307692309539</v>
      </c>
      <c r="L25" s="27">
        <f t="shared" si="10"/>
        <v>1.8518518518513853</v>
      </c>
      <c r="M25" s="28">
        <f t="shared" si="11"/>
        <v>0.88964565527072914</v>
      </c>
      <c r="N25" s="25">
        <f t="shared" si="1"/>
        <v>6.2500000000010519E-8</v>
      </c>
      <c r="O25" s="26">
        <f t="shared" si="2"/>
        <v>2.0250000000001161E-7</v>
      </c>
      <c r="P25" s="26">
        <f t="shared" si="3"/>
        <v>2.250000000000129E-8</v>
      </c>
      <c r="Q25" s="27">
        <f t="shared" si="4"/>
        <v>2.4999999999987556E-9</v>
      </c>
      <c r="R25" s="28">
        <f t="shared" si="13"/>
        <v>3.1091263510297238E-4</v>
      </c>
      <c r="S25" s="28">
        <f t="shared" si="5"/>
        <v>11.305914003744467</v>
      </c>
      <c r="T25" s="37" t="str">
        <f>IF(OR(M25&lt;-0.06,M25&gt;0.06),"FAIL","PASS")</f>
        <v>FAIL</v>
      </c>
    </row>
    <row r="26" spans="1:20" ht="39.950000000000003" customHeight="1" x14ac:dyDescent="0.25">
      <c r="A26" s="6" t="s">
        <v>28</v>
      </c>
      <c r="B26" s="6" t="s">
        <v>34</v>
      </c>
      <c r="C26" s="17">
        <f>0.1855-0.183</f>
        <v>2.5000000000000022E-3</v>
      </c>
      <c r="D26" s="18">
        <f>0.1841-0.1817</f>
        <v>2.4000000000000132E-3</v>
      </c>
      <c r="E26" s="18">
        <f>0.183-0.1807</f>
        <v>2.2999999999999965E-3</v>
      </c>
      <c r="F26" s="19">
        <f>0.1818-0.1791</f>
        <v>2.6999999999999802E-3</v>
      </c>
      <c r="G26" s="20">
        <f t="shared" si="6"/>
        <v>2.474999999999998E-3</v>
      </c>
      <c r="H26" s="6">
        <v>4</v>
      </c>
      <c r="I26" s="17">
        <f t="shared" si="7"/>
        <v>-1.0000000000001665</v>
      </c>
      <c r="J26" s="18">
        <f t="shared" si="8"/>
        <v>3.1249999999993494</v>
      </c>
      <c r="K26" s="18">
        <f t="shared" si="9"/>
        <v>7.6086956521739921</v>
      </c>
      <c r="L26" s="19">
        <f t="shared" si="10"/>
        <v>-8.3333333333327335</v>
      </c>
      <c r="M26" s="20">
        <f t="shared" si="11"/>
        <v>0.35009057971011037</v>
      </c>
      <c r="N26" s="17">
        <f t="shared" si="1"/>
        <v>6.2500000000020929E-10</v>
      </c>
      <c r="O26" s="18">
        <f t="shared" si="2"/>
        <v>5.6249999999977202E-9</v>
      </c>
      <c r="P26" s="18">
        <f t="shared" si="3"/>
        <v>3.0625000000000541E-8</v>
      </c>
      <c r="Q26" s="19">
        <f t="shared" si="4"/>
        <v>5.0624999999991971E-8</v>
      </c>
      <c r="R26" s="20">
        <f t="shared" si="13"/>
        <v>1.7078251276598399E-4</v>
      </c>
      <c r="S26" s="20">
        <f t="shared" si="5"/>
        <v>6.9003035461003686</v>
      </c>
      <c r="T26" s="49" t="str">
        <f t="shared" si="12"/>
        <v>FAIL</v>
      </c>
    </row>
    <row r="27" spans="1:20" ht="39.950000000000003" customHeight="1" thickBot="1" x14ac:dyDescent="0.3">
      <c r="A27" s="7" t="s">
        <v>29</v>
      </c>
      <c r="B27" s="7" t="s">
        <v>34</v>
      </c>
      <c r="C27" s="21">
        <f>0.1819-0.1796</f>
        <v>2.2999999999999965E-3</v>
      </c>
      <c r="D27" s="22">
        <f>0.1866-0.1839</f>
        <v>2.6999999999999802E-3</v>
      </c>
      <c r="E27" s="22">
        <f>0.1813-0.179</f>
        <v>2.2999999999999965E-3</v>
      </c>
      <c r="F27" s="23">
        <f>0.1819-0.1794</f>
        <v>2.5000000000000022E-3</v>
      </c>
      <c r="G27" s="24">
        <f t="shared" si="6"/>
        <v>2.4499999999999938E-3</v>
      </c>
      <c r="H27" s="7">
        <v>4</v>
      </c>
      <c r="I27" s="21">
        <f t="shared" si="7"/>
        <v>6.5217391304346775</v>
      </c>
      <c r="J27" s="22">
        <f t="shared" si="8"/>
        <v>-9.2592592592588208</v>
      </c>
      <c r="K27" s="22">
        <f t="shared" si="9"/>
        <v>6.5217391304346775</v>
      </c>
      <c r="L27" s="23">
        <f t="shared" si="10"/>
        <v>-2.0000000000003331</v>
      </c>
      <c r="M27" s="24">
        <f t="shared" si="11"/>
        <v>0.44605475040255027</v>
      </c>
      <c r="N27" s="21">
        <f t="shared" si="1"/>
        <v>2.2499999999999209E-8</v>
      </c>
      <c r="O27" s="22">
        <f t="shared" si="2"/>
        <v>6.2499999999993168E-8</v>
      </c>
      <c r="P27" s="22">
        <f t="shared" si="3"/>
        <v>2.2499999999999209E-8</v>
      </c>
      <c r="Q27" s="23">
        <f t="shared" si="4"/>
        <v>2.5000000000008372E-9</v>
      </c>
      <c r="R27" s="24">
        <f t="shared" si="13"/>
        <v>1.9148542155126102E-4</v>
      </c>
      <c r="S27" s="24">
        <f t="shared" si="5"/>
        <v>7.8157314918882239</v>
      </c>
      <c r="T27" s="49" t="str">
        <f t="shared" si="12"/>
        <v>FAIL</v>
      </c>
    </row>
    <row r="28" spans="1:20" ht="39.950000000000003" customHeight="1" thickBot="1" x14ac:dyDescent="0.3">
      <c r="A28" s="7" t="s">
        <v>30</v>
      </c>
      <c r="B28" s="7" t="s">
        <v>34</v>
      </c>
      <c r="C28" s="21">
        <f>0.1883-0.1864</f>
        <v>1.899999999999985E-3</v>
      </c>
      <c r="D28" s="22">
        <f>0.1826-0.1807</f>
        <v>1.9000000000000128E-3</v>
      </c>
      <c r="E28" s="22">
        <f>0.182-0.18</f>
        <v>2.0000000000000018E-3</v>
      </c>
      <c r="F28" s="23">
        <f>0.1857-0.1833</f>
        <v>2.4000000000000132E-3</v>
      </c>
      <c r="G28" s="24">
        <f t="shared" si="6"/>
        <v>2.0500000000000032E-3</v>
      </c>
      <c r="H28" s="1">
        <v>4</v>
      </c>
      <c r="I28" s="21">
        <f t="shared" si="7"/>
        <v>7.8947368421062816</v>
      </c>
      <c r="J28" s="22">
        <f t="shared" si="8"/>
        <v>7.8947368421047059</v>
      </c>
      <c r="K28" s="22">
        <f t="shared" si="9"/>
        <v>2.5000000000000693</v>
      </c>
      <c r="L28" s="23">
        <f>IF(NOT(F28=0),100*($G28-F28)/F28,"NaN")</f>
        <v>-14.583333333333671</v>
      </c>
      <c r="M28" s="24">
        <f t="shared" si="11"/>
        <v>0.92653508771934634</v>
      </c>
      <c r="N28" s="21">
        <f t="shared" si="1"/>
        <v>2.2500000000005452E-8</v>
      </c>
      <c r="O28" s="22">
        <f t="shared" si="2"/>
        <v>2.2499999999997124E-8</v>
      </c>
      <c r="P28" s="22">
        <f t="shared" si="3"/>
        <v>2.5000000000001432E-9</v>
      </c>
      <c r="Q28" s="23">
        <f t="shared" si="4"/>
        <v>1.2250000000000701E-7</v>
      </c>
      <c r="R28" s="24">
        <f t="shared" si="13"/>
        <v>2.3804761428476847E-4</v>
      </c>
      <c r="S28" s="24">
        <f t="shared" si="5"/>
        <v>11.612078745598444</v>
      </c>
      <c r="T28" s="54" t="str">
        <f t="shared" si="12"/>
        <v>FAIL</v>
      </c>
    </row>
  </sheetData>
  <mergeCells count="3">
    <mergeCell ref="C1:F1"/>
    <mergeCell ref="I1:L1"/>
    <mergeCell ref="N1:Q1"/>
  </mergeCells>
  <conditionalFormatting sqref="T2:T28">
    <cfRule type="containsText" dxfId="7" priority="1" operator="containsText" text="PASS">
      <formula>NOT(ISERROR(SEARCH("PASS",T2)))</formula>
    </cfRule>
    <cfRule type="containsText" dxfId="6" priority="2" operator="containsText" text="FAIL">
      <formula>NOT(ISERROR(SEARCH("FAIL",T2)))</formula>
    </cfRule>
  </conditionalFormatting>
  <pageMargins left="0.25" right="0.25" top="0.75" bottom="0.75" header="0.3" footer="0.3"/>
  <pageSetup scale="76" fitToHeight="0" orientation="portrait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text="PASS" id="{15B3FF0D-D114-43BA-A476-161C30E08A9D}">
            <xm:f>NOT(ISERROR(SEARCH("PASS",'10% Volume Calculations'!T2)))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4" operator="containsText" text="FAIL" id="{145DF29D-7887-46E5-849A-911A6E288CC5}">
            <xm:f>NOT(ISERROR(SEARCH("FAIL",'10% Volume Calculations'!T2)))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T2:T28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ED00D-EEDF-4090-8FF7-9371CEAA3175}">
  <sheetPr>
    <pageSetUpPr fitToPage="1"/>
  </sheetPr>
  <dimension ref="A1:T28"/>
  <sheetViews>
    <sheetView topLeftCell="A13" zoomScale="80" zoomScaleNormal="80" workbookViewId="0">
      <selection activeCell="T2" sqref="T2:T28"/>
    </sheetView>
  </sheetViews>
  <sheetFormatPr defaultColWidth="8.140625" defaultRowHeight="39.950000000000003" customHeight="1" x14ac:dyDescent="0.25"/>
  <cols>
    <col min="1" max="1" width="12" style="36" bestFit="1" customWidth="1"/>
    <col min="2" max="2" width="11" style="36" bestFit="1" customWidth="1"/>
    <col min="3" max="6" width="8" style="36" bestFit="1" customWidth="1"/>
    <col min="7" max="7" width="8.7109375" style="36" bestFit="1" customWidth="1"/>
    <col min="8" max="8" width="9.5703125" style="36" bestFit="1" customWidth="1"/>
    <col min="9" max="9" width="10" style="36" bestFit="1" customWidth="1"/>
    <col min="10" max="10" width="10.5703125" style="36" bestFit="1" customWidth="1"/>
    <col min="11" max="11" width="10" style="36" bestFit="1" customWidth="1"/>
    <col min="12" max="12" width="10.5703125" style="36" bestFit="1" customWidth="1"/>
    <col min="13" max="13" width="10" style="36" bestFit="1" customWidth="1"/>
    <col min="14" max="18" width="8" style="36" bestFit="1" customWidth="1"/>
    <col min="19" max="19" width="14.85546875" style="36" bestFit="1" customWidth="1"/>
    <col min="20" max="20" width="12" style="36" bestFit="1" customWidth="1"/>
    <col min="21" max="16384" width="8.140625" style="36"/>
  </cols>
  <sheetData>
    <row r="1" spans="1:20" ht="43.5" thickBot="1" x14ac:dyDescent="0.3">
      <c r="A1" s="33" t="s">
        <v>0</v>
      </c>
      <c r="B1" s="34" t="s">
        <v>1</v>
      </c>
      <c r="C1" s="68" t="s">
        <v>39</v>
      </c>
      <c r="D1" s="69"/>
      <c r="E1" s="69"/>
      <c r="F1" s="70"/>
      <c r="G1" s="35" t="s">
        <v>2</v>
      </c>
      <c r="H1" s="33" t="s">
        <v>32</v>
      </c>
      <c r="I1" s="71" t="s">
        <v>41</v>
      </c>
      <c r="J1" s="69"/>
      <c r="K1" s="69"/>
      <c r="L1" s="70"/>
      <c r="M1" s="35" t="s">
        <v>36</v>
      </c>
      <c r="N1" s="71" t="s">
        <v>3</v>
      </c>
      <c r="O1" s="69"/>
      <c r="P1" s="69"/>
      <c r="Q1" s="70"/>
      <c r="R1" s="35" t="s">
        <v>37</v>
      </c>
      <c r="S1" s="35" t="s">
        <v>40</v>
      </c>
      <c r="T1" s="34" t="s">
        <v>42</v>
      </c>
    </row>
    <row r="2" spans="1:20" ht="39.950000000000003" customHeight="1" x14ac:dyDescent="0.25">
      <c r="A2" s="37" t="s">
        <v>4</v>
      </c>
      <c r="B2" s="37" t="s">
        <v>34</v>
      </c>
      <c r="C2" s="38">
        <f>2.0047-0.9928</f>
        <v>1.0119000000000002</v>
      </c>
      <c r="D2" s="39">
        <f>1.9983-0.9889</f>
        <v>1.0093999999999999</v>
      </c>
      <c r="E2" s="39">
        <f>1.9844-0.9807</f>
        <v>1.0036999999999998</v>
      </c>
      <c r="F2" s="40">
        <f>2.007-0.9911</f>
        <v>1.0159000000000002</v>
      </c>
      <c r="G2" s="41">
        <f>AVERAGE(C2:F2)</f>
        <v>1.0102250000000002</v>
      </c>
      <c r="H2" s="37">
        <v>4</v>
      </c>
      <c r="I2" s="42">
        <f t="shared" ref="I2:I24" si="0">IF(NOT(C2=0),100*($G2-C2)/C2,"NaN")</f>
        <v>-0.16553019073031847</v>
      </c>
      <c r="J2" s="43">
        <f t="shared" ref="J2:J24" si="1">IF(NOT(D2=0),100*($G2-D2)/D2,"NaN")</f>
        <v>8.1731721814969072E-2</v>
      </c>
      <c r="K2" s="44">
        <f t="shared" ref="K2:K24" si="2">IF(NOT(E2=0),100*($G2-E2)/E2,"NaN")</f>
        <v>0.65009464979578935</v>
      </c>
      <c r="L2" s="45">
        <f t="shared" ref="L2:L24" si="3">IF(NOT(F2=0),100*($G2-F2)/F2,"NaN")</f>
        <v>-0.55861797421006942</v>
      </c>
      <c r="M2" s="46">
        <f>AVERAGE(I2:L2)</f>
        <v>1.9195516675926394E-3</v>
      </c>
      <c r="N2" s="38">
        <f t="shared" ref="N2:N28" si="4">(C2 - $G2)^2</f>
        <v>2.8056250000003116E-6</v>
      </c>
      <c r="O2" s="44">
        <f t="shared" ref="O2:O28" si="5">(D2 - $G2)^2</f>
        <v>6.8062500000049122E-7</v>
      </c>
      <c r="P2" s="44">
        <f t="shared" ref="P2:P28" si="6">(E2 - $G2)^2</f>
        <v>4.2575625000004385E-5</v>
      </c>
      <c r="Q2" s="45">
        <f t="shared" ref="Q2:Q28" si="7">(F2 - $G2)^2</f>
        <v>3.2205625000001095E-5</v>
      </c>
      <c r="R2" s="47">
        <f t="shared" ref="R2:R28" si="8">SQRT((SUM(N2:Q2)/(H2-1)))</f>
        <v>5.1077555410051446E-3</v>
      </c>
      <c r="S2" s="48">
        <f t="shared" ref="S2:S28" si="9">100*R2/G2</f>
        <v>0.50560573545548204</v>
      </c>
      <c r="T2" s="37" t="str">
        <f>IF(OR(M2&lt;-0.06,M2&gt;0.06),"FAIL","PASS")</f>
        <v>PASS</v>
      </c>
    </row>
    <row r="3" spans="1:20" ht="39.950000000000003" customHeight="1" x14ac:dyDescent="0.25">
      <c r="A3" s="49" t="s">
        <v>5</v>
      </c>
      <c r="B3" s="49" t="s">
        <v>34</v>
      </c>
      <c r="C3" s="50">
        <f>2.0147-0.9883</f>
        <v>1.0264</v>
      </c>
      <c r="D3" s="51">
        <f>2.023-0.9871</f>
        <v>1.0359000000000003</v>
      </c>
      <c r="E3" s="51">
        <f>2.0132-0.9835</f>
        <v>1.0296999999999998</v>
      </c>
      <c r="F3" s="52">
        <f>2.0251-1.005</f>
        <v>1.0201000000000002</v>
      </c>
      <c r="G3" s="53">
        <f t="shared" ref="G3:G28" si="10">AVERAGE(C3:F3)</f>
        <v>1.0280250000000002</v>
      </c>
      <c r="H3" s="49">
        <v>4</v>
      </c>
      <c r="I3" s="50">
        <f t="shared" si="0"/>
        <v>0.15832034294624023</v>
      </c>
      <c r="J3" s="51">
        <f t="shared" si="1"/>
        <v>-0.76020851433536774</v>
      </c>
      <c r="K3" s="51">
        <f t="shared" si="2"/>
        <v>-0.16266873846748076</v>
      </c>
      <c r="L3" s="52">
        <f t="shared" si="3"/>
        <v>0.77688461915498075</v>
      </c>
      <c r="M3" s="53">
        <f t="shared" ref="M3:M28" si="11">AVERAGE(I3:L3)</f>
        <v>3.0819273245931145E-3</v>
      </c>
      <c r="N3" s="50">
        <f t="shared" si="4"/>
        <v>2.6406250000006812E-6</v>
      </c>
      <c r="O3" s="51">
        <f t="shared" si="5"/>
        <v>6.2015625000001197E-5</v>
      </c>
      <c r="P3" s="51">
        <f t="shared" si="6"/>
        <v>2.8056249999988242E-6</v>
      </c>
      <c r="Q3" s="52">
        <f t="shared" si="7"/>
        <v>6.2805624999999365E-5</v>
      </c>
      <c r="R3" s="53">
        <f t="shared" si="8"/>
        <v>6.5895751001107819E-3</v>
      </c>
      <c r="S3" s="53">
        <f t="shared" si="9"/>
        <v>0.64099366261625745</v>
      </c>
      <c r="T3" s="49" t="str">
        <f t="shared" ref="T3:T28" si="12">IF(OR(M3&lt;-0.06,M3&gt;0.06),"FAIL","PASS")</f>
        <v>PASS</v>
      </c>
    </row>
    <row r="4" spans="1:20" ht="39.950000000000003" customHeight="1" thickBot="1" x14ac:dyDescent="0.3">
      <c r="A4" s="54" t="s">
        <v>6</v>
      </c>
      <c r="B4" s="54" t="s">
        <v>34</v>
      </c>
      <c r="C4" s="55">
        <f>1.978-0.9802</f>
        <v>0.99780000000000002</v>
      </c>
      <c r="D4" s="56">
        <f>1.998-0.9931</f>
        <v>1.0049000000000001</v>
      </c>
      <c r="E4" s="56">
        <f>2.0059-0.996</f>
        <v>1.0099</v>
      </c>
      <c r="F4" s="57">
        <f>1.9956-0.9845</f>
        <v>1.0110999999999999</v>
      </c>
      <c r="G4" s="58">
        <f t="shared" si="10"/>
        <v>1.005925</v>
      </c>
      <c r="H4" s="54">
        <v>4</v>
      </c>
      <c r="I4" s="55">
        <f t="shared" si="0"/>
        <v>0.81429144117056906</v>
      </c>
      <c r="J4" s="56">
        <f t="shared" si="1"/>
        <v>0.10200019902476182</v>
      </c>
      <c r="K4" s="56">
        <f t="shared" si="2"/>
        <v>-0.39360332706209145</v>
      </c>
      <c r="L4" s="57">
        <f t="shared" si="3"/>
        <v>-0.51181881119572048</v>
      </c>
      <c r="M4" s="58">
        <f t="shared" si="11"/>
        <v>2.7173754843797526E-3</v>
      </c>
      <c r="N4" s="55">
        <f t="shared" si="4"/>
        <v>6.6015624999998991E-5</v>
      </c>
      <c r="O4" s="56">
        <f t="shared" si="5"/>
        <v>1.0506249999996548E-6</v>
      </c>
      <c r="P4" s="56">
        <f t="shared" si="6"/>
        <v>1.5800625000000492E-5</v>
      </c>
      <c r="Q4" s="57">
        <f t="shared" si="7"/>
        <v>2.6780624999999272E-5</v>
      </c>
      <c r="R4" s="58">
        <f t="shared" si="8"/>
        <v>6.0455906797157663E-3</v>
      </c>
      <c r="S4" s="58">
        <f t="shared" si="9"/>
        <v>0.60099815390966194</v>
      </c>
      <c r="T4" s="54" t="str">
        <f t="shared" si="12"/>
        <v>PASS</v>
      </c>
    </row>
    <row r="5" spans="1:20" ht="39.950000000000003" customHeight="1" x14ac:dyDescent="0.25">
      <c r="A5" s="59" t="s">
        <v>7</v>
      </c>
      <c r="B5" s="59" t="s">
        <v>34</v>
      </c>
      <c r="C5" s="60">
        <f>1.9919-0.988</f>
        <v>1.0039</v>
      </c>
      <c r="D5" s="44">
        <f>1.9971-0.9946</f>
        <v>1.0024999999999999</v>
      </c>
      <c r="E5" s="44">
        <f>1.9811-0.9998</f>
        <v>0.98130000000000006</v>
      </c>
      <c r="F5" s="45">
        <f>1.9848-0.9877</f>
        <v>0.99709999999999988</v>
      </c>
      <c r="G5" s="48">
        <f t="shared" si="10"/>
        <v>0.99619999999999997</v>
      </c>
      <c r="H5" s="37">
        <v>4</v>
      </c>
      <c r="I5" s="60">
        <f t="shared" si="0"/>
        <v>-0.76700866620181696</v>
      </c>
      <c r="J5" s="44">
        <f t="shared" si="1"/>
        <v>-0.62842892768079528</v>
      </c>
      <c r="K5" s="44">
        <f t="shared" si="2"/>
        <v>1.5183939671863764</v>
      </c>
      <c r="L5" s="45">
        <f t="shared" si="3"/>
        <v>-9.0261759101384106E-2</v>
      </c>
      <c r="M5" s="48">
        <f t="shared" si="11"/>
        <v>8.1736535505950204E-3</v>
      </c>
      <c r="N5" s="60">
        <f t="shared" si="4"/>
        <v>5.929000000000062E-5</v>
      </c>
      <c r="O5" s="44">
        <f t="shared" si="5"/>
        <v>3.9689999999999649E-5</v>
      </c>
      <c r="P5" s="44">
        <f t="shared" si="6"/>
        <v>2.2200999999999742E-4</v>
      </c>
      <c r="Q5" s="45">
        <f t="shared" si="7"/>
        <v>8.0999999999982157E-7</v>
      </c>
      <c r="R5" s="48">
        <f t="shared" si="8"/>
        <v>1.0356962231594061E-2</v>
      </c>
      <c r="S5" s="48">
        <f t="shared" si="9"/>
        <v>1.0396468813083779</v>
      </c>
      <c r="T5" s="37" t="str">
        <f t="shared" si="12"/>
        <v>PASS</v>
      </c>
    </row>
    <row r="6" spans="1:20" ht="39.950000000000003" customHeight="1" thickBot="1" x14ac:dyDescent="0.3">
      <c r="A6" s="54" t="s">
        <v>8</v>
      </c>
      <c r="B6" s="54" t="s">
        <v>34</v>
      </c>
      <c r="C6" s="55">
        <f>1.9873-0.9876</f>
        <v>0.99970000000000003</v>
      </c>
      <c r="D6" s="56">
        <f>2.0182-0.9923</f>
        <v>1.0259000000000003</v>
      </c>
      <c r="E6" s="56">
        <f>2.0188-1.0043</f>
        <v>1.0145000000000002</v>
      </c>
      <c r="F6" s="57">
        <f>1.99-0.9838</f>
        <v>1.0062</v>
      </c>
      <c r="G6" s="58">
        <f t="shared" si="10"/>
        <v>1.0115750000000001</v>
      </c>
      <c r="H6" s="54">
        <v>4</v>
      </c>
      <c r="I6" s="55">
        <f t="shared" si="0"/>
        <v>1.1878563569070801</v>
      </c>
      <c r="J6" s="56">
        <f t="shared" si="1"/>
        <v>-1.3963349254313422</v>
      </c>
      <c r="K6" s="56">
        <f t="shared" si="2"/>
        <v>-0.28831936914736972</v>
      </c>
      <c r="L6" s="57">
        <f t="shared" si="3"/>
        <v>0.53418803418804706</v>
      </c>
      <c r="M6" s="58">
        <f t="shared" si="11"/>
        <v>9.3475241291038208E-3</v>
      </c>
      <c r="N6" s="55">
        <f t="shared" si="4"/>
        <v>1.410156250000019E-4</v>
      </c>
      <c r="O6" s="56">
        <f t="shared" si="5"/>
        <v>2.0520562500000411E-4</v>
      </c>
      <c r="P6" s="56">
        <f t="shared" si="6"/>
        <v>8.5556250000003879E-6</v>
      </c>
      <c r="Q6" s="57">
        <f t="shared" si="7"/>
        <v>2.8890625000001395E-5</v>
      </c>
      <c r="R6" s="58">
        <f t="shared" si="8"/>
        <v>1.1308809250609423E-2</v>
      </c>
      <c r="S6" s="58">
        <f t="shared" si="9"/>
        <v>1.1179407607552008</v>
      </c>
      <c r="T6" s="54" t="str">
        <f t="shared" si="12"/>
        <v>PASS</v>
      </c>
    </row>
    <row r="7" spans="1:20" ht="39.950000000000003" customHeight="1" x14ac:dyDescent="0.25">
      <c r="A7" s="59" t="s">
        <v>9</v>
      </c>
      <c r="B7" s="59" t="s">
        <v>34</v>
      </c>
      <c r="C7" s="60">
        <f>0.2834-0.1786</f>
        <v>0.10479999999999998</v>
      </c>
      <c r="D7" s="44">
        <f>0.2841-0.1801</f>
        <v>0.10400000000000001</v>
      </c>
      <c r="E7" s="44">
        <f>0.2837-0.179</f>
        <v>0.10470000000000002</v>
      </c>
      <c r="F7" s="45">
        <f>0.2764-0.1812</f>
        <v>9.5199999999999979E-2</v>
      </c>
      <c r="G7" s="48">
        <f t="shared" si="10"/>
        <v>0.10217499999999999</v>
      </c>
      <c r="H7" s="37">
        <v>4</v>
      </c>
      <c r="I7" s="60">
        <f t="shared" si="0"/>
        <v>-2.5047709923664017</v>
      </c>
      <c r="J7" s="44">
        <f t="shared" si="1"/>
        <v>-1.7548076923077125</v>
      </c>
      <c r="K7" s="44">
        <f t="shared" si="2"/>
        <v>-2.4116523400191276</v>
      </c>
      <c r="L7" s="45">
        <f t="shared" si="3"/>
        <v>7.3266806722689184</v>
      </c>
      <c r="M7" s="48">
        <f t="shared" si="11"/>
        <v>0.16386241189391915</v>
      </c>
      <c r="N7" s="60">
        <f t="shared" si="4"/>
        <v>6.8906249999999396E-6</v>
      </c>
      <c r="O7" s="44">
        <f t="shared" si="5"/>
        <v>3.3306250000000766E-6</v>
      </c>
      <c r="P7" s="44">
        <f t="shared" si="6"/>
        <v>6.3756250000001377E-6</v>
      </c>
      <c r="Q7" s="45">
        <f t="shared" si="7"/>
        <v>4.8650625000000129E-5</v>
      </c>
      <c r="R7" s="48">
        <f t="shared" si="8"/>
        <v>4.6636001829773923E-3</v>
      </c>
      <c r="S7" s="48">
        <f t="shared" si="9"/>
        <v>4.5643260905088257</v>
      </c>
      <c r="T7" s="37" t="str">
        <f t="shared" si="12"/>
        <v>FAIL</v>
      </c>
    </row>
    <row r="8" spans="1:20" ht="39.950000000000003" customHeight="1" x14ac:dyDescent="0.25">
      <c r="A8" s="49" t="s">
        <v>10</v>
      </c>
      <c r="B8" s="49" t="s">
        <v>35</v>
      </c>
      <c r="C8" s="50">
        <f>0.284-0.1791</f>
        <v>0.10489999999999997</v>
      </c>
      <c r="D8" s="51">
        <f>0.2883-0.1848</f>
        <v>0.10350000000000001</v>
      </c>
      <c r="E8" s="51">
        <f>0.2843-0.181</f>
        <v>0.1033</v>
      </c>
      <c r="F8" s="52">
        <f>0.2826-0.1803</f>
        <v>0.10230000000000003</v>
      </c>
      <c r="G8" s="53">
        <f t="shared" si="10"/>
        <v>0.10350000000000001</v>
      </c>
      <c r="H8" s="49">
        <v>4</v>
      </c>
      <c r="I8" s="50">
        <f t="shared" si="0"/>
        <v>-1.3346043851286533</v>
      </c>
      <c r="J8" s="51">
        <f t="shared" si="1"/>
        <v>0</v>
      </c>
      <c r="K8" s="51">
        <f t="shared" si="2"/>
        <v>0.19361084220716915</v>
      </c>
      <c r="L8" s="52">
        <f t="shared" si="3"/>
        <v>1.1730205278592165</v>
      </c>
      <c r="M8" s="53">
        <f t="shared" si="11"/>
        <v>8.0067462344330931E-3</v>
      </c>
      <c r="N8" s="50">
        <f t="shared" si="4"/>
        <v>1.9599999999998792E-6</v>
      </c>
      <c r="O8" s="51">
        <f t="shared" si="5"/>
        <v>0</v>
      </c>
      <c r="P8" s="51">
        <f t="shared" si="6"/>
        <v>4.000000000000229E-8</v>
      </c>
      <c r="Q8" s="52">
        <f t="shared" si="7"/>
        <v>1.4399999999999494E-6</v>
      </c>
      <c r="R8" s="53">
        <f t="shared" si="8"/>
        <v>1.070825226947241E-3</v>
      </c>
      <c r="S8" s="53">
        <f t="shared" si="9"/>
        <v>1.0346137458427449</v>
      </c>
      <c r="T8" s="49" t="str">
        <f t="shared" si="12"/>
        <v>PASS</v>
      </c>
    </row>
    <row r="9" spans="1:20" ht="39.950000000000003" customHeight="1" x14ac:dyDescent="0.25">
      <c r="A9" s="49" t="s">
        <v>11</v>
      </c>
      <c r="B9" s="49" t="s">
        <v>35</v>
      </c>
      <c r="C9" s="50">
        <f>0.285-0.1831</f>
        <v>0.10189999999999996</v>
      </c>
      <c r="D9" s="51">
        <f>0.2827-0.1815</f>
        <v>0.10120000000000001</v>
      </c>
      <c r="E9" s="51">
        <f>0.2782-0.1815</f>
        <v>9.6700000000000008E-2</v>
      </c>
      <c r="F9" s="52">
        <f>0.2831-0.1808</f>
        <v>0.10230000000000003</v>
      </c>
      <c r="G9" s="53">
        <f t="shared" si="10"/>
        <v>0.100525</v>
      </c>
      <c r="H9" s="49">
        <v>4</v>
      </c>
      <c r="I9" s="50">
        <f t="shared" si="0"/>
        <v>-1.3493621197251817</v>
      </c>
      <c r="J9" s="51">
        <f t="shared" si="1"/>
        <v>-0.66699604743083873</v>
      </c>
      <c r="K9" s="51">
        <f t="shared" si="2"/>
        <v>3.9555325749741415</v>
      </c>
      <c r="L9" s="52">
        <f t="shared" si="3"/>
        <v>-1.7350928641251477</v>
      </c>
      <c r="M9" s="53">
        <f t="shared" si="11"/>
        <v>5.1020385923243317E-2</v>
      </c>
      <c r="N9" s="50">
        <f t="shared" si="4"/>
        <v>1.8906249999998888E-6</v>
      </c>
      <c r="O9" s="51">
        <f t="shared" si="5"/>
        <v>4.5562500000001205E-7</v>
      </c>
      <c r="P9" s="51">
        <f t="shared" si="6"/>
        <v>1.4630624999999963E-5</v>
      </c>
      <c r="Q9" s="52">
        <f t="shared" si="7"/>
        <v>3.1506250000000945E-6</v>
      </c>
      <c r="R9" s="53">
        <f t="shared" si="8"/>
        <v>2.5902059120206356E-3</v>
      </c>
      <c r="S9" s="53">
        <f t="shared" si="9"/>
        <v>2.5766783506795679</v>
      </c>
      <c r="T9" s="49" t="str">
        <f t="shared" si="12"/>
        <v>PASS</v>
      </c>
    </row>
    <row r="10" spans="1:20" ht="39.950000000000003" customHeight="1" x14ac:dyDescent="0.25">
      <c r="A10" s="49" t="s">
        <v>12</v>
      </c>
      <c r="B10" s="49" t="s">
        <v>34</v>
      </c>
      <c r="C10" s="50">
        <f>0.2854-0.18</f>
        <v>0.10539999999999999</v>
      </c>
      <c r="D10" s="51">
        <f>0.2817-0.1785</f>
        <v>0.10320000000000001</v>
      </c>
      <c r="E10" s="51">
        <f>0.2902-0.1876</f>
        <v>0.10260000000000002</v>
      </c>
      <c r="F10" s="52">
        <f>0.2809-0.1778</f>
        <v>0.10309999999999997</v>
      </c>
      <c r="G10" s="53">
        <f t="shared" si="10"/>
        <v>0.103575</v>
      </c>
      <c r="H10" s="49">
        <v>4</v>
      </c>
      <c r="I10" s="50">
        <f t="shared" si="0"/>
        <v>-1.7314990512333903</v>
      </c>
      <c r="J10" s="51">
        <f t="shared" si="1"/>
        <v>0.36337209302324264</v>
      </c>
      <c r="K10" s="51">
        <f t="shared" si="2"/>
        <v>0.95029239766079499</v>
      </c>
      <c r="L10" s="52">
        <f t="shared" si="3"/>
        <v>0.46071774975754715</v>
      </c>
      <c r="M10" s="53">
        <f t="shared" si="11"/>
        <v>1.0720797302048626E-2</v>
      </c>
      <c r="N10" s="50">
        <f t="shared" si="4"/>
        <v>3.3306249999999754E-6</v>
      </c>
      <c r="O10" s="51">
        <f t="shared" si="5"/>
        <v>1.4062499999998984E-7</v>
      </c>
      <c r="P10" s="51">
        <f t="shared" si="6"/>
        <v>9.5062499999995299E-7</v>
      </c>
      <c r="Q10" s="52">
        <f t="shared" si="7"/>
        <v>2.2562500000002942E-7</v>
      </c>
      <c r="R10" s="53">
        <f t="shared" si="8"/>
        <v>1.2446552400832325E-3</v>
      </c>
      <c r="S10" s="53">
        <f t="shared" si="9"/>
        <v>1.2016946561267028</v>
      </c>
      <c r="T10" s="49" t="str">
        <f t="shared" si="12"/>
        <v>PASS</v>
      </c>
    </row>
    <row r="11" spans="1:20" ht="39.950000000000003" customHeight="1" x14ac:dyDescent="0.25">
      <c r="A11" s="49" t="s">
        <v>13</v>
      </c>
      <c r="B11" s="49" t="s">
        <v>34</v>
      </c>
      <c r="C11" s="50">
        <f>0.2852-0.1804</f>
        <v>0.1048</v>
      </c>
      <c r="D11" s="51">
        <f>0.2831-0.179</f>
        <v>0.10410000000000003</v>
      </c>
      <c r="E11" s="51">
        <f>0.2911-0.1843</f>
        <v>0.10680000000000003</v>
      </c>
      <c r="F11" s="52">
        <f>0.285-0.1814</f>
        <v>0.10359999999999997</v>
      </c>
      <c r="G11" s="53">
        <f t="shared" si="10"/>
        <v>0.10482500000000002</v>
      </c>
      <c r="H11" s="49">
        <v>4</v>
      </c>
      <c r="I11" s="50">
        <f t="shared" si="0"/>
        <v>2.3854961832071683E-2</v>
      </c>
      <c r="J11" s="51">
        <f t="shared" si="1"/>
        <v>0.69644572526415882</v>
      </c>
      <c r="K11" s="51">
        <f t="shared" si="2"/>
        <v>-1.8492509363296046</v>
      </c>
      <c r="L11" s="52">
        <f t="shared" si="3"/>
        <v>1.1824324324324766</v>
      </c>
      <c r="M11" s="53">
        <f t="shared" si="11"/>
        <v>1.3370545799775646E-2</v>
      </c>
      <c r="N11" s="50">
        <f t="shared" si="4"/>
        <v>6.2500000000055619E-10</v>
      </c>
      <c r="O11" s="51">
        <f t="shared" si="5"/>
        <v>5.256249999999848E-7</v>
      </c>
      <c r="P11" s="51">
        <f t="shared" si="6"/>
        <v>3.9006250000000725E-6</v>
      </c>
      <c r="Q11" s="52">
        <f t="shared" si="7"/>
        <v>1.5006250000001115E-6</v>
      </c>
      <c r="R11" s="53">
        <f t="shared" si="8"/>
        <v>1.4056433876817368E-3</v>
      </c>
      <c r="S11" s="53">
        <f t="shared" si="9"/>
        <v>1.3409428930901375</v>
      </c>
      <c r="T11" s="49" t="str">
        <f t="shared" si="12"/>
        <v>PASS</v>
      </c>
    </row>
    <row r="12" spans="1:20" ht="39.950000000000003" customHeight="1" thickBot="1" x14ac:dyDescent="0.3">
      <c r="A12" s="54" t="s">
        <v>14</v>
      </c>
      <c r="B12" s="54" t="s">
        <v>34</v>
      </c>
      <c r="C12" s="55">
        <f>0.285-0.1809</f>
        <v>0.10409999999999997</v>
      </c>
      <c r="D12" s="56">
        <f>0.2842-0.1807</f>
        <v>0.10350000000000001</v>
      </c>
      <c r="E12" s="56">
        <f>0.2855-0.1778</f>
        <v>0.10769999999999996</v>
      </c>
      <c r="F12" s="57">
        <f>0.2929-0.1862</f>
        <v>0.10669999999999999</v>
      </c>
      <c r="G12" s="58">
        <f t="shared" si="10"/>
        <v>0.10549999999999998</v>
      </c>
      <c r="H12" s="54">
        <v>4</v>
      </c>
      <c r="I12" s="55">
        <f t="shared" si="0"/>
        <v>1.3448607108549595</v>
      </c>
      <c r="J12" s="56">
        <f t="shared" si="1"/>
        <v>1.9323671497584289</v>
      </c>
      <c r="K12" s="56">
        <f t="shared" si="2"/>
        <v>-2.0427112349117738</v>
      </c>
      <c r="L12" s="57">
        <f t="shared" si="3"/>
        <v>-1.124648547328966</v>
      </c>
      <c r="M12" s="58">
        <f t="shared" si="11"/>
        <v>2.7467019593162167E-2</v>
      </c>
      <c r="N12" s="55">
        <f t="shared" si="4"/>
        <v>1.9600000000000346E-6</v>
      </c>
      <c r="O12" s="56">
        <f t="shared" si="5"/>
        <v>3.9999999999998965E-6</v>
      </c>
      <c r="P12" s="56">
        <f t="shared" si="6"/>
        <v>4.8399999999999113E-6</v>
      </c>
      <c r="Q12" s="57">
        <f t="shared" si="7"/>
        <v>1.4400000000000159E-6</v>
      </c>
      <c r="R12" s="58">
        <f t="shared" si="8"/>
        <v>2.0199009876724042E-3</v>
      </c>
      <c r="S12" s="58">
        <f t="shared" si="9"/>
        <v>1.9145980925804782</v>
      </c>
      <c r="T12" s="54" t="str">
        <f t="shared" si="12"/>
        <v>PASS</v>
      </c>
    </row>
    <row r="13" spans="1:20" ht="39.950000000000003" customHeight="1" x14ac:dyDescent="0.25">
      <c r="A13" s="59" t="s">
        <v>15</v>
      </c>
      <c r="B13" s="59" t="s">
        <v>34</v>
      </c>
      <c r="C13" s="60">
        <f>0.2066-0.1759</f>
        <v>3.0700000000000005E-2</v>
      </c>
      <c r="D13" s="44">
        <f>0.208-0.1785</f>
        <v>2.9499999999999998E-2</v>
      </c>
      <c r="E13" s="44">
        <f>0.2128-0.1817</f>
        <v>3.1099999999999989E-2</v>
      </c>
      <c r="F13" s="45">
        <f>0.2077-0.1768</f>
        <v>3.0899999999999983E-2</v>
      </c>
      <c r="G13" s="48">
        <f t="shared" si="10"/>
        <v>3.0549999999999994E-2</v>
      </c>
      <c r="H13" s="37">
        <v>4</v>
      </c>
      <c r="I13" s="60">
        <f t="shared" si="0"/>
        <v>-0.48859934853423848</v>
      </c>
      <c r="J13" s="44">
        <f t="shared" si="1"/>
        <v>3.5593220338982898</v>
      </c>
      <c r="K13" s="44">
        <f t="shared" si="2"/>
        <v>-1.7684887459806917</v>
      </c>
      <c r="L13" s="45">
        <f t="shared" si="3"/>
        <v>-1.1326860841423605</v>
      </c>
      <c r="M13" s="48">
        <f t="shared" si="11"/>
        <v>4.2386963810249756E-2</v>
      </c>
      <c r="N13" s="60">
        <f t="shared" si="4"/>
        <v>2.2500000000003371E-8</v>
      </c>
      <c r="O13" s="44">
        <f t="shared" si="5"/>
        <v>1.1024999999999903E-6</v>
      </c>
      <c r="P13" s="44">
        <f t="shared" si="6"/>
        <v>3.0249999999999446E-7</v>
      </c>
      <c r="Q13" s="45">
        <f t="shared" si="7"/>
        <v>1.2249999999999245E-7</v>
      </c>
      <c r="R13" s="48">
        <f t="shared" si="8"/>
        <v>7.1879528842825637E-4</v>
      </c>
      <c r="S13" s="48">
        <f t="shared" si="9"/>
        <v>2.3528487346260443</v>
      </c>
      <c r="T13" s="37" t="str">
        <f t="shared" si="12"/>
        <v>PASS</v>
      </c>
    </row>
    <row r="14" spans="1:20" ht="39.950000000000003" customHeight="1" x14ac:dyDescent="0.25">
      <c r="A14" s="49" t="s">
        <v>16</v>
      </c>
      <c r="B14" s="49" t="s">
        <v>34</v>
      </c>
      <c r="C14" s="50">
        <f>0.2093-0.1791</f>
        <v>3.0200000000000005E-2</v>
      </c>
      <c r="D14" s="51">
        <f>0.2035-0.1735</f>
        <v>0.03</v>
      </c>
      <c r="E14" s="51">
        <f>0.2146-0.1845</f>
        <v>3.0100000000000016E-2</v>
      </c>
      <c r="F14" s="52">
        <f>0.2174-0.186</f>
        <v>3.1400000000000011E-2</v>
      </c>
      <c r="G14" s="53">
        <f t="shared" si="10"/>
        <v>3.0425000000000008E-2</v>
      </c>
      <c r="H14" s="49">
        <v>4</v>
      </c>
      <c r="I14" s="50">
        <f t="shared" si="0"/>
        <v>0.74503311258279115</v>
      </c>
      <c r="J14" s="51">
        <f t="shared" si="1"/>
        <v>1.4166666666666958</v>
      </c>
      <c r="K14" s="51">
        <f t="shared" si="2"/>
        <v>1.0797342192690758</v>
      </c>
      <c r="L14" s="52">
        <f t="shared" si="3"/>
        <v>-3.1050955414012842</v>
      </c>
      <c r="M14" s="53">
        <f t="shared" si="11"/>
        <v>3.4084614279319636E-2</v>
      </c>
      <c r="N14" s="50">
        <f t="shared" si="4"/>
        <v>5.0625000000001342E-8</v>
      </c>
      <c r="O14" s="51">
        <f t="shared" si="5"/>
        <v>1.806250000000074E-7</v>
      </c>
      <c r="P14" s="51">
        <f t="shared" si="6"/>
        <v>1.0562499999999478E-7</v>
      </c>
      <c r="Q14" s="52">
        <f t="shared" si="7"/>
        <v>9.506250000000071E-7</v>
      </c>
      <c r="R14" s="53">
        <f t="shared" si="8"/>
        <v>6.5510813356778753E-4</v>
      </c>
      <c r="S14" s="53">
        <f t="shared" si="9"/>
        <v>2.1531902500173783</v>
      </c>
      <c r="T14" s="49" t="str">
        <f t="shared" si="12"/>
        <v>PASS</v>
      </c>
    </row>
    <row r="15" spans="1:20" ht="39.950000000000003" customHeight="1" thickBot="1" x14ac:dyDescent="0.3">
      <c r="A15" s="54" t="s">
        <v>17</v>
      </c>
      <c r="B15" s="54" t="s">
        <v>34</v>
      </c>
      <c r="C15" s="55">
        <f>0.2075-0.1772</f>
        <v>3.0299999999999994E-2</v>
      </c>
      <c r="D15" s="56">
        <f>0.2091-0.1761</f>
        <v>3.3000000000000002E-2</v>
      </c>
      <c r="E15" s="56">
        <f>0.2068-0.1772</f>
        <v>2.9600000000000015E-2</v>
      </c>
      <c r="F15" s="57">
        <f>0.2059-0.1764</f>
        <v>2.9499999999999998E-2</v>
      </c>
      <c r="G15" s="58">
        <f t="shared" si="10"/>
        <v>3.0600000000000002E-2</v>
      </c>
      <c r="H15" s="54">
        <v>4</v>
      </c>
      <c r="I15" s="55">
        <f t="shared" si="0"/>
        <v>0.99009900990101862</v>
      </c>
      <c r="J15" s="56">
        <f t="shared" si="1"/>
        <v>-7.2727272727272707</v>
      </c>
      <c r="K15" s="56">
        <f t="shared" si="2"/>
        <v>3.3783783783783328</v>
      </c>
      <c r="L15" s="57">
        <f t="shared" si="3"/>
        <v>3.7288135593220466</v>
      </c>
      <c r="M15" s="58">
        <f t="shared" si="11"/>
        <v>0.2061409187185318</v>
      </c>
      <c r="N15" s="55">
        <f t="shared" si="4"/>
        <v>9.000000000000516E-8</v>
      </c>
      <c r="O15" s="56">
        <f t="shared" si="5"/>
        <v>5.7599999999999965E-6</v>
      </c>
      <c r="P15" s="56">
        <f t="shared" si="6"/>
        <v>9.9999999999997412E-7</v>
      </c>
      <c r="Q15" s="57">
        <f t="shared" si="7"/>
        <v>1.2100000000000083E-6</v>
      </c>
      <c r="R15" s="58">
        <f t="shared" si="8"/>
        <v>1.6391054470858979E-3</v>
      </c>
      <c r="S15" s="58">
        <f t="shared" si="9"/>
        <v>5.356553748646725</v>
      </c>
      <c r="T15" s="54" t="str">
        <f t="shared" si="12"/>
        <v>FAIL</v>
      </c>
    </row>
    <row r="16" spans="1:20" ht="39.950000000000003" customHeight="1" x14ac:dyDescent="0.25">
      <c r="A16" s="59" t="s">
        <v>18</v>
      </c>
      <c r="B16" s="59" t="s">
        <v>34</v>
      </c>
      <c r="C16" s="60">
        <f>0.1876-0.178</f>
        <v>9.5999999999999974E-3</v>
      </c>
      <c r="D16" s="44">
        <f>0.195-0.1852</f>
        <v>9.8000000000000032E-3</v>
      </c>
      <c r="E16" s="44">
        <f>0.1879-0.1776</f>
        <v>1.0300000000000004E-2</v>
      </c>
      <c r="F16" s="45">
        <f>0.1889-0.1792</f>
        <v>9.7000000000000142E-3</v>
      </c>
      <c r="G16" s="48">
        <f t="shared" si="10"/>
        <v>9.8500000000000046E-3</v>
      </c>
      <c r="H16" s="37">
        <v>4</v>
      </c>
      <c r="I16" s="60">
        <f t="shared" si="0"/>
        <v>2.604166666666742</v>
      </c>
      <c r="J16" s="44">
        <f t="shared" si="1"/>
        <v>0.51020408163266751</v>
      </c>
      <c r="K16" s="44">
        <f t="shared" si="2"/>
        <v>-4.3689320388349406</v>
      </c>
      <c r="L16" s="45">
        <f t="shared" si="3"/>
        <v>1.5463917525772186</v>
      </c>
      <c r="M16" s="48">
        <f t="shared" si="11"/>
        <v>7.2957615510421903E-2</v>
      </c>
      <c r="N16" s="60">
        <f t="shared" si="4"/>
        <v>6.2500000000003584E-8</v>
      </c>
      <c r="O16" s="44">
        <f t="shared" si="5"/>
        <v>2.5000000000001432E-9</v>
      </c>
      <c r="P16" s="44">
        <f t="shared" si="6"/>
        <v>2.0249999999999912E-7</v>
      </c>
      <c r="Q16" s="45">
        <f t="shared" si="7"/>
        <v>2.2499999999997124E-8</v>
      </c>
      <c r="R16" s="48">
        <f t="shared" si="8"/>
        <v>3.109126351029605E-4</v>
      </c>
      <c r="S16" s="48">
        <f t="shared" si="9"/>
        <v>3.1564734528219325</v>
      </c>
      <c r="T16" s="37" t="str">
        <f t="shared" si="12"/>
        <v>FAIL</v>
      </c>
    </row>
    <row r="17" spans="1:20" ht="39.950000000000003" customHeight="1" x14ac:dyDescent="0.25">
      <c r="A17" s="49" t="s">
        <v>19</v>
      </c>
      <c r="B17" s="49" t="s">
        <v>34</v>
      </c>
      <c r="C17" s="50">
        <f>0.1886-0.1782</f>
        <v>1.0399999999999993E-2</v>
      </c>
      <c r="D17" s="51">
        <f>0.1898-0.1769</f>
        <v>1.2899999999999995E-2</v>
      </c>
      <c r="E17" s="51">
        <f>0.1966-0.1868</f>
        <v>9.8000000000000032E-3</v>
      </c>
      <c r="F17" s="52">
        <f>0.1917-0.1817</f>
        <v>1.0000000000000009E-2</v>
      </c>
      <c r="G17" s="53">
        <f t="shared" si="10"/>
        <v>1.0775E-2</v>
      </c>
      <c r="H17" s="49">
        <v>4</v>
      </c>
      <c r="I17" s="50">
        <f t="shared" si="0"/>
        <v>3.6057692307693032</v>
      </c>
      <c r="J17" s="51">
        <f t="shared" si="1"/>
        <v>-16.472868217054231</v>
      </c>
      <c r="K17" s="51">
        <f t="shared" si="2"/>
        <v>9.9489795918366983</v>
      </c>
      <c r="L17" s="52">
        <f t="shared" si="3"/>
        <v>7.7499999999999032</v>
      </c>
      <c r="M17" s="53">
        <f t="shared" si="11"/>
        <v>1.2079701513879184</v>
      </c>
      <c r="N17" s="50">
        <f t="shared" si="4"/>
        <v>1.4062500000000546E-7</v>
      </c>
      <c r="O17" s="51">
        <f t="shared" si="5"/>
        <v>4.5156249999999785E-6</v>
      </c>
      <c r="P17" s="51">
        <f t="shared" si="6"/>
        <v>9.5062499999999355E-7</v>
      </c>
      <c r="Q17" s="52">
        <f t="shared" si="7"/>
        <v>6.0062499999998599E-7</v>
      </c>
      <c r="R17" s="53">
        <f t="shared" si="8"/>
        <v>1.4384598244882108E-3</v>
      </c>
      <c r="S17" s="53">
        <f t="shared" si="9"/>
        <v>13.349975169264138</v>
      </c>
      <c r="T17" s="49" t="str">
        <f t="shared" si="12"/>
        <v>FAIL</v>
      </c>
    </row>
    <row r="18" spans="1:20" ht="39.950000000000003" customHeight="1" x14ac:dyDescent="0.25">
      <c r="A18" s="49" t="s">
        <v>20</v>
      </c>
      <c r="B18" s="49" t="s">
        <v>34</v>
      </c>
      <c r="C18" s="50">
        <f>0.1903-0.1803</f>
        <v>1.0000000000000009E-2</v>
      </c>
      <c r="D18" s="51">
        <f>0.1964-0.1863</f>
        <v>1.0099999999999998E-2</v>
      </c>
      <c r="E18" s="51">
        <f>0.1964-0.1863</f>
        <v>1.0099999999999998E-2</v>
      </c>
      <c r="F18" s="52">
        <f>0.185-0.1753</f>
        <v>9.6999999999999864E-3</v>
      </c>
      <c r="G18" s="53">
        <f t="shared" si="10"/>
        <v>9.9749999999999978E-3</v>
      </c>
      <c r="H18" s="49">
        <v>4</v>
      </c>
      <c r="I18" s="50">
        <f t="shared" si="0"/>
        <v>-0.25000000000011102</v>
      </c>
      <c r="J18" s="51">
        <f t="shared" si="1"/>
        <v>-1.2376237623762389</v>
      </c>
      <c r="K18" s="51">
        <f t="shared" si="2"/>
        <v>-1.2376237623762389</v>
      </c>
      <c r="L18" s="52">
        <f t="shared" si="3"/>
        <v>2.8350515463918735</v>
      </c>
      <c r="M18" s="53">
        <f t="shared" si="11"/>
        <v>2.745100540982115E-2</v>
      </c>
      <c r="N18" s="50">
        <f t="shared" si="4"/>
        <v>6.2500000000055619E-10</v>
      </c>
      <c r="O18" s="51">
        <f t="shared" si="5"/>
        <v>1.5625000000000029E-8</v>
      </c>
      <c r="P18" s="51">
        <f t="shared" si="6"/>
        <v>1.5625000000000029E-8</v>
      </c>
      <c r="Q18" s="52">
        <f t="shared" si="7"/>
        <v>7.5625000000006237E-8</v>
      </c>
      <c r="R18" s="53">
        <f t="shared" si="8"/>
        <v>1.8929694486001516E-4</v>
      </c>
      <c r="S18" s="53">
        <f t="shared" si="9"/>
        <v>1.8977137329324834</v>
      </c>
      <c r="T18" s="49" t="str">
        <f t="shared" si="12"/>
        <v>PASS</v>
      </c>
    </row>
    <row r="19" spans="1:20" ht="39.950000000000003" customHeight="1" thickBot="1" x14ac:dyDescent="0.3">
      <c r="A19" s="54" t="s">
        <v>21</v>
      </c>
      <c r="B19" s="54" t="s">
        <v>35</v>
      </c>
      <c r="C19" s="55">
        <f>0.1895-0.178</f>
        <v>1.150000000000001E-2</v>
      </c>
      <c r="D19" s="56">
        <f>0.1902-0.1795</f>
        <v>1.0700000000000015E-2</v>
      </c>
      <c r="E19" s="56">
        <f>0.1849-0.1751</f>
        <v>9.8000000000000032E-3</v>
      </c>
      <c r="F19" s="57">
        <f>0.1934-0.1839</f>
        <v>9.4999999999999807E-3</v>
      </c>
      <c r="G19" s="58">
        <f t="shared" si="10"/>
        <v>1.0375000000000002E-2</v>
      </c>
      <c r="H19" s="54">
        <v>4</v>
      </c>
      <c r="I19" s="55">
        <f t="shared" si="0"/>
        <v>-9.7826086956522342</v>
      </c>
      <c r="J19" s="56">
        <f t="shared" si="1"/>
        <v>-3.0373831775702085</v>
      </c>
      <c r="K19" s="56">
        <f t="shared" si="2"/>
        <v>5.8673469387754995</v>
      </c>
      <c r="L19" s="57">
        <f t="shared" si="3"/>
        <v>9.2105263157897195</v>
      </c>
      <c r="M19" s="58">
        <f t="shared" si="11"/>
        <v>0.56447034533569429</v>
      </c>
      <c r="N19" s="55">
        <f t="shared" si="4"/>
        <v>1.2656250000000178E-6</v>
      </c>
      <c r="O19" s="56">
        <f t="shared" si="5"/>
        <v>1.0562500000000831E-7</v>
      </c>
      <c r="P19" s="56">
        <f t="shared" si="6"/>
        <v>3.30624999999999E-7</v>
      </c>
      <c r="Q19" s="57">
        <f t="shared" si="7"/>
        <v>7.6562500000003777E-7</v>
      </c>
      <c r="R19" s="58">
        <f t="shared" si="8"/>
        <v>9.069178573608643E-4</v>
      </c>
      <c r="S19" s="58">
        <f t="shared" si="9"/>
        <v>8.7413769384179663</v>
      </c>
      <c r="T19" s="54" t="str">
        <f t="shared" si="12"/>
        <v>FAIL</v>
      </c>
    </row>
    <row r="20" spans="1:20" ht="39.950000000000003" customHeight="1" x14ac:dyDescent="0.25">
      <c r="A20" s="59" t="s">
        <v>22</v>
      </c>
      <c r="B20" s="59" t="s">
        <v>34</v>
      </c>
      <c r="C20" s="60">
        <f>0.1816-0.1809</f>
        <v>7.0000000000000617E-4</v>
      </c>
      <c r="D20" s="44">
        <f>0.1835-0.1823</f>
        <v>1.2000000000000066E-3</v>
      </c>
      <c r="E20" s="44">
        <f>0.1789-0.1781</f>
        <v>7.9999999999999516E-4</v>
      </c>
      <c r="F20" s="45">
        <f>0.1805-0.1798</f>
        <v>7.0000000000000617E-4</v>
      </c>
      <c r="G20" s="48">
        <f t="shared" si="10"/>
        <v>8.5000000000000353E-4</v>
      </c>
      <c r="H20" s="37">
        <v>4</v>
      </c>
      <c r="I20" s="60">
        <f t="shared" si="0"/>
        <v>21.428571428570862</v>
      </c>
      <c r="J20" s="44">
        <f t="shared" si="1"/>
        <v>-29.166666666666764</v>
      </c>
      <c r="K20" s="44">
        <f t="shared" si="2"/>
        <v>6.2500000000010845</v>
      </c>
      <c r="L20" s="45">
        <f t="shared" si="3"/>
        <v>21.428571428570862</v>
      </c>
      <c r="M20" s="48">
        <f t="shared" si="11"/>
        <v>4.985119047619011</v>
      </c>
      <c r="N20" s="60">
        <f t="shared" si="4"/>
        <v>2.2499999999999209E-8</v>
      </c>
      <c r="O20" s="44">
        <f t="shared" si="5"/>
        <v>1.2250000000000216E-7</v>
      </c>
      <c r="P20" s="44">
        <f t="shared" si="6"/>
        <v>2.5000000000008372E-9</v>
      </c>
      <c r="Q20" s="45">
        <f t="shared" si="7"/>
        <v>2.2499999999999209E-8</v>
      </c>
      <c r="R20" s="48">
        <f t="shared" si="8"/>
        <v>2.3804761428476267E-4</v>
      </c>
      <c r="S20" s="48">
        <f t="shared" si="9"/>
        <v>28.005601680560197</v>
      </c>
      <c r="T20" s="37" t="str">
        <f t="shared" si="12"/>
        <v>FAIL</v>
      </c>
    </row>
    <row r="21" spans="1:20" ht="39.950000000000003" customHeight="1" x14ac:dyDescent="0.25">
      <c r="A21" s="49" t="s">
        <v>23</v>
      </c>
      <c r="B21" s="49" t="s">
        <v>34</v>
      </c>
      <c r="C21" s="50">
        <f>0.1821-0.1812</f>
        <v>9.000000000000119E-4</v>
      </c>
      <c r="D21" s="51">
        <f>0.1826-0.1819</f>
        <v>7.0000000000000617E-4</v>
      </c>
      <c r="E21" s="51">
        <f>0.1871-0.1863</f>
        <v>7.9999999999999516E-4</v>
      </c>
      <c r="F21" s="52">
        <f>0.1782-0.1774</f>
        <v>7.9999999999999516E-4</v>
      </c>
      <c r="G21" s="53">
        <f t="shared" si="10"/>
        <v>8.000000000000021E-4</v>
      </c>
      <c r="H21" s="49">
        <v>4</v>
      </c>
      <c r="I21" s="50">
        <f t="shared" si="0"/>
        <v>-11.111111111112054</v>
      </c>
      <c r="J21" s="51">
        <f t="shared" si="1"/>
        <v>14.285714285713578</v>
      </c>
      <c r="K21" s="51">
        <f t="shared" si="2"/>
        <v>8.673617379884088E-13</v>
      </c>
      <c r="L21" s="52">
        <f t="shared" si="3"/>
        <v>8.673617379884088E-13</v>
      </c>
      <c r="M21" s="53">
        <f t="shared" si="11"/>
        <v>0.79365079365081459</v>
      </c>
      <c r="N21" s="50">
        <f t="shared" si="4"/>
        <v>1.0000000000001961E-8</v>
      </c>
      <c r="O21" s="51">
        <f t="shared" si="5"/>
        <v>9.9999999999991846E-9</v>
      </c>
      <c r="P21" s="51">
        <f t="shared" si="6"/>
        <v>4.8148248609680896E-35</v>
      </c>
      <c r="Q21" s="52">
        <f t="shared" si="7"/>
        <v>4.8148248609680896E-35</v>
      </c>
      <c r="R21" s="53">
        <f t="shared" si="8"/>
        <v>8.164965809277494E-5</v>
      </c>
      <c r="S21" s="53">
        <f t="shared" si="9"/>
        <v>10.206207261596841</v>
      </c>
      <c r="T21" s="49" t="str">
        <f t="shared" si="12"/>
        <v>FAIL</v>
      </c>
    </row>
    <row r="22" spans="1:20" ht="39.950000000000003" customHeight="1" x14ac:dyDescent="0.25">
      <c r="A22" s="49" t="s">
        <v>24</v>
      </c>
      <c r="B22" s="49" t="s">
        <v>34</v>
      </c>
      <c r="C22" s="50">
        <f>0.1837-0.1827</f>
        <v>1.0000000000000009E-3</v>
      </c>
      <c r="D22" s="51">
        <f>0.186-0.185</f>
        <v>1.0000000000000009E-3</v>
      </c>
      <c r="E22" s="51">
        <f>0.1775-0.1766</f>
        <v>8.9999999999998415E-4</v>
      </c>
      <c r="F22" s="52">
        <f>0.179-0.178</f>
        <v>1.0000000000000009E-3</v>
      </c>
      <c r="G22" s="53">
        <f t="shared" si="10"/>
        <v>9.749999999999967E-4</v>
      </c>
      <c r="H22" s="49">
        <v>4</v>
      </c>
      <c r="I22" s="50">
        <f t="shared" si="0"/>
        <v>-2.5000000000004166</v>
      </c>
      <c r="J22" s="51">
        <f t="shared" si="1"/>
        <v>-2.5000000000004166</v>
      </c>
      <c r="K22" s="51">
        <f t="shared" si="2"/>
        <v>8.3333333333348758</v>
      </c>
      <c r="L22" s="52">
        <f t="shared" si="3"/>
        <v>-2.5000000000004166</v>
      </c>
      <c r="M22" s="53">
        <f t="shared" si="11"/>
        <v>0.20833333333340653</v>
      </c>
      <c r="N22" s="50">
        <f t="shared" si="4"/>
        <v>6.2500000000020929E-10</v>
      </c>
      <c r="O22" s="51">
        <f t="shared" si="5"/>
        <v>6.2500000000020929E-10</v>
      </c>
      <c r="P22" s="51">
        <f t="shared" si="6"/>
        <v>5.6250000000018834E-9</v>
      </c>
      <c r="Q22" s="52">
        <f t="shared" si="7"/>
        <v>6.2500000000020929E-10</v>
      </c>
      <c r="R22" s="53">
        <f t="shared" si="8"/>
        <v>5.0000000000008364E-5</v>
      </c>
      <c r="S22" s="53">
        <f t="shared" si="9"/>
        <v>5.1282051282060035</v>
      </c>
      <c r="T22" s="49" t="str">
        <f t="shared" si="12"/>
        <v>FAIL</v>
      </c>
    </row>
    <row r="23" spans="1:20" ht="39.950000000000003" customHeight="1" x14ac:dyDescent="0.25">
      <c r="A23" s="49" t="s">
        <v>25</v>
      </c>
      <c r="B23" s="49" t="s">
        <v>34</v>
      </c>
      <c r="C23" s="50">
        <f>0.1854-0.1839</f>
        <v>1.5000000000000013E-3</v>
      </c>
      <c r="D23" s="51">
        <f>0.1826-0.1818</f>
        <v>8.0000000000002292E-4</v>
      </c>
      <c r="E23" s="51">
        <f>0.1773-0.1763</f>
        <v>1.0000000000000009E-3</v>
      </c>
      <c r="F23" s="52">
        <f>0.1829-0.1818</f>
        <v>1.1000000000000176E-3</v>
      </c>
      <c r="G23" s="53">
        <f t="shared" si="10"/>
        <v>1.1000000000000107E-3</v>
      </c>
      <c r="H23" s="49">
        <v>4</v>
      </c>
      <c r="I23" s="50">
        <f t="shared" si="0"/>
        <v>-26.666666666666018</v>
      </c>
      <c r="J23" s="51">
        <f t="shared" si="1"/>
        <v>37.499999999997399</v>
      </c>
      <c r="K23" s="51">
        <f t="shared" si="2"/>
        <v>10.000000000000972</v>
      </c>
      <c r="L23" s="52">
        <f t="shared" si="3"/>
        <v>-6.3080853671882886E-13</v>
      </c>
      <c r="M23" s="53">
        <f t="shared" si="11"/>
        <v>5.2083333333329307</v>
      </c>
      <c r="N23" s="50">
        <f t="shared" si="4"/>
        <v>1.5999999999999251E-7</v>
      </c>
      <c r="O23" s="51">
        <f t="shared" si="5"/>
        <v>8.9999999999992666E-8</v>
      </c>
      <c r="P23" s="51">
        <f t="shared" si="6"/>
        <v>1.0000000000001961E-8</v>
      </c>
      <c r="Q23" s="52">
        <f t="shared" si="7"/>
        <v>4.8148248609680896E-35</v>
      </c>
      <c r="R23" s="53">
        <f t="shared" si="8"/>
        <v>2.9439202887758759E-4</v>
      </c>
      <c r="S23" s="53">
        <f t="shared" si="9"/>
        <v>26.762911716144067</v>
      </c>
      <c r="T23" s="49" t="str">
        <f t="shared" si="12"/>
        <v>FAIL</v>
      </c>
    </row>
    <row r="24" spans="1:20" ht="39.950000000000003" customHeight="1" thickBot="1" x14ac:dyDescent="0.3">
      <c r="A24" s="54" t="s">
        <v>26</v>
      </c>
      <c r="B24" s="54" t="s">
        <v>34</v>
      </c>
      <c r="C24" s="55">
        <f>0.1813-0.1798</f>
        <v>1.5000000000000013E-3</v>
      </c>
      <c r="D24" s="56">
        <f>0.1842-0.1829</f>
        <v>1.2999999999999956E-3</v>
      </c>
      <c r="E24" s="56">
        <f>0.1877-0.1864</f>
        <v>1.2999999999999956E-3</v>
      </c>
      <c r="F24" s="57">
        <f>0.1856-0.1852</f>
        <v>3.999999999999837E-4</v>
      </c>
      <c r="G24" s="58">
        <f t="shared" si="10"/>
        <v>1.1249999999999941E-3</v>
      </c>
      <c r="H24" s="54">
        <v>4</v>
      </c>
      <c r="I24" s="55">
        <f t="shared" si="0"/>
        <v>-25.000000000000462</v>
      </c>
      <c r="J24" s="56">
        <f t="shared" si="1"/>
        <v>-13.461538461538625</v>
      </c>
      <c r="K24" s="56">
        <f t="shared" si="2"/>
        <v>-13.461538461538625</v>
      </c>
      <c r="L24" s="57">
        <f t="shared" si="3"/>
        <v>181.25000000000998</v>
      </c>
      <c r="M24" s="58">
        <f t="shared" si="11"/>
        <v>32.331730769233069</v>
      </c>
      <c r="N24" s="55">
        <f t="shared" si="4"/>
        <v>1.4062500000000546E-7</v>
      </c>
      <c r="O24" s="56">
        <f t="shared" si="5"/>
        <v>3.0625000000000541E-8</v>
      </c>
      <c r="P24" s="56">
        <f t="shared" si="6"/>
        <v>3.0625000000000541E-8</v>
      </c>
      <c r="Q24" s="57">
        <f t="shared" si="7"/>
        <v>5.2562500000001498E-7</v>
      </c>
      <c r="R24" s="58">
        <f t="shared" si="8"/>
        <v>4.9244289008981246E-4</v>
      </c>
      <c r="S24" s="58">
        <f t="shared" si="9"/>
        <v>43.772701341316889</v>
      </c>
      <c r="T24" s="54" t="str">
        <f t="shared" si="12"/>
        <v>FAIL</v>
      </c>
    </row>
    <row r="25" spans="1:20" ht="39.950000000000003" customHeight="1" x14ac:dyDescent="0.25">
      <c r="A25" s="59" t="s">
        <v>27</v>
      </c>
      <c r="B25" s="59" t="s">
        <v>34</v>
      </c>
      <c r="C25" s="60">
        <f>0.1764-0.1759</f>
        <v>5.0000000000000044E-4</v>
      </c>
      <c r="D25" s="44">
        <f>0.1764-0.1763</f>
        <v>9.9999999999988987E-5</v>
      </c>
      <c r="E25" s="44">
        <f>0.1791-0.1791</f>
        <v>0</v>
      </c>
      <c r="F25" s="45">
        <f>0.1831-0.1825</f>
        <v>6.0000000000001719E-4</v>
      </c>
      <c r="G25" s="48">
        <f t="shared" si="10"/>
        <v>3.0000000000000165E-4</v>
      </c>
      <c r="H25" s="37">
        <v>4</v>
      </c>
      <c r="I25" s="60">
        <f t="shared" ref="I25:J25" si="13">IF(NOT(C25=0),100*($G25-C25)/C25,"NaN")</f>
        <v>-39.999999999999723</v>
      </c>
      <c r="J25" s="44">
        <f t="shared" si="13"/>
        <v>200.0000000000347</v>
      </c>
      <c r="K25" s="44" t="str">
        <f>IF(NOT(E25=0),100*($G25-E25)/E25,"NaN")</f>
        <v>NaN</v>
      </c>
      <c r="L25" s="45">
        <f>IF(NOT(F25=0),100*($G25-F25)/F25,"NaN")</f>
        <v>-50.000000000001158</v>
      </c>
      <c r="M25" s="48">
        <f>AVERAGE(I25:L25)</f>
        <v>36.666666666677941</v>
      </c>
      <c r="N25" s="60">
        <f t="shared" si="4"/>
        <v>3.9999999999999518E-8</v>
      </c>
      <c r="O25" s="44">
        <f t="shared" si="5"/>
        <v>4.000000000000507E-8</v>
      </c>
      <c r="P25" s="44">
        <f t="shared" si="6"/>
        <v>9.0000000000000991E-8</v>
      </c>
      <c r="Q25" s="45">
        <f t="shared" si="7"/>
        <v>9.0000000000009316E-8</v>
      </c>
      <c r="R25" s="48">
        <f t="shared" si="8"/>
        <v>2.9439202887760331E-4</v>
      </c>
      <c r="S25" s="48">
        <f t="shared" si="9"/>
        <v>98.130676292533892</v>
      </c>
      <c r="T25" s="37" t="str">
        <f t="shared" si="12"/>
        <v>FAIL</v>
      </c>
    </row>
    <row r="26" spans="1:20" ht="39.950000000000003" customHeight="1" x14ac:dyDescent="0.25">
      <c r="A26" s="49" t="s">
        <v>28</v>
      </c>
      <c r="B26" s="49" t="s">
        <v>34</v>
      </c>
      <c r="C26" s="50">
        <f>0.1777-0.1777</f>
        <v>0</v>
      </c>
      <c r="D26" s="51">
        <f>0.1794-0.1792</f>
        <v>2.0000000000000573E-4</v>
      </c>
      <c r="E26" s="51">
        <f>0.1849-0.1849</f>
        <v>0</v>
      </c>
      <c r="F26" s="52">
        <f>0.1822-0.1815</f>
        <v>7.0000000000000617E-4</v>
      </c>
      <c r="G26" s="53">
        <f t="shared" si="10"/>
        <v>2.2500000000000298E-4</v>
      </c>
      <c r="H26" s="49">
        <v>4</v>
      </c>
      <c r="I26" s="50" t="str">
        <f t="shared" ref="I26:I28" si="14">IF(NOT(C26=0),100*($G26-C26)/C26,"NaN")</f>
        <v>NaN</v>
      </c>
      <c r="J26" s="51">
        <f t="shared" ref="J26:J28" si="15">IF(NOT(D26=0),100*($G26-D26)/D26,"NaN")</f>
        <v>12.499999999998264</v>
      </c>
      <c r="K26" s="51" t="str">
        <f t="shared" ref="K26:K28" si="16">IF(NOT(E26=0),100*($G26-E26)/E26,"NaN")</f>
        <v>NaN</v>
      </c>
      <c r="L26" s="52">
        <f t="shared" ref="L26:L28" si="17">IF(NOT(F26=0),100*($G26-F26)/F26,"NaN")</f>
        <v>-67.857142857142719</v>
      </c>
      <c r="M26" s="53">
        <f t="shared" si="11"/>
        <v>-27.678571428572226</v>
      </c>
      <c r="N26" s="50">
        <f t="shared" si="4"/>
        <v>5.0625000000001342E-8</v>
      </c>
      <c r="O26" s="51">
        <f t="shared" si="5"/>
        <v>6.2499999999986229E-10</v>
      </c>
      <c r="P26" s="51">
        <f t="shared" si="6"/>
        <v>5.0625000000001342E-8</v>
      </c>
      <c r="Q26" s="52">
        <f t="shared" si="7"/>
        <v>2.2562500000000303E-7</v>
      </c>
      <c r="R26" s="53">
        <f t="shared" si="8"/>
        <v>3.3040379335998627E-4</v>
      </c>
      <c r="S26" s="53">
        <f t="shared" si="9"/>
        <v>146.84613038221417</v>
      </c>
      <c r="T26" s="49" t="str">
        <f t="shared" si="12"/>
        <v>FAIL</v>
      </c>
    </row>
    <row r="27" spans="1:20" ht="39.950000000000003" customHeight="1" thickBot="1" x14ac:dyDescent="0.3">
      <c r="A27" s="54" t="s">
        <v>29</v>
      </c>
      <c r="B27" s="54" t="s">
        <v>34</v>
      </c>
      <c r="C27" s="55">
        <f>0.1798-0.1795</f>
        <v>2.9999999999999472E-4</v>
      </c>
      <c r="D27" s="56">
        <f>0.1789-0.1786</f>
        <v>2.9999999999999472E-4</v>
      </c>
      <c r="E27" s="56">
        <f>0.1845-0.1843</f>
        <v>2.0000000000000573E-4</v>
      </c>
      <c r="F27" s="57">
        <f>0.1831-0.183</f>
        <v>1.0000000000001674E-4</v>
      </c>
      <c r="G27" s="58">
        <f t="shared" si="10"/>
        <v>2.2500000000000298E-4</v>
      </c>
      <c r="H27" s="49">
        <v>4</v>
      </c>
      <c r="I27" s="55">
        <f t="shared" si="14"/>
        <v>-24.999999999997687</v>
      </c>
      <c r="J27" s="56">
        <f t="shared" si="15"/>
        <v>-24.999999999997687</v>
      </c>
      <c r="K27" s="56">
        <f t="shared" si="16"/>
        <v>12.499999999998264</v>
      </c>
      <c r="L27" s="57">
        <f t="shared" si="17"/>
        <v>124.99999999996531</v>
      </c>
      <c r="M27" s="58">
        <f t="shared" si="11"/>
        <v>21.874999999992049</v>
      </c>
      <c r="N27" s="55">
        <f t="shared" si="4"/>
        <v>5.6249999999987608E-9</v>
      </c>
      <c r="O27" s="56">
        <f t="shared" si="5"/>
        <v>5.6249999999987608E-9</v>
      </c>
      <c r="P27" s="56">
        <f t="shared" si="6"/>
        <v>6.2499999999986229E-10</v>
      </c>
      <c r="Q27" s="57">
        <f t="shared" si="7"/>
        <v>1.5624999999996558E-8</v>
      </c>
      <c r="R27" s="58">
        <f t="shared" si="8"/>
        <v>9.574271077562326E-5</v>
      </c>
      <c r="S27" s="58">
        <f t="shared" si="9"/>
        <v>42.552315900276447</v>
      </c>
      <c r="T27" s="49" t="str">
        <f t="shared" si="12"/>
        <v>FAIL</v>
      </c>
    </row>
    <row r="28" spans="1:20" ht="39.950000000000003" customHeight="1" thickBot="1" x14ac:dyDescent="0.3">
      <c r="A28" s="54" t="s">
        <v>30</v>
      </c>
      <c r="B28" s="54" t="s">
        <v>34</v>
      </c>
      <c r="C28" s="55">
        <f>0.1802-0.1799</f>
        <v>2.9999999999999472E-4</v>
      </c>
      <c r="D28" s="56">
        <f>0.1824-0.1823</f>
        <v>1.0000000000001674E-4</v>
      </c>
      <c r="E28" s="56">
        <f>0.1812-0.1812</f>
        <v>0</v>
      </c>
      <c r="F28" s="57">
        <f>0.1837-0.1837</f>
        <v>0</v>
      </c>
      <c r="G28" s="58">
        <f t="shared" si="10"/>
        <v>1.0000000000000286E-4</v>
      </c>
      <c r="H28" s="54">
        <v>4</v>
      </c>
      <c r="I28" s="55">
        <f t="shared" si="14"/>
        <v>-66.666666666665122</v>
      </c>
      <c r="J28" s="56">
        <f t="shared" si="15"/>
        <v>-1.3877787807812134E-11</v>
      </c>
      <c r="K28" s="56" t="str">
        <f t="shared" si="16"/>
        <v>NaN</v>
      </c>
      <c r="L28" s="57" t="str">
        <f t="shared" si="17"/>
        <v>NaN</v>
      </c>
      <c r="M28" s="58">
        <f t="shared" si="11"/>
        <v>-33.333333333339503</v>
      </c>
      <c r="N28" s="55">
        <f t="shared" si="4"/>
        <v>3.9999999999996738E-8</v>
      </c>
      <c r="O28" s="56">
        <f t="shared" si="5"/>
        <v>1.9259299443872359E-34</v>
      </c>
      <c r="P28" s="56">
        <f t="shared" si="6"/>
        <v>1.0000000000000573E-8</v>
      </c>
      <c r="Q28" s="57">
        <f t="shared" si="7"/>
        <v>1.0000000000000573E-8</v>
      </c>
      <c r="R28" s="58">
        <f t="shared" si="8"/>
        <v>1.4142135623730701E-4</v>
      </c>
      <c r="S28" s="58">
        <f t="shared" si="9"/>
        <v>141.42135623730294</v>
      </c>
      <c r="T28" s="54" t="str">
        <f t="shared" si="12"/>
        <v>FAIL</v>
      </c>
    </row>
  </sheetData>
  <mergeCells count="3">
    <mergeCell ref="C1:F1"/>
    <mergeCell ref="I1:L1"/>
    <mergeCell ref="N1:Q1"/>
  </mergeCells>
  <conditionalFormatting sqref="T2:T28">
    <cfRule type="containsText" dxfId="3" priority="1" operator="containsText" text="PASS">
      <formula>NOT(ISERROR(SEARCH("PASS",T2)))</formula>
    </cfRule>
    <cfRule type="containsText" dxfId="2" priority="2" operator="containsText" text="FAIL">
      <formula>NOT(ISERROR(SEARCH("FAIL",T2)))</formula>
    </cfRule>
  </conditionalFormatting>
  <pageMargins left="0.25" right="0.25" top="0.75" bottom="0.75" header="0.3" footer="0.3"/>
  <pageSetup scale="76" fitToHeight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Calibration Summary</vt:lpstr>
      <vt:lpstr>100% Volume Calculations</vt:lpstr>
      <vt:lpstr>10% Volume Calculations</vt:lpstr>
      <vt:lpstr>'10% Volume Calculations'!Print_Area</vt:lpstr>
      <vt:lpstr>'100% Volume Calculations'!Print_Area</vt:lpstr>
      <vt:lpstr>'Calibration Summary'!Print_Area</vt:lpstr>
    </vt:vector>
  </TitlesOfParts>
  <Company>University of Kentucky HealthCare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Yackzan, Andrew T.</dc:creator>
  <cp:lastModifiedBy>Yackzan, Andrew T.</cp:lastModifiedBy>
  <cp:lastPrinted>2024-03-29T19:55:39Z</cp:lastPrinted>
  <dcterms:created xsi:type="dcterms:W3CDTF">2024-03-29T19:36:24Z</dcterms:created>
  <dcterms:modified xsi:type="dcterms:W3CDTF">2024-04-04T16:44:28Z</dcterms:modified>
</cp:coreProperties>
</file>