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nag\ajn_doc\candev\data\"/>
    </mc:Choice>
  </mc:AlternateContent>
  <xr:revisionPtr revIDLastSave="0" documentId="8_{D48159DE-8BE7-44E6-996E-10C5DDEC766E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Global" sheetId="1" r:id="rId1"/>
  </sheets>
  <calcPr calcId="179017"/>
</workbook>
</file>

<file path=xl/calcChain.xml><?xml version="1.0" encoding="utf-8"?>
<calcChain xmlns="http://schemas.openxmlformats.org/spreadsheetml/2006/main">
  <c r="C668" i="1" l="1"/>
  <c r="C667" i="1"/>
  <c r="C666" i="1"/>
  <c r="C665" i="1"/>
  <c r="C664" i="1"/>
  <c r="C663" i="1"/>
  <c r="C662" i="1"/>
  <c r="C661" i="1"/>
  <c r="C660" i="1"/>
  <c r="C659" i="1"/>
  <c r="C658" i="1"/>
  <c r="C653" i="1"/>
  <c r="C652" i="1"/>
  <c r="C651" i="1"/>
  <c r="C650" i="1"/>
  <c r="C649" i="1"/>
  <c r="C648" i="1"/>
  <c r="C647" i="1"/>
  <c r="C646" i="1"/>
  <c r="D641" i="1"/>
  <c r="D640" i="1"/>
  <c r="D639" i="1"/>
  <c r="D638" i="1"/>
  <c r="D633" i="1"/>
  <c r="D632" i="1"/>
  <c r="D631" i="1"/>
  <c r="D630" i="1"/>
  <c r="D625" i="1"/>
  <c r="D624" i="1"/>
  <c r="D623" i="1"/>
  <c r="D622" i="1"/>
  <c r="D617" i="1"/>
  <c r="D616" i="1"/>
  <c r="D615" i="1"/>
  <c r="D614" i="1"/>
  <c r="D609" i="1"/>
  <c r="D608" i="1"/>
  <c r="D607" i="1"/>
  <c r="D606" i="1"/>
  <c r="D601" i="1"/>
  <c r="D600" i="1"/>
  <c r="D599" i="1"/>
  <c r="D598" i="1"/>
  <c r="D590" i="1"/>
  <c r="D589" i="1"/>
  <c r="D588" i="1"/>
  <c r="D587" i="1"/>
  <c r="D586" i="1"/>
  <c r="D585" i="1"/>
  <c r="D580" i="1"/>
  <c r="D579" i="1"/>
  <c r="D578" i="1"/>
  <c r="D577" i="1"/>
  <c r="D576" i="1"/>
  <c r="D575" i="1"/>
  <c r="D570" i="1"/>
  <c r="D569" i="1"/>
  <c r="D568" i="1"/>
  <c r="D567" i="1"/>
  <c r="D566" i="1"/>
  <c r="D565" i="1"/>
  <c r="D560" i="1"/>
  <c r="D559" i="1"/>
  <c r="D558" i="1"/>
  <c r="D557" i="1"/>
  <c r="D556" i="1"/>
  <c r="D555" i="1"/>
  <c r="D550" i="1"/>
  <c r="D549" i="1"/>
  <c r="D548" i="1"/>
  <c r="D547" i="1"/>
  <c r="D546" i="1"/>
  <c r="D545" i="1"/>
  <c r="D540" i="1"/>
  <c r="D539" i="1"/>
  <c r="D538" i="1"/>
  <c r="D537" i="1"/>
  <c r="D536" i="1"/>
  <c r="D535" i="1"/>
  <c r="D527" i="1"/>
  <c r="D526" i="1"/>
  <c r="D525" i="1"/>
  <c r="D524" i="1"/>
  <c r="D519" i="1"/>
  <c r="D518" i="1"/>
  <c r="D517" i="1"/>
  <c r="D516" i="1"/>
  <c r="D511" i="1"/>
  <c r="D510" i="1"/>
  <c r="D509" i="1"/>
  <c r="D508" i="1"/>
  <c r="D503" i="1"/>
  <c r="D502" i="1"/>
  <c r="D501" i="1"/>
  <c r="D500" i="1"/>
  <c r="D495" i="1"/>
  <c r="D494" i="1"/>
  <c r="D493" i="1"/>
  <c r="D492" i="1"/>
  <c r="D487" i="1"/>
  <c r="D486" i="1"/>
  <c r="D485" i="1"/>
  <c r="D484" i="1"/>
  <c r="D476" i="1"/>
  <c r="D475" i="1"/>
  <c r="D474" i="1"/>
  <c r="D473" i="1"/>
  <c r="D472" i="1"/>
  <c r="D471" i="1"/>
  <c r="D470" i="1"/>
  <c r="D469" i="1"/>
  <c r="D464" i="1"/>
  <c r="D463" i="1"/>
  <c r="D462" i="1"/>
  <c r="D461" i="1"/>
  <c r="D460" i="1"/>
  <c r="D459" i="1"/>
  <c r="D458" i="1"/>
  <c r="D457" i="1"/>
  <c r="D452" i="1"/>
  <c r="D451" i="1"/>
  <c r="D450" i="1"/>
  <c r="D449" i="1"/>
  <c r="D448" i="1"/>
  <c r="D447" i="1"/>
  <c r="D446" i="1"/>
  <c r="D445" i="1"/>
  <c r="D440" i="1"/>
  <c r="D439" i="1"/>
  <c r="D438" i="1"/>
  <c r="D437" i="1"/>
  <c r="D436" i="1"/>
  <c r="D435" i="1"/>
  <c r="D434" i="1"/>
  <c r="D433" i="1"/>
  <c r="D428" i="1"/>
  <c r="D427" i="1"/>
  <c r="D426" i="1"/>
  <c r="D425" i="1"/>
  <c r="D424" i="1"/>
  <c r="D423" i="1"/>
  <c r="D422" i="1"/>
  <c r="D421" i="1"/>
  <c r="D416" i="1"/>
  <c r="D415" i="1"/>
  <c r="D414" i="1"/>
  <c r="D413" i="1"/>
  <c r="D412" i="1"/>
  <c r="D411" i="1"/>
  <c r="D410" i="1"/>
  <c r="D409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0" i="1"/>
  <c r="C259" i="1"/>
  <c r="C258" i="1"/>
  <c r="C257" i="1"/>
  <c r="C256" i="1"/>
  <c r="C255" i="1"/>
  <c r="C254" i="1"/>
  <c r="C253" i="1"/>
  <c r="C252" i="1"/>
  <c r="C251" i="1"/>
  <c r="C250" i="1"/>
  <c r="C245" i="1"/>
  <c r="C244" i="1"/>
  <c r="C243" i="1"/>
  <c r="C242" i="1"/>
  <c r="C241" i="1"/>
  <c r="C240" i="1"/>
  <c r="C239" i="1"/>
  <c r="C238" i="1"/>
  <c r="D233" i="1"/>
  <c r="D232" i="1"/>
  <c r="D231" i="1"/>
  <c r="D226" i="1"/>
  <c r="D225" i="1"/>
  <c r="D224" i="1"/>
  <c r="D219" i="1"/>
  <c r="D218" i="1"/>
  <c r="D217" i="1"/>
  <c r="D212" i="1"/>
  <c r="D211" i="1"/>
  <c r="D210" i="1"/>
  <c r="D205" i="1"/>
  <c r="D204" i="1"/>
  <c r="D203" i="1"/>
  <c r="D198" i="1"/>
  <c r="D197" i="1"/>
  <c r="D196" i="1"/>
  <c r="D191" i="1"/>
  <c r="D190" i="1"/>
  <c r="D189" i="1"/>
  <c r="C181" i="1"/>
  <c r="C180" i="1"/>
  <c r="C179" i="1"/>
  <c r="C178" i="1"/>
  <c r="C177" i="1"/>
  <c r="C176" i="1"/>
  <c r="C175" i="1"/>
  <c r="C174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1" i="1"/>
  <c r="C140" i="1"/>
  <c r="C139" i="1"/>
  <c r="C138" i="1"/>
  <c r="C137" i="1"/>
  <c r="C136" i="1"/>
  <c r="C135" i="1"/>
  <c r="C134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1" i="1"/>
  <c r="C100" i="1"/>
  <c r="C99" i="1"/>
  <c r="C98" i="1"/>
  <c r="C97" i="1"/>
  <c r="C96" i="1"/>
  <c r="C95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4" i="1"/>
  <c r="C53" i="1"/>
  <c r="C52" i="1"/>
  <c r="C51" i="1"/>
  <c r="C50" i="1"/>
  <c r="C45" i="1"/>
  <c r="C44" i="1"/>
  <c r="C43" i="1"/>
  <c r="C42" i="1"/>
  <c r="C37" i="1"/>
  <c r="C36" i="1"/>
  <c r="C31" i="1"/>
  <c r="C30" i="1"/>
  <c r="C29" i="1"/>
  <c r="C28" i="1"/>
  <c r="C27" i="1"/>
  <c r="C26" i="1"/>
  <c r="C25" i="1"/>
  <c r="C24" i="1"/>
  <c r="C23" i="1"/>
  <c r="C18" i="1"/>
  <c r="C17" i="1"/>
  <c r="C16" i="1"/>
  <c r="C15" i="1"/>
  <c r="C14" i="1"/>
  <c r="C13" i="1"/>
  <c r="C12" i="1"/>
  <c r="C7" i="1"/>
  <c r="C6" i="1"/>
</calcChain>
</file>

<file path=xl/sharedStrings.xml><?xml version="1.0" encoding="utf-8"?>
<sst xmlns="http://schemas.openxmlformats.org/spreadsheetml/2006/main" count="1066" uniqueCount="253">
  <si>
    <t>Departmental Exit Questionnaire</t>
  </si>
  <si>
    <t/>
  </si>
  <si>
    <t>1. What is your first official language?</t>
  </si>
  <si>
    <t>Number of respondents : 152</t>
  </si>
  <si>
    <t>Choice</t>
  </si>
  <si>
    <t>Total</t>
  </si>
  <si>
    <t>%</t>
  </si>
  <si>
    <t>English</t>
  </si>
  <si>
    <t>French</t>
  </si>
  <si>
    <t>2. What is your highest level of education?</t>
  </si>
  <si>
    <t>Incomplete high school</t>
  </si>
  <si>
    <t>High school diploma</t>
  </si>
  <si>
    <t>Incomplete college/university</t>
  </si>
  <si>
    <t>College/technical diploma</t>
  </si>
  <si>
    <t>Bachelor's degree</t>
  </si>
  <si>
    <t>Master's degree</t>
  </si>
  <si>
    <t>Doctorate</t>
  </si>
  <si>
    <t>3. What is your age?</t>
  </si>
  <si>
    <t>Under 25</t>
  </si>
  <si>
    <t>25-29</t>
  </si>
  <si>
    <t>30-34</t>
  </si>
  <si>
    <t>35-39</t>
  </si>
  <si>
    <t>40-44</t>
  </si>
  <si>
    <t>45-49</t>
  </si>
  <si>
    <t>50-54</t>
  </si>
  <si>
    <t>55 and over</t>
  </si>
  <si>
    <t>I prefer not to say</t>
  </si>
  <si>
    <t>4. What is your gender?</t>
  </si>
  <si>
    <t>Male</t>
  </si>
  <si>
    <t>Female</t>
  </si>
  <si>
    <t>5. What is your employment status?</t>
  </si>
  <si>
    <t>Indeterminate</t>
  </si>
  <si>
    <t>Term employee (over 3 months)</t>
  </si>
  <si>
    <t>Secondment</t>
  </si>
  <si>
    <t>Casual</t>
  </si>
  <si>
    <t>6. Are you a member of an Employment Equity Group (Optional)?</t>
  </si>
  <si>
    <t>Number of respondents : 146</t>
  </si>
  <si>
    <t>Aboriginal peoples</t>
  </si>
  <si>
    <t>Visible minority</t>
  </si>
  <si>
    <t>Person with a disability</t>
  </si>
  <si>
    <t>I am not a member of an employment equity group</t>
  </si>
  <si>
    <t>Prefer not to say</t>
  </si>
  <si>
    <t>7. What is your work location?</t>
  </si>
  <si>
    <t>Alberta</t>
  </si>
  <si>
    <t>British Columbia</t>
  </si>
  <si>
    <t>Manitoba</t>
  </si>
  <si>
    <t>National Capital Region (NCR)</t>
  </si>
  <si>
    <t>New Brunswick</t>
  </si>
  <si>
    <t>Newfoundland and Labrador</t>
  </si>
  <si>
    <t>Northern Ontario (FedNor)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</si>
  <si>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</si>
  <si>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</si>
  <si>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</si>
  <si>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</si>
  <si>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</si>
  <si>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</si>
  <si>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</si>
  <si>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</si>
  <si>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8. In which sector do you currently work?</t>
  </si>
  <si>
    <t>Audit and Evaluation Branch (AEB)</t>
  </si>
  <si>
    <t>Canadian Intellectual Property Office (CIPO)</t>
  </si>
  <si>
    <t>Chief Information Office (CIO)</t>
  </si>
  <si>
    <t>Communications and Marketing Branch (CMB)</t>
  </si>
  <si>
    <t>Competition Bureau (CB)</t>
  </si>
  <si>
    <t>Corporate Management Sector (CMS)</t>
  </si>
  <si>
    <t>Industry Sector (IS)</t>
  </si>
  <si>
    <t>Legal Services (LS)</t>
  </si>
  <si>
    <t>Office of the Corporate Secretary (OCS)</t>
  </si>
  <si>
    <t>Science and Innovation Sector (SIS)</t>
  </si>
  <si>
    <t>Small Business, Tourism and Marketplace Services (SBTMS)</t>
  </si>
  <si>
    <t>Spectrum, Information Technologies and Telecommunications (SITT)</t>
  </si>
  <si>
    <t>Strategic Policy Sector (SPS)</t>
  </si>
  <si>
    <t>8a) As an employee of SBTMS or SITT, please indicate which of the branches listed below you currently work for.</t>
  </si>
  <si>
    <t>Number of respondents : 53</t>
  </si>
  <si>
    <t>Communications Research Centre (CRC)</t>
  </si>
  <si>
    <t>ADMO and Investment Review and Strategic Planning Branch (IRSP)</t>
  </si>
  <si>
    <t>Corporations Canada (CC)</t>
  </si>
  <si>
    <t>Information Management Branch (IMB)</t>
  </si>
  <si>
    <t>Digital Transformation Hub Branch</t>
  </si>
  <si>
    <t>Office of the Superintendent of Bankruptcy (OSB)</t>
  </si>
  <si>
    <t>Other, please specify:</t>
  </si>
  <si>
    <t>9. What was your classification group when you started at ISED?</t>
  </si>
  <si>
    <t>AS</t>
  </si>
  <si>
    <t>AU</t>
  </si>
  <si>
    <t>CO</t>
  </si>
  <si>
    <t>CR</t>
  </si>
  <si>
    <t>CS</t>
  </si>
  <si>
    <t>EC</t>
  </si>
  <si>
    <t>EG</t>
  </si>
  <si>
    <t>EL</t>
  </si>
  <si>
    <t>EN</t>
  </si>
  <si>
    <t>EX</t>
  </si>
  <si>
    <t>FI</t>
  </si>
  <si>
    <t>GL</t>
  </si>
  <si>
    <t>GS</t>
  </si>
  <si>
    <t>GT</t>
  </si>
  <si>
    <t>HP</t>
  </si>
  <si>
    <t>IS</t>
  </si>
  <si>
    <t>LS</t>
  </si>
  <si>
    <t>OM</t>
  </si>
  <si>
    <t>PC</t>
  </si>
  <si>
    <t>PE</t>
  </si>
  <si>
    <t>PG</t>
  </si>
  <si>
    <t>PM</t>
  </si>
  <si>
    <t>SG</t>
  </si>
  <si>
    <t>TI</t>
  </si>
  <si>
    <t>10. What was your classification level when you started at ISED?</t>
  </si>
  <si>
    <t>1</t>
  </si>
  <si>
    <t>2</t>
  </si>
  <si>
    <t>3</t>
  </si>
  <si>
    <t>4</t>
  </si>
  <si>
    <t>5</t>
  </si>
  <si>
    <t>6</t>
  </si>
  <si>
    <t>7</t>
  </si>
  <si>
    <t>8</t>
  </si>
  <si>
    <t>11. What is your current classification group?</t>
  </si>
  <si>
    <t>12. What is your current classification level?</t>
  </si>
  <si>
    <t>13. What is your employment history?</t>
  </si>
  <si>
    <t>less than 1 year</t>
  </si>
  <si>
    <t>Number of respondents : 74</t>
  </si>
  <si>
    <t>In the federal public service</t>
  </si>
  <si>
    <t>At ISED Canada</t>
  </si>
  <si>
    <t>In your current branch/sector</t>
  </si>
  <si>
    <t>1-2 years</t>
  </si>
  <si>
    <t>Number of respondents : 51</t>
  </si>
  <si>
    <t>3-5 years</t>
  </si>
  <si>
    <t>Number of respondents : 33</t>
  </si>
  <si>
    <t>6-10 years</t>
  </si>
  <si>
    <t>11-16 years</t>
  </si>
  <si>
    <t>Number of respondents : 24</t>
  </si>
  <si>
    <t>17-25 years</t>
  </si>
  <si>
    <t>Number of respondents : 22</t>
  </si>
  <si>
    <t>Over 25 years</t>
  </si>
  <si>
    <t>Number of respondents : 11</t>
  </si>
  <si>
    <t>14. How many positions did you hold at ISED?</t>
  </si>
  <si>
    <t>15. What is the main reason for your departure?</t>
  </si>
  <si>
    <t>Number of respondents : 151</t>
  </si>
  <si>
    <t>Lateral transfer to another federal department/agency</t>
  </si>
  <si>
    <t>Promotion to another federal department/agency</t>
  </si>
  <si>
    <t>End of term, secondment or casual employment at ISED</t>
  </si>
  <si>
    <t>Secondment to another federal department/agency</t>
  </si>
  <si>
    <t>Retirement</t>
  </si>
  <si>
    <t>Work in private sector</t>
  </si>
  <si>
    <t>Work in own business</t>
  </si>
  <si>
    <t>Health/Disability</t>
  </si>
  <si>
    <t>Workforce Adjustment (WFA)</t>
  </si>
  <si>
    <t>Family Responsibilities</t>
  </si>
  <si>
    <t>16. What other factors influenced your decision to leave ISED?  Select all that apply</t>
  </si>
  <si>
    <t>Fit with organizational structure</t>
  </si>
  <si>
    <t>Work stress/anxiety</t>
  </si>
  <si>
    <t>Lack of flexibility in my work</t>
  </si>
  <si>
    <t>My direct manager/supervisor</t>
  </si>
  <si>
    <t>Language requirements</t>
  </si>
  <si>
    <t>Work/life balance issues</t>
  </si>
  <si>
    <t>Lack of challenging work and opportunities</t>
  </si>
  <si>
    <t>Low team morale and wellbeing</t>
  </si>
  <si>
    <t>Lack of learning opportunities</t>
  </si>
  <si>
    <t>Change in career path</t>
  </si>
  <si>
    <t>Harassment issues</t>
  </si>
  <si>
    <t>Discrimination issues</t>
  </si>
  <si>
    <t>Personal reasons</t>
  </si>
  <si>
    <t>17. My Job World For each statement, please check the rating that best represents your degree of satisfaction with the following statements where 1= Very Low and 5= Very High.</t>
  </si>
  <si>
    <t>Number of respondents : 143</t>
  </si>
  <si>
    <t>Number of respondents : 43</t>
  </si>
  <si>
    <t>Clear explanation of job duties, responsibilities, and objectives</t>
  </si>
  <si>
    <t>Actual job duties matched expectations</t>
  </si>
  <si>
    <t>Hours of work</t>
  </si>
  <si>
    <t>Task variety</t>
  </si>
  <si>
    <t>Challenge and interest in your job</t>
  </si>
  <si>
    <t>Your workload</t>
  </si>
  <si>
    <t>Staff morale in your immediate work unit</t>
  </si>
  <si>
    <t>Salary with respect to work performed</t>
  </si>
  <si>
    <t>Classification level with respect to work performed</t>
  </si>
  <si>
    <t>Benefits package</t>
  </si>
  <si>
    <t>Working relationship with your co-workers</t>
  </si>
  <si>
    <t>Information sharing throughout organization</t>
  </si>
  <si>
    <t>Adequate resources to perform your job</t>
  </si>
  <si>
    <t>Physical work environment (location, air, space, etc.)</t>
  </si>
  <si>
    <t>Results achieved in your job</t>
  </si>
  <si>
    <t>Training received helped you perform your job duties effectively</t>
  </si>
  <si>
    <t>Number of respondents : 72</t>
  </si>
  <si>
    <t>Number of respondents : 112</t>
  </si>
  <si>
    <t>Number of respondents : 124</t>
  </si>
  <si>
    <t>N/A</t>
  </si>
  <si>
    <t>Number of respondents : 32</t>
  </si>
  <si>
    <t>18. My Manager/Supervisor  For each statement, please check the rating that best represents your degree of satisfaction with the following statements where 1= Very Low and 5= Very High.</t>
  </si>
  <si>
    <t>Number of respondents : 141</t>
  </si>
  <si>
    <t>Number of respondents : 21</t>
  </si>
  <si>
    <t>Feedback on your work performance</t>
  </si>
  <si>
    <t>Recognition of your work accomplishments</t>
  </si>
  <si>
    <t>Support and encouragement from management</t>
  </si>
  <si>
    <t>Flexibility to balance work and family responsibilities</t>
  </si>
  <si>
    <t>Working relationship with your immediate supervisor</t>
  </si>
  <si>
    <t>Accessibility of your immediate supervisor</t>
  </si>
  <si>
    <t>Availability of flexible work arrangements</t>
  </si>
  <si>
    <t>Level of respect, support and guidance for Employment Equity and Diversity issues from your manager</t>
  </si>
  <si>
    <t>Number of respondents : 39</t>
  </si>
  <si>
    <t>Number of respondents : 60</t>
  </si>
  <si>
    <t>Number of respondents : 88</t>
  </si>
  <si>
    <t>Number of respondents : 96</t>
  </si>
  <si>
    <t>19. My Career  For each statement, please check the rating that best represents your degree of satisfaction with the following statements where 1= Very Low and 5= Very High.</t>
  </si>
  <si>
    <t>Availability of tools and services to help manage your career</t>
  </si>
  <si>
    <t>Opportunities for professional mobility</t>
  </si>
  <si>
    <t>Learning and development opportunities</t>
  </si>
  <si>
    <t>Opportunity for advancement in bilingual regions regardless of your First Official Language</t>
  </si>
  <si>
    <t>Number of respondents : 40</t>
  </si>
  <si>
    <t>Number of respondents : 62</t>
  </si>
  <si>
    <t>Number of respondents : 47</t>
  </si>
  <si>
    <t>Number of respondents : 50</t>
  </si>
  <si>
    <t>20.Values and Ethics  For each statement, please check the rating that best represents your degree of satisfaction with the following statements where 1= Very Low and 5= Very High.</t>
  </si>
  <si>
    <t>Number of respondents : 138</t>
  </si>
  <si>
    <t>Respect for official language rights</t>
  </si>
  <si>
    <t>Provision of a discrimination-free workplace</t>
  </si>
  <si>
    <t>Provision of a harassment-free workplace</t>
  </si>
  <si>
    <t>Respect for personal values and ethics</t>
  </si>
  <si>
    <t>Respect for public service values and ethics</t>
  </si>
  <si>
    <t>Respect for Employment Equity, Diversity and Duty to Accommodate policies</t>
  </si>
  <si>
    <t>Number of respondents : 16</t>
  </si>
  <si>
    <t>Number of respondents : 38</t>
  </si>
  <si>
    <t>Number of respondents : 76</t>
  </si>
  <si>
    <t>Number of respondents : 79</t>
  </si>
  <si>
    <t>21. FOR MEMBERS OF EMPLOYMENT EQUITY DESIGNATED GROUPS ONLY (OPTIONAL)  Please check the rating that best represents your degree of satisfaction with the following aspects of your last position where 1 = Very Low and 5 = Very High.</t>
  </si>
  <si>
    <t>Number of respondents : 63</t>
  </si>
  <si>
    <t>Number of respondents : 0</t>
  </si>
  <si>
    <t>Employment Equity policies, programs and initiatives</t>
  </si>
  <si>
    <t>Accommodation of special needs (technical aids etc.)</t>
  </si>
  <si>
    <t>Level of support and guidance for diversity from your manager</t>
  </si>
  <si>
    <t>Level of respect for differences by your manager</t>
  </si>
  <si>
    <t>Number of respondents : 7</t>
  </si>
  <si>
    <t>Number of respondents : 10</t>
  </si>
  <si>
    <t>Number of respondents : 20</t>
  </si>
  <si>
    <t>Number of respondents : 30</t>
  </si>
  <si>
    <t>22. What did you enjoy most about working at Innovation, Science and Economic Development Canada (Check all that apply)</t>
  </si>
  <si>
    <t>Number of respondents : 139</t>
  </si>
  <si>
    <t>The people I worked with</t>
  </si>
  <si>
    <t>The atmosphere and culture</t>
  </si>
  <si>
    <t>The type of work I performed</t>
  </si>
  <si>
    <t>The diversity of work</t>
  </si>
  <si>
    <t>The department is very employee-oriented</t>
  </si>
  <si>
    <t>My manager</t>
  </si>
  <si>
    <t>My work flexibility</t>
  </si>
  <si>
    <t>23. What can we do to improve? (Check all that apply)</t>
  </si>
  <si>
    <t>Enhance work flexibility</t>
  </si>
  <si>
    <t>Improve management training</t>
  </si>
  <si>
    <t>Value employees more</t>
  </si>
  <si>
    <t>Improve departmental communications</t>
  </si>
  <si>
    <t>Provide more support to employment equity</t>
  </si>
  <si>
    <t>Give more support to official languages</t>
  </si>
  <si>
    <t>Provide a respectful, healthy work environment</t>
  </si>
  <si>
    <t>Offer more developmental opportunities</t>
  </si>
  <si>
    <t>Improve on our rewards and recognition of employee performance</t>
  </si>
  <si>
    <t>Improve opportunities for internal promotion</t>
  </si>
  <si>
    <t>End of the report 10/16/2018 10:12:36 AM Eastern Daylight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</si>
</sst>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6A5E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4" fontId="21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0"/>
  <sheetViews>
    <sheetView tabSelected="1" workbookViewId="0"/>
  </sheetViews>
  <sheetFormatPr defaultRowHeight="14.5" x14ac:dyDescent="0.35"/>
  <sheetData>
    <row r="1" spans="1:3" s="1" customFormat="1" ht="25" x14ac:dyDescent="0.5">
      <c r="A1" s="1" t="s">
        <v>0</v>
      </c>
    </row>
    <row r="2" spans="1:3" x14ac:dyDescent="0.35">
      <c r="A2" t="s">
        <v>1</v>
      </c>
    </row>
    <row r="3" spans="1:3" s="2" customFormat="1" ht="13" x14ac:dyDescent="0.3">
      <c r="A3" s="2" t="s">
        <v>2</v>
      </c>
    </row>
    <row r="4" spans="1:3" x14ac:dyDescent="0.35">
      <c r="A4" t="s">
        <v>3</v>
      </c>
    </row>
    <row r="5" spans="1:3" x14ac:dyDescent="0.35">
      <c r="A5" t="s">
        <v>4</v>
      </c>
      <c r="B5" t="s">
        <v>5</v>
      </c>
      <c r="C5" t="s">
        <v>6</v>
      </c>
    </row>
    <row r="6" spans="1:3" x14ac:dyDescent="0.35">
      <c r="A6" t="s">
        <v>7</v>
      </c>
      <c r="B6" s="3">
        <v>127</v>
      </c>
      <c r="C6" s="4">
        <f>(8355/100)</f>
        <v>83.55</v>
      </c>
    </row>
    <row r="7" spans="1:3" x14ac:dyDescent="0.35">
      <c r="A7" t="s">
        <v>8</v>
      </c>
      <c r="B7" s="3">
        <v>25</v>
      </c>
      <c r="C7" s="4">
        <f>(1645/100)</f>
        <v>16.45</v>
      </c>
    </row>
    <row r="8" spans="1:3" x14ac:dyDescent="0.35">
      <c r="A8" t="s">
        <v>1</v>
      </c>
    </row>
    <row r="9" spans="1:3" s="2" customFormat="1" ht="13" x14ac:dyDescent="0.3">
      <c r="A9" s="2" t="s">
        <v>9</v>
      </c>
    </row>
    <row r="10" spans="1:3" x14ac:dyDescent="0.35">
      <c r="A10" t="s">
        <v>3</v>
      </c>
    </row>
    <row r="11" spans="1:3" x14ac:dyDescent="0.35">
      <c r="A11" t="s">
        <v>4</v>
      </c>
      <c r="B11" t="s">
        <v>5</v>
      </c>
      <c r="C11" t="s">
        <v>6</v>
      </c>
    </row>
    <row r="12" spans="1:3" x14ac:dyDescent="0.35">
      <c r="A12" t="s">
        <v>10</v>
      </c>
      <c r="B12" s="3">
        <v>0</v>
      </c>
      <c r="C12" s="4">
        <f>(0/100)</f>
        <v>0</v>
      </c>
    </row>
    <row r="13" spans="1:3" x14ac:dyDescent="0.35">
      <c r="A13" t="s">
        <v>11</v>
      </c>
      <c r="B13" s="3">
        <v>1</v>
      </c>
      <c r="C13" s="4">
        <f>(66/100)</f>
        <v>0.66</v>
      </c>
    </row>
    <row r="14" spans="1:3" x14ac:dyDescent="0.35">
      <c r="A14" t="s">
        <v>12</v>
      </c>
      <c r="B14" s="3">
        <v>8</v>
      </c>
      <c r="C14" s="4">
        <f>(526/100)</f>
        <v>5.26</v>
      </c>
    </row>
    <row r="15" spans="1:3" x14ac:dyDescent="0.35">
      <c r="A15" t="s">
        <v>13</v>
      </c>
      <c r="B15" s="3">
        <v>6</v>
      </c>
      <c r="C15" s="4">
        <f>(395/100)</f>
        <v>3.95</v>
      </c>
    </row>
    <row r="16" spans="1:3" x14ac:dyDescent="0.35">
      <c r="A16" t="s">
        <v>14</v>
      </c>
      <c r="B16" s="3">
        <v>47</v>
      </c>
      <c r="C16" s="4">
        <f>(3092/100)</f>
        <v>30.92</v>
      </c>
    </row>
    <row r="17" spans="1:3" x14ac:dyDescent="0.35">
      <c r="A17" t="s">
        <v>15</v>
      </c>
      <c r="B17" s="3">
        <v>80</v>
      </c>
      <c r="C17" s="4">
        <f>(5263/100)</f>
        <v>52.63</v>
      </c>
    </row>
    <row r="18" spans="1:3" x14ac:dyDescent="0.35">
      <c r="A18" t="s">
        <v>16</v>
      </c>
      <c r="B18" s="3">
        <v>10</v>
      </c>
      <c r="C18" s="4">
        <f>(658/100)</f>
        <v>6.58</v>
      </c>
    </row>
    <row r="19" spans="1:3" x14ac:dyDescent="0.35">
      <c r="A19" t="s">
        <v>1</v>
      </c>
    </row>
    <row r="20" spans="1:3" s="2" customFormat="1" ht="13" x14ac:dyDescent="0.3">
      <c r="A20" s="2" t="s">
        <v>17</v>
      </c>
    </row>
    <row r="21" spans="1:3" x14ac:dyDescent="0.35">
      <c r="A21" t="s">
        <v>3</v>
      </c>
    </row>
    <row r="22" spans="1:3" x14ac:dyDescent="0.35">
      <c r="A22" t="s">
        <v>4</v>
      </c>
      <c r="B22" t="s">
        <v>5</v>
      </c>
      <c r="C22" t="s">
        <v>6</v>
      </c>
    </row>
    <row r="23" spans="1:3" x14ac:dyDescent="0.35">
      <c r="A23" t="s">
        <v>18</v>
      </c>
      <c r="B23" s="3">
        <v>24</v>
      </c>
      <c r="C23" s="4">
        <f>(1579/100)</f>
        <v>15.79</v>
      </c>
    </row>
    <row r="24" spans="1:3" x14ac:dyDescent="0.35">
      <c r="A24" t="s">
        <v>19</v>
      </c>
      <c r="B24" s="3">
        <v>23</v>
      </c>
      <c r="C24" s="4">
        <f>(1513/100)</f>
        <v>15.13</v>
      </c>
    </row>
    <row r="25" spans="1:3" x14ac:dyDescent="0.35">
      <c r="A25" t="s">
        <v>20</v>
      </c>
      <c r="B25" s="3">
        <v>28</v>
      </c>
      <c r="C25" s="4">
        <f>(1842/100)</f>
        <v>18.420000000000002</v>
      </c>
    </row>
    <row r="26" spans="1:3" x14ac:dyDescent="0.35">
      <c r="A26" t="s">
        <v>21</v>
      </c>
      <c r="B26" s="3">
        <v>22</v>
      </c>
      <c r="C26" s="4">
        <f>(1447/100)</f>
        <v>14.47</v>
      </c>
    </row>
    <row r="27" spans="1:3" x14ac:dyDescent="0.35">
      <c r="A27" t="s">
        <v>22</v>
      </c>
      <c r="B27" s="3">
        <v>14</v>
      </c>
      <c r="C27" s="4">
        <f>(921/100)</f>
        <v>9.2100000000000009</v>
      </c>
    </row>
    <row r="28" spans="1:3" x14ac:dyDescent="0.35">
      <c r="A28" t="s">
        <v>23</v>
      </c>
      <c r="B28" s="3">
        <v>15</v>
      </c>
      <c r="C28" s="4">
        <f>(987/100)</f>
        <v>9.8699999999999992</v>
      </c>
    </row>
    <row r="29" spans="1:3" x14ac:dyDescent="0.35">
      <c r="A29" t="s">
        <v>24</v>
      </c>
      <c r="B29" s="3">
        <v>10</v>
      </c>
      <c r="C29" s="4">
        <f>(658/100)</f>
        <v>6.58</v>
      </c>
    </row>
    <row r="30" spans="1:3" x14ac:dyDescent="0.35">
      <c r="A30" t="s">
        <v>25</v>
      </c>
      <c r="B30" s="3">
        <v>10</v>
      </c>
      <c r="C30" s="4">
        <f>(658/100)</f>
        <v>6.58</v>
      </c>
    </row>
    <row r="31" spans="1:3" x14ac:dyDescent="0.35">
      <c r="A31" t="s">
        <v>26</v>
      </c>
      <c r="B31" s="3">
        <v>6</v>
      </c>
      <c r="C31" s="4">
        <f>(395/100)</f>
        <v>3.95</v>
      </c>
    </row>
    <row r="32" spans="1:3" x14ac:dyDescent="0.35">
      <c r="A32" t="s">
        <v>1</v>
      </c>
    </row>
    <row r="33" spans="1:3" s="2" customFormat="1" ht="13" x14ac:dyDescent="0.3">
      <c r="A33" s="2" t="s">
        <v>27</v>
      </c>
    </row>
    <row r="34" spans="1:3" x14ac:dyDescent="0.35">
      <c r="A34" t="s">
        <v>3</v>
      </c>
    </row>
    <row r="35" spans="1:3" x14ac:dyDescent="0.35">
      <c r="A35" t="s">
        <v>4</v>
      </c>
      <c r="B35" t="s">
        <v>5</v>
      </c>
      <c r="C35" t="s">
        <v>6</v>
      </c>
    </row>
    <row r="36" spans="1:3" x14ac:dyDescent="0.35">
      <c r="A36" t="s">
        <v>28</v>
      </c>
      <c r="B36" s="3">
        <v>65</v>
      </c>
      <c r="C36" s="4">
        <f>(4276/100)</f>
        <v>42.76</v>
      </c>
    </row>
    <row r="37" spans="1:3" x14ac:dyDescent="0.35">
      <c r="A37" t="s">
        <v>29</v>
      </c>
      <c r="B37" s="3">
        <v>87</v>
      </c>
      <c r="C37" s="4">
        <f>(5724/100)</f>
        <v>57.24</v>
      </c>
    </row>
    <row r="38" spans="1:3" x14ac:dyDescent="0.35">
      <c r="A38" t="s">
        <v>1</v>
      </c>
    </row>
    <row r="39" spans="1:3" s="2" customFormat="1" ht="13" x14ac:dyDescent="0.3">
      <c r="A39" s="2" t="s">
        <v>30</v>
      </c>
    </row>
    <row r="40" spans="1:3" x14ac:dyDescent="0.35">
      <c r="A40" t="s">
        <v>3</v>
      </c>
    </row>
    <row r="41" spans="1:3" x14ac:dyDescent="0.35">
      <c r="A41" t="s">
        <v>4</v>
      </c>
      <c r="B41" t="s">
        <v>5</v>
      </c>
      <c r="C41" t="s">
        <v>6</v>
      </c>
    </row>
    <row r="42" spans="1:3" x14ac:dyDescent="0.35">
      <c r="A42" t="s">
        <v>31</v>
      </c>
      <c r="B42" s="3">
        <v>93</v>
      </c>
      <c r="C42" s="4">
        <f>(6118/100)</f>
        <v>61.18</v>
      </c>
    </row>
    <row r="43" spans="1:3" x14ac:dyDescent="0.35">
      <c r="A43" t="s">
        <v>32</v>
      </c>
      <c r="B43" s="3">
        <v>30</v>
      </c>
      <c r="C43" s="4">
        <f>(1974/100)</f>
        <v>19.739999999999998</v>
      </c>
    </row>
    <row r="44" spans="1:3" x14ac:dyDescent="0.35">
      <c r="A44" t="s">
        <v>33</v>
      </c>
      <c r="B44" s="3">
        <v>12</v>
      </c>
      <c r="C44" s="4">
        <f>(789/100)</f>
        <v>7.89</v>
      </c>
    </row>
    <row r="45" spans="1:3" x14ac:dyDescent="0.35">
      <c r="A45" t="s">
        <v>34</v>
      </c>
      <c r="B45" s="3">
        <v>17</v>
      </c>
      <c r="C45" s="4">
        <f>(1118/100)</f>
        <v>11.18</v>
      </c>
    </row>
    <row r="46" spans="1:3" x14ac:dyDescent="0.35">
      <c r="A46" t="s">
        <v>1</v>
      </c>
    </row>
    <row r="47" spans="1:3" s="2" customFormat="1" ht="13" x14ac:dyDescent="0.3">
      <c r="A47" s="2" t="s">
        <v>35</v>
      </c>
    </row>
    <row r="48" spans="1:3" x14ac:dyDescent="0.35">
      <c r="A48" t="s">
        <v>36</v>
      </c>
    </row>
    <row r="49" spans="1:3" x14ac:dyDescent="0.35">
      <c r="A49" t="s">
        <v>4</v>
      </c>
      <c r="B49" t="s">
        <v>5</v>
      </c>
      <c r="C49" t="s">
        <v>6</v>
      </c>
    </row>
    <row r="50" spans="1:3" x14ac:dyDescent="0.35">
      <c r="A50" t="s">
        <v>37</v>
      </c>
      <c r="B50" s="3">
        <v>1</v>
      </c>
      <c r="C50" s="4">
        <f>(68/100)</f>
        <v>0.68</v>
      </c>
    </row>
    <row r="51" spans="1:3" x14ac:dyDescent="0.35">
      <c r="A51" t="s">
        <v>38</v>
      </c>
      <c r="B51" s="3">
        <v>46</v>
      </c>
      <c r="C51" s="4">
        <f>(3151/100)</f>
        <v>31.51</v>
      </c>
    </row>
    <row r="52" spans="1:3" x14ac:dyDescent="0.35">
      <c r="A52" t="s">
        <v>39</v>
      </c>
      <c r="B52" s="3">
        <v>5</v>
      </c>
      <c r="C52" s="4">
        <f>(342/100)</f>
        <v>3.42</v>
      </c>
    </row>
    <row r="53" spans="1:3" x14ac:dyDescent="0.35">
      <c r="A53" t="s">
        <v>40</v>
      </c>
      <c r="B53" s="3">
        <v>76</v>
      </c>
      <c r="C53" s="4">
        <f>(5205/100)</f>
        <v>52.05</v>
      </c>
    </row>
    <row r="54" spans="1:3" x14ac:dyDescent="0.35">
      <c r="A54" t="s">
        <v>41</v>
      </c>
      <c r="B54" s="3">
        <v>18</v>
      </c>
      <c r="C54" s="4">
        <f>(1233/100)</f>
        <v>12.33</v>
      </c>
    </row>
    <row r="55" spans="1:3" x14ac:dyDescent="0.35">
      <c r="A55" t="s">
        <v>1</v>
      </c>
    </row>
    <row r="56" spans="1:3" s="2" customFormat="1" ht="13" x14ac:dyDescent="0.3">
      <c r="A56" s="2" t="s">
        <v>42</v>
      </c>
    </row>
    <row r="57" spans="1:3" x14ac:dyDescent="0.35">
      <c r="A57" t="s">
        <v>3</v>
      </c>
    </row>
    <row r="58" spans="1:3" x14ac:dyDescent="0.35">
      <c r="A58" t="s">
        <v>4</v>
      </c>
      <c r="B58" t="s">
        <v>5</v>
      </c>
      <c r="C58" t="s">
        <v>6</v>
      </c>
    </row>
    <row r="59" spans="1:3" x14ac:dyDescent="0.35">
      <c r="A59" t="s">
        <v>43</v>
      </c>
      <c r="B59" s="3">
        <v>0</v>
      </c>
      <c r="C59" s="4">
        <f>(0/100)</f>
        <v>0</v>
      </c>
    </row>
    <row r="60" spans="1:3" x14ac:dyDescent="0.35">
      <c r="A60" t="s">
        <v>44</v>
      </c>
      <c r="B60" s="3">
        <v>5</v>
      </c>
      <c r="C60" s="4">
        <f>(329/100)</f>
        <v>3.29</v>
      </c>
    </row>
    <row r="61" spans="1:3" x14ac:dyDescent="0.35">
      <c r="A61" t="s">
        <v>45</v>
      </c>
      <c r="B61" s="3">
        <v>0</v>
      </c>
      <c r="C61" s="4">
        <f>(0/100)</f>
        <v>0</v>
      </c>
    </row>
    <row r="62" spans="1:3" x14ac:dyDescent="0.35">
      <c r="A62" t="s">
        <v>46</v>
      </c>
      <c r="B62" s="3">
        <v>104</v>
      </c>
      <c r="C62" s="4">
        <f>(6842/100)</f>
        <v>68.42</v>
      </c>
    </row>
    <row r="63" spans="1:3" x14ac:dyDescent="0.35">
      <c r="A63" t="s">
        <v>47</v>
      </c>
      <c r="B63" s="3">
        <v>2</v>
      </c>
      <c r="C63" s="4">
        <f>(132/100)</f>
        <v>1.32</v>
      </c>
    </row>
    <row r="64" spans="1:3" x14ac:dyDescent="0.35">
      <c r="A64" t="s">
        <v>48</v>
      </c>
      <c r="B64" s="3">
        <v>0</v>
      </c>
      <c r="C64" s="4">
        <f>(0/100)</f>
        <v>0</v>
      </c>
    </row>
    <row r="65" spans="1:3" x14ac:dyDescent="0.35">
      <c r="A65" t="s">
        <v>49</v>
      </c>
      <c r="B65" s="3">
        <v>0</v>
      </c>
      <c r="C65" s="4">
        <f>(0/100)</f>
        <v>0</v>
      </c>
    </row>
    <row r="66" spans="1:3" x14ac:dyDescent="0.35">
      <c r="A66" t="s">
        <v>50</v>
      </c>
      <c r="B66" s="3">
        <v>0</v>
      </c>
      <c r="C66" s="4">
        <f>(0/100)</f>
        <v>0</v>
      </c>
    </row>
    <row r="67" spans="1:3" x14ac:dyDescent="0.35">
      <c r="A67" t="s">
        <v>51</v>
      </c>
      <c r="B67" s="3">
        <v>1</v>
      </c>
      <c r="C67" s="4">
        <f>(66/100)</f>
        <v>0.66</v>
      </c>
    </row>
    <row r="68" spans="1:3" x14ac:dyDescent="0.35">
      <c r="A68" t="s">
        <v>52</v>
      </c>
      <c r="B68" s="3">
        <v>0</v>
      </c>
      <c r="C68" s="4">
        <f>(0/100)</f>
        <v>0</v>
      </c>
    </row>
    <row r="69" spans="1:3" x14ac:dyDescent="0.35">
      <c r="A69" t="s">
        <v>53</v>
      </c>
      <c r="B69" s="3">
        <v>36</v>
      </c>
      <c r="C69" s="4">
        <f>(2368/100)</f>
        <v>23.68</v>
      </c>
    </row>
    <row r="70" spans="1:3" x14ac:dyDescent="0.35">
      <c r="A70" t="s">
        <v>54</v>
      </c>
      <c r="B70" s="3">
        <v>0</v>
      </c>
      <c r="C70" s="4">
        <f>(0/100)</f>
        <v>0</v>
      </c>
    </row>
    <row r="71" spans="1:3" x14ac:dyDescent="0.35">
      <c r="A71" t="s">
        <v>55</v>
      </c>
      <c r="B71" s="3">
        <v>4</v>
      </c>
      <c r="C71" s="4">
        <f>(263/100)</f>
        <v>2.63</v>
      </c>
    </row>
    <row r="72" spans="1:3" x14ac:dyDescent="0.35">
      <c r="A72" t="s">
        <v>56</v>
      </c>
      <c r="B72" s="3">
        <v>0</v>
      </c>
      <c r="C72" s="4">
        <f>(0/100)</f>
        <v>0</v>
      </c>
    </row>
    <row r="73" spans="1:3" x14ac:dyDescent="0.35">
      <c r="A73" t="s">
        <v>57</v>
      </c>
      <c r="B73" s="3">
        <v>0</v>
      </c>
      <c r="C73" s="4">
        <f>(0/100)</f>
        <v>0</v>
      </c>
    </row>
    <row r="74" spans="1:3" x14ac:dyDescent="0.35">
      <c r="A74" t="s">
        <v>1</v>
      </c>
    </row>
    <row r="75" spans="1:3" s="2" customFormat="1" ht="13" x14ac:dyDescent="0.3">
      <c r="A75" s="2" t="s">
        <v>58</v>
      </c>
    </row>
    <row r="76" spans="1:3" x14ac:dyDescent="0.35">
      <c r="A76" t="s">
        <v>3</v>
      </c>
    </row>
    <row r="77" spans="1:3" x14ac:dyDescent="0.35">
      <c r="A77" t="s">
        <v>4</v>
      </c>
      <c r="B77" t="s">
        <v>5</v>
      </c>
      <c r="C77" t="s">
        <v>6</v>
      </c>
    </row>
    <row r="78" spans="1:3" x14ac:dyDescent="0.35">
      <c r="A78" t="s">
        <v>59</v>
      </c>
      <c r="B78" s="3">
        <v>1</v>
      </c>
      <c r="C78" s="4">
        <f>(66/100)</f>
        <v>0.66</v>
      </c>
    </row>
    <row r="79" spans="1:3" x14ac:dyDescent="0.35">
      <c r="A79" t="s">
        <v>60</v>
      </c>
      <c r="B79" s="3">
        <v>8</v>
      </c>
      <c r="C79" s="4">
        <f>(526/100)</f>
        <v>5.26</v>
      </c>
    </row>
    <row r="80" spans="1:3" x14ac:dyDescent="0.35">
      <c r="A80" t="s">
        <v>61</v>
      </c>
      <c r="B80" s="3">
        <v>4</v>
      </c>
      <c r="C80" s="4">
        <f>(263/100)</f>
        <v>2.63</v>
      </c>
    </row>
    <row r="81" spans="1:3" x14ac:dyDescent="0.35">
      <c r="A81" t="s">
        <v>62</v>
      </c>
      <c r="B81" s="3">
        <v>0</v>
      </c>
      <c r="C81" s="4">
        <f>(0/100)</f>
        <v>0</v>
      </c>
    </row>
    <row r="82" spans="1:3" x14ac:dyDescent="0.35">
      <c r="A82" t="s">
        <v>63</v>
      </c>
      <c r="B82" s="3">
        <v>3</v>
      </c>
      <c r="C82" s="4">
        <f>(197/100)</f>
        <v>1.97</v>
      </c>
    </row>
    <row r="83" spans="1:3" x14ac:dyDescent="0.35">
      <c r="A83" t="s">
        <v>64</v>
      </c>
      <c r="B83" s="3">
        <v>6</v>
      </c>
      <c r="C83" s="4">
        <f>(395/100)</f>
        <v>3.95</v>
      </c>
    </row>
    <row r="84" spans="1:3" x14ac:dyDescent="0.35">
      <c r="A84" t="s">
        <v>65</v>
      </c>
      <c r="B84" s="3">
        <v>30</v>
      </c>
      <c r="C84" s="4">
        <f>(1974/100)</f>
        <v>19.739999999999998</v>
      </c>
    </row>
    <row r="85" spans="1:3" x14ac:dyDescent="0.35">
      <c r="A85" t="s">
        <v>66</v>
      </c>
      <c r="B85" s="3">
        <v>1</v>
      </c>
      <c r="C85" s="4">
        <f>(66/100)</f>
        <v>0.66</v>
      </c>
    </row>
    <row r="86" spans="1:3" x14ac:dyDescent="0.35">
      <c r="A86" t="s">
        <v>67</v>
      </c>
      <c r="B86" s="3">
        <v>2</v>
      </c>
      <c r="C86" s="4">
        <f>(132/100)</f>
        <v>1.32</v>
      </c>
    </row>
    <row r="87" spans="1:3" x14ac:dyDescent="0.35">
      <c r="A87" t="s">
        <v>68</v>
      </c>
      <c r="B87" s="3">
        <v>19</v>
      </c>
      <c r="C87" s="4">
        <f>(1250/100)</f>
        <v>12.5</v>
      </c>
    </row>
    <row r="88" spans="1:3" x14ac:dyDescent="0.35">
      <c r="A88" t="s">
        <v>69</v>
      </c>
      <c r="B88" s="3">
        <v>33</v>
      </c>
      <c r="C88" s="4">
        <f>(2171/100)</f>
        <v>21.71</v>
      </c>
    </row>
    <row r="89" spans="1:3" x14ac:dyDescent="0.35">
      <c r="A89" t="s">
        <v>70</v>
      </c>
      <c r="B89" s="3">
        <v>20</v>
      </c>
      <c r="C89" s="4">
        <f>(1316/100)</f>
        <v>13.16</v>
      </c>
    </row>
    <row r="90" spans="1:3" x14ac:dyDescent="0.35">
      <c r="A90" t="s">
        <v>71</v>
      </c>
      <c r="B90" s="3">
        <v>25</v>
      </c>
      <c r="C90" s="4">
        <f>(1645/100)</f>
        <v>16.45</v>
      </c>
    </row>
    <row r="91" spans="1:3" x14ac:dyDescent="0.35">
      <c r="A91" t="s">
        <v>1</v>
      </c>
    </row>
    <row r="92" spans="1:3" s="2" customFormat="1" ht="13" x14ac:dyDescent="0.3">
      <c r="A92" s="2" t="s">
        <v>72</v>
      </c>
    </row>
    <row r="93" spans="1:3" x14ac:dyDescent="0.35">
      <c r="A93" t="s">
        <v>73</v>
      </c>
    </row>
    <row r="94" spans="1:3" x14ac:dyDescent="0.35">
      <c r="A94" t="s">
        <v>4</v>
      </c>
      <c r="B94" t="s">
        <v>5</v>
      </c>
      <c r="C94" t="s">
        <v>6</v>
      </c>
    </row>
    <row r="95" spans="1:3" x14ac:dyDescent="0.35">
      <c r="A95" t="s">
        <v>74</v>
      </c>
      <c r="B95" s="3">
        <v>1</v>
      </c>
      <c r="C95" s="4">
        <f>(189/100)</f>
        <v>1.89</v>
      </c>
    </row>
    <row r="96" spans="1:3" x14ac:dyDescent="0.35">
      <c r="A96" t="s">
        <v>75</v>
      </c>
      <c r="B96" s="3">
        <v>0</v>
      </c>
      <c r="C96" s="4">
        <f>(0/100)</f>
        <v>0</v>
      </c>
    </row>
    <row r="97" spans="1:3" x14ac:dyDescent="0.35">
      <c r="A97" t="s">
        <v>76</v>
      </c>
      <c r="B97" s="3">
        <v>0</v>
      </c>
      <c r="C97" s="4">
        <f>(0/100)</f>
        <v>0</v>
      </c>
    </row>
    <row r="98" spans="1:3" x14ac:dyDescent="0.35">
      <c r="A98" t="s">
        <v>77</v>
      </c>
      <c r="B98" s="3">
        <v>0</v>
      </c>
      <c r="C98" s="4">
        <f>(0/100)</f>
        <v>0</v>
      </c>
    </row>
    <row r="99" spans="1:3" x14ac:dyDescent="0.35">
      <c r="A99" t="s">
        <v>78</v>
      </c>
      <c r="B99" s="3">
        <v>4</v>
      </c>
      <c r="C99" s="4">
        <f>(755/100)</f>
        <v>7.55</v>
      </c>
    </row>
    <row r="100" spans="1:3" x14ac:dyDescent="0.35">
      <c r="A100" t="s">
        <v>79</v>
      </c>
      <c r="B100" s="3">
        <v>4</v>
      </c>
      <c r="C100" s="4">
        <f>(755/100)</f>
        <v>7.55</v>
      </c>
    </row>
    <row r="101" spans="1:3" x14ac:dyDescent="0.35">
      <c r="A101" t="s">
        <v>80</v>
      </c>
      <c r="B101" s="3">
        <v>44</v>
      </c>
      <c r="C101" s="4">
        <f>(8302/100)</f>
        <v>83.02</v>
      </c>
    </row>
    <row r="102" spans="1:3" x14ac:dyDescent="0.35">
      <c r="A102" t="s">
        <v>1</v>
      </c>
    </row>
    <row r="103" spans="1:3" s="2" customFormat="1" ht="13" x14ac:dyDescent="0.3">
      <c r="A103" s="2" t="s">
        <v>81</v>
      </c>
    </row>
    <row r="104" spans="1:3" x14ac:dyDescent="0.35">
      <c r="A104" t="s">
        <v>3</v>
      </c>
    </row>
    <row r="105" spans="1:3" x14ac:dyDescent="0.35">
      <c r="A105" t="s">
        <v>4</v>
      </c>
      <c r="B105" t="s">
        <v>5</v>
      </c>
      <c r="C105" t="s">
        <v>6</v>
      </c>
    </row>
    <row r="106" spans="1:3" x14ac:dyDescent="0.35">
      <c r="A106" t="s">
        <v>82</v>
      </c>
      <c r="B106" s="3">
        <v>1</v>
      </c>
      <c r="C106" s="4">
        <f>(66/100)</f>
        <v>0.66</v>
      </c>
    </row>
    <row r="107" spans="1:3" x14ac:dyDescent="0.35">
      <c r="A107" t="s">
        <v>83</v>
      </c>
      <c r="B107" s="3">
        <v>0</v>
      </c>
      <c r="C107" s="4">
        <f>(0/100)</f>
        <v>0</v>
      </c>
    </row>
    <row r="108" spans="1:3" x14ac:dyDescent="0.35">
      <c r="A108" t="s">
        <v>84</v>
      </c>
      <c r="B108" s="3">
        <v>10</v>
      </c>
      <c r="C108" s="4">
        <f>(658/100)</f>
        <v>6.58</v>
      </c>
    </row>
    <row r="109" spans="1:3" x14ac:dyDescent="0.35">
      <c r="A109" t="s">
        <v>85</v>
      </c>
      <c r="B109" s="3">
        <v>2</v>
      </c>
      <c r="C109" s="4">
        <f>(132/100)</f>
        <v>1.32</v>
      </c>
    </row>
    <row r="110" spans="1:3" x14ac:dyDescent="0.35">
      <c r="A110" t="s">
        <v>86</v>
      </c>
      <c r="B110" s="3">
        <v>0</v>
      </c>
      <c r="C110" s="4">
        <f>(0/100)</f>
        <v>0</v>
      </c>
    </row>
    <row r="111" spans="1:3" x14ac:dyDescent="0.35">
      <c r="A111" t="s">
        <v>87</v>
      </c>
      <c r="B111" s="3">
        <v>131</v>
      </c>
      <c r="C111" s="4">
        <f>(8618/100)</f>
        <v>86.18</v>
      </c>
    </row>
    <row r="112" spans="1:3" x14ac:dyDescent="0.35">
      <c r="A112" t="s">
        <v>88</v>
      </c>
      <c r="B112" s="3">
        <v>1</v>
      </c>
      <c r="C112" s="4">
        <f>(66/100)</f>
        <v>0.66</v>
      </c>
    </row>
    <row r="113" spans="1:3" x14ac:dyDescent="0.35">
      <c r="A113" t="s">
        <v>89</v>
      </c>
      <c r="B113" s="3">
        <v>0</v>
      </c>
      <c r="C113" s="4">
        <f>(0/100)</f>
        <v>0</v>
      </c>
    </row>
    <row r="114" spans="1:3" x14ac:dyDescent="0.35">
      <c r="A114" t="s">
        <v>90</v>
      </c>
      <c r="B114" s="3">
        <v>0</v>
      </c>
      <c r="C114" s="4">
        <f>(0/100)</f>
        <v>0</v>
      </c>
    </row>
    <row r="115" spans="1:3" x14ac:dyDescent="0.35">
      <c r="A115" t="s">
        <v>91</v>
      </c>
      <c r="B115" s="3">
        <v>1</v>
      </c>
      <c r="C115" s="4">
        <f>(66/100)</f>
        <v>0.66</v>
      </c>
    </row>
    <row r="116" spans="1:3" x14ac:dyDescent="0.35">
      <c r="A116" t="s">
        <v>92</v>
      </c>
      <c r="B116" s="3">
        <v>0</v>
      </c>
      <c r="C116" s="4">
        <f>(0/100)</f>
        <v>0</v>
      </c>
    </row>
    <row r="117" spans="1:3" x14ac:dyDescent="0.35">
      <c r="A117" t="s">
        <v>93</v>
      </c>
      <c r="B117" s="3">
        <v>0</v>
      </c>
      <c r="C117" s="4">
        <f>(0/100)</f>
        <v>0</v>
      </c>
    </row>
    <row r="118" spans="1:3" x14ac:dyDescent="0.35">
      <c r="A118" t="s">
        <v>94</v>
      </c>
      <c r="B118" s="3">
        <v>0</v>
      </c>
      <c r="C118" s="4">
        <f>(0/100)</f>
        <v>0</v>
      </c>
    </row>
    <row r="119" spans="1:3" x14ac:dyDescent="0.35">
      <c r="A119" t="s">
        <v>95</v>
      </c>
      <c r="B119" s="3">
        <v>1</v>
      </c>
      <c r="C119" s="4">
        <f>(66/100)</f>
        <v>0.66</v>
      </c>
    </row>
    <row r="120" spans="1:3" x14ac:dyDescent="0.35">
      <c r="A120" t="s">
        <v>96</v>
      </c>
      <c r="B120" s="3">
        <v>0</v>
      </c>
      <c r="C120" s="4">
        <f>(0/100)</f>
        <v>0</v>
      </c>
    </row>
    <row r="121" spans="1:3" x14ac:dyDescent="0.35">
      <c r="A121" t="s">
        <v>97</v>
      </c>
      <c r="B121" s="3">
        <v>1</v>
      </c>
      <c r="C121" s="4">
        <f>(66/100)</f>
        <v>0.66</v>
      </c>
    </row>
    <row r="122" spans="1:3" x14ac:dyDescent="0.35">
      <c r="A122" t="s">
        <v>98</v>
      </c>
      <c r="B122" s="3">
        <v>1</v>
      </c>
      <c r="C122" s="4">
        <f>(66/100)</f>
        <v>0.66</v>
      </c>
    </row>
    <row r="123" spans="1:3" x14ac:dyDescent="0.35">
      <c r="A123" t="s">
        <v>99</v>
      </c>
      <c r="B123" s="3">
        <v>0</v>
      </c>
      <c r="C123" s="4">
        <f>(0/100)</f>
        <v>0</v>
      </c>
    </row>
    <row r="124" spans="1:3" x14ac:dyDescent="0.35">
      <c r="A124" t="s">
        <v>100</v>
      </c>
      <c r="B124" s="3">
        <v>0</v>
      </c>
      <c r="C124" s="4">
        <f>(0/100)</f>
        <v>0</v>
      </c>
    </row>
    <row r="125" spans="1:3" x14ac:dyDescent="0.35">
      <c r="A125" t="s">
        <v>101</v>
      </c>
      <c r="B125" s="3">
        <v>1</v>
      </c>
      <c r="C125" s="4">
        <f>(66/100)</f>
        <v>0.66</v>
      </c>
    </row>
    <row r="126" spans="1:3" x14ac:dyDescent="0.35">
      <c r="A126" t="s">
        <v>102</v>
      </c>
      <c r="B126" s="3">
        <v>0</v>
      </c>
      <c r="C126" s="4">
        <f>(0/100)</f>
        <v>0</v>
      </c>
    </row>
    <row r="127" spans="1:3" x14ac:dyDescent="0.35">
      <c r="A127" t="s">
        <v>103</v>
      </c>
      <c r="B127" s="3">
        <v>2</v>
      </c>
      <c r="C127" s="4">
        <f>(132/100)</f>
        <v>1.32</v>
      </c>
    </row>
    <row r="128" spans="1:3" x14ac:dyDescent="0.35">
      <c r="A128" t="s">
        <v>104</v>
      </c>
      <c r="B128" s="3">
        <v>0</v>
      </c>
      <c r="C128" s="4">
        <f>(0/100)</f>
        <v>0</v>
      </c>
    </row>
    <row r="129" spans="1:3" x14ac:dyDescent="0.35">
      <c r="A129" t="s">
        <v>105</v>
      </c>
      <c r="B129" s="3">
        <v>0</v>
      </c>
      <c r="C129" s="4">
        <f>(0/100)</f>
        <v>0</v>
      </c>
    </row>
    <row r="130" spans="1:3" x14ac:dyDescent="0.35">
      <c r="A130" t="s">
        <v>1</v>
      </c>
    </row>
    <row r="131" spans="1:3" s="2" customFormat="1" ht="13" x14ac:dyDescent="0.3">
      <c r="A131" s="2" t="s">
        <v>106</v>
      </c>
    </row>
    <row r="132" spans="1:3" x14ac:dyDescent="0.35">
      <c r="A132" t="s">
        <v>3</v>
      </c>
    </row>
    <row r="133" spans="1:3" x14ac:dyDescent="0.35">
      <c r="A133" t="s">
        <v>4</v>
      </c>
      <c r="B133" t="s">
        <v>5</v>
      </c>
      <c r="C133" t="s">
        <v>6</v>
      </c>
    </row>
    <row r="134" spans="1:3" x14ac:dyDescent="0.35">
      <c r="A134" t="s">
        <v>107</v>
      </c>
      <c r="B134" s="3">
        <v>23</v>
      </c>
      <c r="C134" s="4">
        <f>(1513/100)</f>
        <v>15.13</v>
      </c>
    </row>
    <row r="135" spans="1:3" x14ac:dyDescent="0.35">
      <c r="A135" t="s">
        <v>108</v>
      </c>
      <c r="B135" s="3">
        <v>51</v>
      </c>
      <c r="C135" s="4">
        <f>(3355/100)</f>
        <v>33.549999999999997</v>
      </c>
    </row>
    <row r="136" spans="1:3" x14ac:dyDescent="0.35">
      <c r="A136" t="s">
        <v>109</v>
      </c>
      <c r="B136" s="3">
        <v>13</v>
      </c>
      <c r="C136" s="4">
        <f>(855/100)</f>
        <v>8.5500000000000007</v>
      </c>
    </row>
    <row r="137" spans="1:3" x14ac:dyDescent="0.35">
      <c r="A137" t="s">
        <v>110</v>
      </c>
      <c r="B137" s="3">
        <v>9</v>
      </c>
      <c r="C137" s="4">
        <f>(592/100)</f>
        <v>5.92</v>
      </c>
    </row>
    <row r="138" spans="1:3" x14ac:dyDescent="0.35">
      <c r="A138" t="s">
        <v>111</v>
      </c>
      <c r="B138" s="3">
        <v>20</v>
      </c>
      <c r="C138" s="4">
        <f>(1316/100)</f>
        <v>13.16</v>
      </c>
    </row>
    <row r="139" spans="1:3" x14ac:dyDescent="0.35">
      <c r="A139" t="s">
        <v>112</v>
      </c>
      <c r="B139" s="3">
        <v>19</v>
      </c>
      <c r="C139" s="4">
        <f>(1250/100)</f>
        <v>12.5</v>
      </c>
    </row>
    <row r="140" spans="1:3" x14ac:dyDescent="0.35">
      <c r="A140" t="s">
        <v>113</v>
      </c>
      <c r="B140" s="3">
        <v>13</v>
      </c>
      <c r="C140" s="4">
        <f>(855/100)</f>
        <v>8.5500000000000007</v>
      </c>
    </row>
    <row r="141" spans="1:3" x14ac:dyDescent="0.35">
      <c r="A141" t="s">
        <v>114</v>
      </c>
      <c r="B141" s="3">
        <v>4</v>
      </c>
      <c r="C141" s="4">
        <f>(263/100)</f>
        <v>2.63</v>
      </c>
    </row>
    <row r="142" spans="1:3" x14ac:dyDescent="0.35">
      <c r="A142" t="s">
        <v>1</v>
      </c>
    </row>
    <row r="143" spans="1:3" s="2" customFormat="1" ht="13" x14ac:dyDescent="0.3">
      <c r="A143" s="2" t="s">
        <v>115</v>
      </c>
    </row>
    <row r="144" spans="1:3" x14ac:dyDescent="0.35">
      <c r="A144" t="s">
        <v>3</v>
      </c>
    </row>
    <row r="145" spans="1:3" x14ac:dyDescent="0.35">
      <c r="A145" t="s">
        <v>4</v>
      </c>
      <c r="B145" t="s">
        <v>5</v>
      </c>
      <c r="C145" t="s">
        <v>6</v>
      </c>
    </row>
    <row r="146" spans="1:3" x14ac:dyDescent="0.35">
      <c r="A146" t="s">
        <v>82</v>
      </c>
      <c r="B146" s="3">
        <v>0</v>
      </c>
      <c r="C146" s="4">
        <f>(0/100)</f>
        <v>0</v>
      </c>
    </row>
    <row r="147" spans="1:3" x14ac:dyDescent="0.35">
      <c r="A147" t="s">
        <v>83</v>
      </c>
      <c r="B147" s="3">
        <v>0</v>
      </c>
      <c r="C147" s="4">
        <f>(0/100)</f>
        <v>0</v>
      </c>
    </row>
    <row r="148" spans="1:3" x14ac:dyDescent="0.35">
      <c r="A148" t="s">
        <v>84</v>
      </c>
      <c r="B148" s="3">
        <v>0</v>
      </c>
      <c r="C148" s="4">
        <f>(0/100)</f>
        <v>0</v>
      </c>
    </row>
    <row r="149" spans="1:3" x14ac:dyDescent="0.35">
      <c r="A149" t="s">
        <v>85</v>
      </c>
      <c r="B149" s="3">
        <v>0</v>
      </c>
      <c r="C149" s="4">
        <f>(0/100)</f>
        <v>0</v>
      </c>
    </row>
    <row r="150" spans="1:3" x14ac:dyDescent="0.35">
      <c r="A150" t="s">
        <v>86</v>
      </c>
      <c r="B150" s="3">
        <v>0</v>
      </c>
      <c r="C150" s="4">
        <f>(0/100)</f>
        <v>0</v>
      </c>
    </row>
    <row r="151" spans="1:3" x14ac:dyDescent="0.35">
      <c r="A151" t="s">
        <v>87</v>
      </c>
      <c r="B151" s="3">
        <v>152</v>
      </c>
      <c r="C151" s="4">
        <f>(10000/100)</f>
        <v>100</v>
      </c>
    </row>
    <row r="152" spans="1:3" x14ac:dyDescent="0.35">
      <c r="A152" t="s">
        <v>88</v>
      </c>
      <c r="B152" s="3">
        <v>0</v>
      </c>
      <c r="C152" s="4">
        <f t="shared" ref="C152:C169" si="0">(0/100)</f>
        <v>0</v>
      </c>
    </row>
    <row r="153" spans="1:3" x14ac:dyDescent="0.35">
      <c r="A153" t="s">
        <v>89</v>
      </c>
      <c r="B153" s="3">
        <v>0</v>
      </c>
      <c r="C153" s="4">
        <f t="shared" si="0"/>
        <v>0</v>
      </c>
    </row>
    <row r="154" spans="1:3" x14ac:dyDescent="0.35">
      <c r="A154" t="s">
        <v>90</v>
      </c>
      <c r="B154" s="3">
        <v>0</v>
      </c>
      <c r="C154" s="4">
        <f t="shared" si="0"/>
        <v>0</v>
      </c>
    </row>
    <row r="155" spans="1:3" x14ac:dyDescent="0.35">
      <c r="A155" t="s">
        <v>91</v>
      </c>
      <c r="B155" s="3">
        <v>0</v>
      </c>
      <c r="C155" s="4">
        <f t="shared" si="0"/>
        <v>0</v>
      </c>
    </row>
    <row r="156" spans="1:3" x14ac:dyDescent="0.35">
      <c r="A156" t="s">
        <v>92</v>
      </c>
      <c r="B156" s="3">
        <v>0</v>
      </c>
      <c r="C156" s="4">
        <f t="shared" si="0"/>
        <v>0</v>
      </c>
    </row>
    <row r="157" spans="1:3" x14ac:dyDescent="0.35">
      <c r="A157" t="s">
        <v>93</v>
      </c>
      <c r="B157" s="3">
        <v>0</v>
      </c>
      <c r="C157" s="4">
        <f t="shared" si="0"/>
        <v>0</v>
      </c>
    </row>
    <row r="158" spans="1:3" x14ac:dyDescent="0.35">
      <c r="A158" t="s">
        <v>94</v>
      </c>
      <c r="B158" s="3">
        <v>0</v>
      </c>
      <c r="C158" s="4">
        <f t="shared" si="0"/>
        <v>0</v>
      </c>
    </row>
    <row r="159" spans="1:3" x14ac:dyDescent="0.35">
      <c r="A159" t="s">
        <v>95</v>
      </c>
      <c r="B159" s="3">
        <v>0</v>
      </c>
      <c r="C159" s="4">
        <f t="shared" si="0"/>
        <v>0</v>
      </c>
    </row>
    <row r="160" spans="1:3" x14ac:dyDescent="0.35">
      <c r="A160" t="s">
        <v>96</v>
      </c>
      <c r="B160" s="3">
        <v>0</v>
      </c>
      <c r="C160" s="4">
        <f t="shared" si="0"/>
        <v>0</v>
      </c>
    </row>
    <row r="161" spans="1:3" x14ac:dyDescent="0.35">
      <c r="A161" t="s">
        <v>97</v>
      </c>
      <c r="B161" s="3">
        <v>0</v>
      </c>
      <c r="C161" s="4">
        <f t="shared" si="0"/>
        <v>0</v>
      </c>
    </row>
    <row r="162" spans="1:3" x14ac:dyDescent="0.35">
      <c r="A162" t="s">
        <v>98</v>
      </c>
      <c r="B162" s="3">
        <v>0</v>
      </c>
      <c r="C162" s="4">
        <f t="shared" si="0"/>
        <v>0</v>
      </c>
    </row>
    <row r="163" spans="1:3" x14ac:dyDescent="0.35">
      <c r="A163" t="s">
        <v>99</v>
      </c>
      <c r="B163" s="3">
        <v>0</v>
      </c>
      <c r="C163" s="4">
        <f t="shared" si="0"/>
        <v>0</v>
      </c>
    </row>
    <row r="164" spans="1:3" x14ac:dyDescent="0.35">
      <c r="A164" t="s">
        <v>100</v>
      </c>
      <c r="B164" s="3">
        <v>0</v>
      </c>
      <c r="C164" s="4">
        <f t="shared" si="0"/>
        <v>0</v>
      </c>
    </row>
    <row r="165" spans="1:3" x14ac:dyDescent="0.35">
      <c r="A165" t="s">
        <v>101</v>
      </c>
      <c r="B165" s="3">
        <v>0</v>
      </c>
      <c r="C165" s="4">
        <f t="shared" si="0"/>
        <v>0</v>
      </c>
    </row>
    <row r="166" spans="1:3" x14ac:dyDescent="0.35">
      <c r="A166" t="s">
        <v>102</v>
      </c>
      <c r="B166" s="3">
        <v>0</v>
      </c>
      <c r="C166" s="4">
        <f t="shared" si="0"/>
        <v>0</v>
      </c>
    </row>
    <row r="167" spans="1:3" x14ac:dyDescent="0.35">
      <c r="A167" t="s">
        <v>103</v>
      </c>
      <c r="B167" s="3">
        <v>0</v>
      </c>
      <c r="C167" s="4">
        <f t="shared" si="0"/>
        <v>0</v>
      </c>
    </row>
    <row r="168" spans="1:3" x14ac:dyDescent="0.35">
      <c r="A168" t="s">
        <v>104</v>
      </c>
      <c r="B168" s="3">
        <v>0</v>
      </c>
      <c r="C168" s="4">
        <f t="shared" si="0"/>
        <v>0</v>
      </c>
    </row>
    <row r="169" spans="1:3" x14ac:dyDescent="0.35">
      <c r="A169" t="s">
        <v>105</v>
      </c>
      <c r="B169" s="3">
        <v>0</v>
      </c>
      <c r="C169" s="4">
        <f t="shared" si="0"/>
        <v>0</v>
      </c>
    </row>
    <row r="170" spans="1:3" x14ac:dyDescent="0.35">
      <c r="A170" t="s">
        <v>1</v>
      </c>
    </row>
    <row r="171" spans="1:3" s="2" customFormat="1" ht="13" x14ac:dyDescent="0.3">
      <c r="A171" s="2" t="s">
        <v>116</v>
      </c>
    </row>
    <row r="172" spans="1:3" x14ac:dyDescent="0.35">
      <c r="A172" t="s">
        <v>3</v>
      </c>
    </row>
    <row r="173" spans="1:3" x14ac:dyDescent="0.35">
      <c r="A173" t="s">
        <v>4</v>
      </c>
      <c r="B173" t="s">
        <v>5</v>
      </c>
      <c r="C173" t="s">
        <v>6</v>
      </c>
    </row>
    <row r="174" spans="1:3" x14ac:dyDescent="0.35">
      <c r="A174" t="s">
        <v>107</v>
      </c>
      <c r="B174" s="3">
        <v>16</v>
      </c>
      <c r="C174" s="4">
        <f>(1053/100)</f>
        <v>10.53</v>
      </c>
    </row>
    <row r="175" spans="1:3" x14ac:dyDescent="0.35">
      <c r="A175" t="s">
        <v>108</v>
      </c>
      <c r="B175" s="3">
        <v>32</v>
      </c>
      <c r="C175" s="4">
        <f>(2105/100)</f>
        <v>21.05</v>
      </c>
    </row>
    <row r="176" spans="1:3" x14ac:dyDescent="0.35">
      <c r="A176" t="s">
        <v>109</v>
      </c>
      <c r="B176" s="3">
        <v>5</v>
      </c>
      <c r="C176" s="4">
        <f>(329/100)</f>
        <v>3.29</v>
      </c>
    </row>
    <row r="177" spans="1:4" x14ac:dyDescent="0.35">
      <c r="A177" t="s">
        <v>110</v>
      </c>
      <c r="B177" s="3">
        <v>11</v>
      </c>
      <c r="C177" s="4">
        <f>(724/100)</f>
        <v>7.24</v>
      </c>
    </row>
    <row r="178" spans="1:4" x14ac:dyDescent="0.35">
      <c r="A178" t="s">
        <v>111</v>
      </c>
      <c r="B178" s="3">
        <v>31</v>
      </c>
      <c r="C178" s="4">
        <f>(2039/100)</f>
        <v>20.39</v>
      </c>
    </row>
    <row r="179" spans="1:4" x14ac:dyDescent="0.35">
      <c r="A179" t="s">
        <v>112</v>
      </c>
      <c r="B179" s="3">
        <v>28</v>
      </c>
      <c r="C179" s="4">
        <f>(1842/100)</f>
        <v>18.420000000000002</v>
      </c>
    </row>
    <row r="180" spans="1:4" x14ac:dyDescent="0.35">
      <c r="A180" t="s">
        <v>113</v>
      </c>
      <c r="B180" s="3">
        <v>25</v>
      </c>
      <c r="C180" s="4">
        <f>(1645/100)</f>
        <v>16.45</v>
      </c>
    </row>
    <row r="181" spans="1:4" x14ac:dyDescent="0.35">
      <c r="A181" t="s">
        <v>114</v>
      </c>
      <c r="B181" s="3">
        <v>4</v>
      </c>
      <c r="C181" s="4">
        <f>(263/100)</f>
        <v>2.63</v>
      </c>
    </row>
    <row r="182" spans="1:4" x14ac:dyDescent="0.35">
      <c r="A182" t="s">
        <v>1</v>
      </c>
    </row>
    <row r="183" spans="1:4" s="2" customFormat="1" ht="13" x14ac:dyDescent="0.3">
      <c r="A183" s="2" t="s">
        <v>117</v>
      </c>
    </row>
    <row r="184" spans="1:4" x14ac:dyDescent="0.35">
      <c r="A184" t="s">
        <v>3</v>
      </c>
    </row>
    <row r="185" spans="1:4" s="5" customFormat="1" ht="13" x14ac:dyDescent="0.3">
      <c r="A185" s="5" t="s">
        <v>118</v>
      </c>
    </row>
    <row r="186" spans="1:4" x14ac:dyDescent="0.35">
      <c r="A186" t="s">
        <v>119</v>
      </c>
    </row>
    <row r="187" spans="1:4" x14ac:dyDescent="0.35">
      <c r="A187" t="s">
        <v>1</v>
      </c>
      <c r="B187" t="s">
        <v>4</v>
      </c>
      <c r="C187" t="s">
        <v>5</v>
      </c>
      <c r="D187" t="s">
        <v>6</v>
      </c>
    </row>
    <row r="188" spans="1:4" x14ac:dyDescent="0.35">
      <c r="A188" t="s">
        <v>1</v>
      </c>
    </row>
    <row r="189" spans="1:4" x14ac:dyDescent="0.35">
      <c r="A189" t="s">
        <v>1</v>
      </c>
      <c r="B189" t="s">
        <v>120</v>
      </c>
      <c r="C189" s="3">
        <v>35</v>
      </c>
      <c r="D189" s="4">
        <f>(4730/100)</f>
        <v>47.3</v>
      </c>
    </row>
    <row r="190" spans="1:4" x14ac:dyDescent="0.35">
      <c r="A190" t="s">
        <v>1</v>
      </c>
      <c r="B190" t="s">
        <v>121</v>
      </c>
      <c r="C190" s="3">
        <v>62</v>
      </c>
      <c r="D190" s="4">
        <f>(8378/100)</f>
        <v>83.78</v>
      </c>
    </row>
    <row r="191" spans="1:4" x14ac:dyDescent="0.35">
      <c r="A191" t="s">
        <v>1</v>
      </c>
      <c r="B191" t="s">
        <v>122</v>
      </c>
      <c r="C191" s="3">
        <v>74</v>
      </c>
      <c r="D191" s="4">
        <f>(10000/100)</f>
        <v>100</v>
      </c>
    </row>
    <row r="192" spans="1:4" s="5" customFormat="1" ht="13" x14ac:dyDescent="0.3">
      <c r="A192" s="5" t="s">
        <v>123</v>
      </c>
    </row>
    <row r="193" spans="1:4" x14ac:dyDescent="0.35">
      <c r="A193" t="s">
        <v>124</v>
      </c>
    </row>
    <row r="194" spans="1:4" x14ac:dyDescent="0.35">
      <c r="A194" t="s">
        <v>1</v>
      </c>
      <c r="B194" t="s">
        <v>4</v>
      </c>
      <c r="C194" t="s">
        <v>5</v>
      </c>
      <c r="D194" t="s">
        <v>6</v>
      </c>
    </row>
    <row r="195" spans="1:4" x14ac:dyDescent="0.35">
      <c r="A195" t="s">
        <v>1</v>
      </c>
    </row>
    <row r="196" spans="1:4" x14ac:dyDescent="0.35">
      <c r="A196" t="s">
        <v>1</v>
      </c>
      <c r="B196" t="s">
        <v>120</v>
      </c>
      <c r="C196" s="3">
        <v>14</v>
      </c>
      <c r="D196" s="4">
        <f>(2745/100)</f>
        <v>27.45</v>
      </c>
    </row>
    <row r="197" spans="1:4" x14ac:dyDescent="0.35">
      <c r="A197" t="s">
        <v>1</v>
      </c>
      <c r="B197" t="s">
        <v>121</v>
      </c>
      <c r="C197" s="3">
        <v>32</v>
      </c>
      <c r="D197" s="4">
        <f>(6275/100)</f>
        <v>62.75</v>
      </c>
    </row>
    <row r="198" spans="1:4" x14ac:dyDescent="0.35">
      <c r="A198" t="s">
        <v>1</v>
      </c>
      <c r="B198" t="s">
        <v>122</v>
      </c>
      <c r="C198" s="3">
        <v>40</v>
      </c>
      <c r="D198" s="4">
        <f>(7843/100)</f>
        <v>78.430000000000007</v>
      </c>
    </row>
    <row r="199" spans="1:4" s="5" customFormat="1" ht="13" x14ac:dyDescent="0.3">
      <c r="A199" s="5" t="s">
        <v>125</v>
      </c>
    </row>
    <row r="200" spans="1:4" x14ac:dyDescent="0.35">
      <c r="A200" t="s">
        <v>126</v>
      </c>
    </row>
    <row r="201" spans="1:4" x14ac:dyDescent="0.35">
      <c r="A201" t="s">
        <v>1</v>
      </c>
      <c r="B201" t="s">
        <v>4</v>
      </c>
      <c r="C201" t="s">
        <v>5</v>
      </c>
      <c r="D201" t="s">
        <v>6</v>
      </c>
    </row>
    <row r="202" spans="1:4" x14ac:dyDescent="0.35">
      <c r="A202" t="s">
        <v>1</v>
      </c>
    </row>
    <row r="203" spans="1:4" x14ac:dyDescent="0.35">
      <c r="A203" t="s">
        <v>1</v>
      </c>
      <c r="B203" t="s">
        <v>120</v>
      </c>
      <c r="C203" s="3">
        <v>13</v>
      </c>
      <c r="D203" s="4">
        <f>(3939/100)</f>
        <v>39.39</v>
      </c>
    </row>
    <row r="204" spans="1:4" x14ac:dyDescent="0.35">
      <c r="A204" t="s">
        <v>1</v>
      </c>
      <c r="B204" t="s">
        <v>121</v>
      </c>
      <c r="C204" s="3">
        <v>17</v>
      </c>
      <c r="D204" s="4">
        <f>(5152/100)</f>
        <v>51.52</v>
      </c>
    </row>
    <row r="205" spans="1:4" x14ac:dyDescent="0.35">
      <c r="A205" t="s">
        <v>1</v>
      </c>
      <c r="B205" t="s">
        <v>122</v>
      </c>
      <c r="C205" s="3">
        <v>18</v>
      </c>
      <c r="D205" s="4">
        <f>(5455/100)</f>
        <v>54.55</v>
      </c>
    </row>
    <row r="206" spans="1:4" s="5" customFormat="1" ht="13" x14ac:dyDescent="0.3">
      <c r="A206" s="5" t="s">
        <v>127</v>
      </c>
    </row>
    <row r="207" spans="1:4" x14ac:dyDescent="0.35">
      <c r="A207" t="s">
        <v>73</v>
      </c>
    </row>
    <row r="208" spans="1:4" x14ac:dyDescent="0.35">
      <c r="A208" t="s">
        <v>1</v>
      </c>
      <c r="B208" t="s">
        <v>4</v>
      </c>
      <c r="C208" t="s">
        <v>5</v>
      </c>
      <c r="D208" t="s">
        <v>6</v>
      </c>
    </row>
    <row r="209" spans="1:4" x14ac:dyDescent="0.35">
      <c r="A209" t="s">
        <v>1</v>
      </c>
    </row>
    <row r="210" spans="1:4" x14ac:dyDescent="0.35">
      <c r="A210" t="s">
        <v>1</v>
      </c>
      <c r="B210" t="s">
        <v>120</v>
      </c>
      <c r="C210" s="3">
        <v>38</v>
      </c>
      <c r="D210" s="4">
        <f>(7170/100)</f>
        <v>71.7</v>
      </c>
    </row>
    <row r="211" spans="1:4" x14ac:dyDescent="0.35">
      <c r="A211" t="s">
        <v>1</v>
      </c>
      <c r="B211" t="s">
        <v>121</v>
      </c>
      <c r="C211" s="3">
        <v>28</v>
      </c>
      <c r="D211" s="4">
        <f>(5283/100)</f>
        <v>52.83</v>
      </c>
    </row>
    <row r="212" spans="1:4" x14ac:dyDescent="0.35">
      <c r="A212" t="s">
        <v>1</v>
      </c>
      <c r="B212" t="s">
        <v>122</v>
      </c>
      <c r="C212" s="3">
        <v>17</v>
      </c>
      <c r="D212" s="4">
        <f>(3208/100)</f>
        <v>32.08</v>
      </c>
    </row>
    <row r="213" spans="1:4" s="5" customFormat="1" ht="13" x14ac:dyDescent="0.3">
      <c r="A213" s="5" t="s">
        <v>128</v>
      </c>
    </row>
    <row r="214" spans="1:4" x14ac:dyDescent="0.35">
      <c r="A214" t="s">
        <v>129</v>
      </c>
    </row>
    <row r="215" spans="1:4" x14ac:dyDescent="0.35">
      <c r="A215" t="s">
        <v>1</v>
      </c>
      <c r="B215" t="s">
        <v>4</v>
      </c>
      <c r="C215" t="s">
        <v>5</v>
      </c>
      <c r="D215" t="s">
        <v>6</v>
      </c>
    </row>
    <row r="216" spans="1:4" x14ac:dyDescent="0.35">
      <c r="A216" t="s">
        <v>1</v>
      </c>
    </row>
    <row r="217" spans="1:4" x14ac:dyDescent="0.35">
      <c r="A217" t="s">
        <v>1</v>
      </c>
      <c r="B217" t="s">
        <v>120</v>
      </c>
      <c r="C217" s="3">
        <v>21</v>
      </c>
      <c r="D217" s="4">
        <f>(8750/100)</f>
        <v>87.5</v>
      </c>
    </row>
    <row r="218" spans="1:4" x14ac:dyDescent="0.35">
      <c r="A218" t="s">
        <v>1</v>
      </c>
      <c r="B218" t="s">
        <v>121</v>
      </c>
      <c r="C218" s="3">
        <v>7</v>
      </c>
      <c r="D218" s="4">
        <f>(2917/100)</f>
        <v>29.17</v>
      </c>
    </row>
    <row r="219" spans="1:4" x14ac:dyDescent="0.35">
      <c r="A219" t="s">
        <v>1</v>
      </c>
      <c r="B219" t="s">
        <v>122</v>
      </c>
      <c r="C219" s="3">
        <v>0</v>
      </c>
      <c r="D219" s="4">
        <f>(0/100)</f>
        <v>0</v>
      </c>
    </row>
    <row r="220" spans="1:4" s="5" customFormat="1" ht="13" x14ac:dyDescent="0.3">
      <c r="A220" s="5" t="s">
        <v>130</v>
      </c>
    </row>
    <row r="221" spans="1:4" x14ac:dyDescent="0.35">
      <c r="A221" t="s">
        <v>131</v>
      </c>
    </row>
    <row r="222" spans="1:4" x14ac:dyDescent="0.35">
      <c r="A222" t="s">
        <v>1</v>
      </c>
      <c r="B222" t="s">
        <v>4</v>
      </c>
      <c r="C222" t="s">
        <v>5</v>
      </c>
      <c r="D222" t="s">
        <v>6</v>
      </c>
    </row>
    <row r="223" spans="1:4" x14ac:dyDescent="0.35">
      <c r="A223" t="s">
        <v>1</v>
      </c>
    </row>
    <row r="224" spans="1:4" x14ac:dyDescent="0.35">
      <c r="A224" t="s">
        <v>1</v>
      </c>
      <c r="B224" t="s">
        <v>120</v>
      </c>
      <c r="C224" s="3">
        <v>20</v>
      </c>
      <c r="D224" s="4">
        <f>(9091/100)</f>
        <v>90.91</v>
      </c>
    </row>
    <row r="225" spans="1:4" x14ac:dyDescent="0.35">
      <c r="A225" t="s">
        <v>1</v>
      </c>
      <c r="B225" t="s">
        <v>121</v>
      </c>
      <c r="C225" s="3">
        <v>4</v>
      </c>
      <c r="D225" s="4">
        <f>(1818/100)</f>
        <v>18.18</v>
      </c>
    </row>
    <row r="226" spans="1:4" x14ac:dyDescent="0.35">
      <c r="A226" t="s">
        <v>1</v>
      </c>
      <c r="B226" t="s">
        <v>122</v>
      </c>
      <c r="C226" s="3">
        <v>1</v>
      </c>
      <c r="D226" s="4">
        <f>(455/100)</f>
        <v>4.55</v>
      </c>
    </row>
    <row r="227" spans="1:4" s="5" customFormat="1" ht="13" x14ac:dyDescent="0.3">
      <c r="A227" s="5" t="s">
        <v>132</v>
      </c>
    </row>
    <row r="228" spans="1:4" x14ac:dyDescent="0.35">
      <c r="A228" t="s">
        <v>133</v>
      </c>
    </row>
    <row r="229" spans="1:4" x14ac:dyDescent="0.35">
      <c r="A229" t="s">
        <v>1</v>
      </c>
      <c r="B229" t="s">
        <v>4</v>
      </c>
      <c r="C229" t="s">
        <v>5</v>
      </c>
      <c r="D229" t="s">
        <v>6</v>
      </c>
    </row>
    <row r="230" spans="1:4" x14ac:dyDescent="0.35">
      <c r="A230" t="s">
        <v>1</v>
      </c>
    </row>
    <row r="231" spans="1:4" x14ac:dyDescent="0.35">
      <c r="A231" t="s">
        <v>1</v>
      </c>
      <c r="B231" t="s">
        <v>120</v>
      </c>
      <c r="C231" s="3">
        <v>11</v>
      </c>
      <c r="D231" s="4">
        <f>(10000/100)</f>
        <v>100</v>
      </c>
    </row>
    <row r="232" spans="1:4" x14ac:dyDescent="0.35">
      <c r="A232" t="s">
        <v>1</v>
      </c>
      <c r="B232" t="s">
        <v>121</v>
      </c>
      <c r="C232" s="3">
        <v>2</v>
      </c>
      <c r="D232" s="4">
        <f>(1818/100)</f>
        <v>18.18</v>
      </c>
    </row>
    <row r="233" spans="1:4" x14ac:dyDescent="0.35">
      <c r="A233" t="s">
        <v>1</v>
      </c>
      <c r="B233" t="s">
        <v>122</v>
      </c>
      <c r="C233" s="3">
        <v>2</v>
      </c>
      <c r="D233" s="4">
        <f>(1818/100)</f>
        <v>18.18</v>
      </c>
    </row>
    <row r="234" spans="1:4" x14ac:dyDescent="0.35">
      <c r="A234" t="s">
        <v>1</v>
      </c>
    </row>
    <row r="235" spans="1:4" s="2" customFormat="1" ht="13" x14ac:dyDescent="0.3">
      <c r="A235" s="2" t="s">
        <v>134</v>
      </c>
    </row>
    <row r="236" spans="1:4" x14ac:dyDescent="0.35">
      <c r="A236" t="s">
        <v>3</v>
      </c>
    </row>
    <row r="237" spans="1:4" x14ac:dyDescent="0.35">
      <c r="A237" t="s">
        <v>4</v>
      </c>
      <c r="B237" t="s">
        <v>5</v>
      </c>
      <c r="C237" t="s">
        <v>6</v>
      </c>
    </row>
    <row r="238" spans="1:4" x14ac:dyDescent="0.35">
      <c r="A238" t="s">
        <v>107</v>
      </c>
      <c r="B238" s="3">
        <v>98</v>
      </c>
      <c r="C238" s="4">
        <f>(6447/100)</f>
        <v>64.47</v>
      </c>
    </row>
    <row r="239" spans="1:4" x14ac:dyDescent="0.35">
      <c r="A239" t="s">
        <v>108</v>
      </c>
      <c r="B239" s="3">
        <v>21</v>
      </c>
      <c r="C239" s="4">
        <f>(1382/100)</f>
        <v>13.82</v>
      </c>
    </row>
    <row r="240" spans="1:4" x14ac:dyDescent="0.35">
      <c r="A240" t="s">
        <v>109</v>
      </c>
      <c r="B240" s="3">
        <v>14</v>
      </c>
      <c r="C240" s="4">
        <f>(921/100)</f>
        <v>9.2100000000000009</v>
      </c>
    </row>
    <row r="241" spans="1:3" x14ac:dyDescent="0.35">
      <c r="A241" t="s">
        <v>110</v>
      </c>
      <c r="B241" s="3">
        <v>12</v>
      </c>
      <c r="C241" s="4">
        <f>(789/100)</f>
        <v>7.89</v>
      </c>
    </row>
    <row r="242" spans="1:3" x14ac:dyDescent="0.35">
      <c r="A242" t="s">
        <v>111</v>
      </c>
      <c r="B242" s="3">
        <v>4</v>
      </c>
      <c r="C242" s="4">
        <f>(263/100)</f>
        <v>2.63</v>
      </c>
    </row>
    <row r="243" spans="1:3" x14ac:dyDescent="0.35">
      <c r="A243" t="s">
        <v>112</v>
      </c>
      <c r="B243" s="3">
        <v>1</v>
      </c>
      <c r="C243" s="4">
        <f>(66/100)</f>
        <v>0.66</v>
      </c>
    </row>
    <row r="244" spans="1:3" x14ac:dyDescent="0.35">
      <c r="A244" t="s">
        <v>113</v>
      </c>
      <c r="B244" s="3">
        <v>1</v>
      </c>
      <c r="C244" s="4">
        <f>(66/100)</f>
        <v>0.66</v>
      </c>
    </row>
    <row r="245" spans="1:3" x14ac:dyDescent="0.35">
      <c r="A245" t="s">
        <v>114</v>
      </c>
      <c r="B245" s="3">
        <v>1</v>
      </c>
      <c r="C245" s="4">
        <f>(66/100)</f>
        <v>0.66</v>
      </c>
    </row>
    <row r="246" spans="1:3" x14ac:dyDescent="0.35">
      <c r="A246" t="s">
        <v>1</v>
      </c>
    </row>
    <row r="247" spans="1:3" s="2" customFormat="1" ht="13" x14ac:dyDescent="0.3">
      <c r="A247" s="2" t="s">
        <v>135</v>
      </c>
    </row>
    <row r="248" spans="1:3" x14ac:dyDescent="0.35">
      <c r="A248" t="s">
        <v>136</v>
      </c>
    </row>
    <row r="249" spans="1:3" x14ac:dyDescent="0.35">
      <c r="A249" t="s">
        <v>4</v>
      </c>
      <c r="B249" t="s">
        <v>5</v>
      </c>
      <c r="C249" t="s">
        <v>6</v>
      </c>
    </row>
    <row r="250" spans="1:3" x14ac:dyDescent="0.35">
      <c r="A250" t="s">
        <v>137</v>
      </c>
      <c r="B250" s="3">
        <v>39</v>
      </c>
      <c r="C250" s="4">
        <f>(2583/100)</f>
        <v>25.83</v>
      </c>
    </row>
    <row r="251" spans="1:3" x14ac:dyDescent="0.35">
      <c r="A251" t="s">
        <v>138</v>
      </c>
      <c r="B251" s="3">
        <v>30</v>
      </c>
      <c r="C251" s="4">
        <f>(1987/100)</f>
        <v>19.87</v>
      </c>
    </row>
    <row r="252" spans="1:3" x14ac:dyDescent="0.35">
      <c r="A252" t="s">
        <v>139</v>
      </c>
      <c r="B252" s="3">
        <v>41</v>
      </c>
      <c r="C252" s="4">
        <f>(2715/100)</f>
        <v>27.15</v>
      </c>
    </row>
    <row r="253" spans="1:3" x14ac:dyDescent="0.35">
      <c r="A253" t="s">
        <v>140</v>
      </c>
      <c r="B253" s="3">
        <v>9</v>
      </c>
      <c r="C253" s="4">
        <f>(596/100)</f>
        <v>5.96</v>
      </c>
    </row>
    <row r="254" spans="1:3" x14ac:dyDescent="0.35">
      <c r="A254" t="s">
        <v>141</v>
      </c>
      <c r="B254" s="3">
        <v>11</v>
      </c>
      <c r="C254" s="4">
        <f>(728/100)</f>
        <v>7.28</v>
      </c>
    </row>
    <row r="255" spans="1:3" x14ac:dyDescent="0.35">
      <c r="A255" t="s">
        <v>142</v>
      </c>
      <c r="B255" s="3">
        <v>3</v>
      </c>
      <c r="C255" s="4">
        <f>(199/100)</f>
        <v>1.99</v>
      </c>
    </row>
    <row r="256" spans="1:3" x14ac:dyDescent="0.35">
      <c r="A256" t="s">
        <v>143</v>
      </c>
      <c r="B256" s="3">
        <v>1</v>
      </c>
      <c r="C256" s="4">
        <f>(66/100)</f>
        <v>0.66</v>
      </c>
    </row>
    <row r="257" spans="1:3" x14ac:dyDescent="0.35">
      <c r="A257" t="s">
        <v>144</v>
      </c>
      <c r="B257" s="3">
        <v>0</v>
      </c>
      <c r="C257" s="4">
        <f>(0/100)</f>
        <v>0</v>
      </c>
    </row>
    <row r="258" spans="1:3" x14ac:dyDescent="0.35">
      <c r="A258" t="s">
        <v>145</v>
      </c>
      <c r="B258" s="3">
        <v>0</v>
      </c>
      <c r="C258" s="4">
        <f>(0/100)</f>
        <v>0</v>
      </c>
    </row>
    <row r="259" spans="1:3" x14ac:dyDescent="0.35">
      <c r="A259" t="s">
        <v>146</v>
      </c>
      <c r="B259" s="3">
        <v>1</v>
      </c>
      <c r="C259" s="4">
        <f>(66/100)</f>
        <v>0.66</v>
      </c>
    </row>
    <row r="260" spans="1:3" x14ac:dyDescent="0.35">
      <c r="A260" t="s">
        <v>80</v>
      </c>
      <c r="B260" s="3">
        <v>16</v>
      </c>
      <c r="C260" s="4">
        <f>(1060/100)</f>
        <v>10.6</v>
      </c>
    </row>
    <row r="261" spans="1:3" x14ac:dyDescent="0.35">
      <c r="A261" t="s">
        <v>1</v>
      </c>
    </row>
    <row r="262" spans="1:3" s="2" customFormat="1" ht="13" x14ac:dyDescent="0.3">
      <c r="A262" s="2" t="s">
        <v>147</v>
      </c>
    </row>
    <row r="263" spans="1:3" x14ac:dyDescent="0.35">
      <c r="A263" t="s">
        <v>136</v>
      </c>
    </row>
    <row r="264" spans="1:3" x14ac:dyDescent="0.35">
      <c r="A264" t="s">
        <v>4</v>
      </c>
      <c r="B264" t="s">
        <v>5</v>
      </c>
      <c r="C264" t="s">
        <v>6</v>
      </c>
    </row>
    <row r="265" spans="1:3" x14ac:dyDescent="0.35">
      <c r="A265" t="s">
        <v>148</v>
      </c>
      <c r="B265" s="3">
        <v>24</v>
      </c>
      <c r="C265" s="4">
        <f>(1589/100)</f>
        <v>15.89</v>
      </c>
    </row>
    <row r="266" spans="1:3" x14ac:dyDescent="0.35">
      <c r="A266" t="s">
        <v>149</v>
      </c>
      <c r="B266" s="3">
        <v>18</v>
      </c>
      <c r="C266" s="4">
        <f>(1192/100)</f>
        <v>11.92</v>
      </c>
    </row>
    <row r="267" spans="1:3" x14ac:dyDescent="0.35">
      <c r="A267" t="s">
        <v>150</v>
      </c>
      <c r="B267" s="3">
        <v>12</v>
      </c>
      <c r="C267" s="4">
        <f>(795/100)</f>
        <v>7.95</v>
      </c>
    </row>
    <row r="268" spans="1:3" x14ac:dyDescent="0.35">
      <c r="A268" t="s">
        <v>151</v>
      </c>
      <c r="B268" s="3">
        <v>24</v>
      </c>
      <c r="C268" s="4">
        <f>(1589/100)</f>
        <v>15.89</v>
      </c>
    </row>
    <row r="269" spans="1:3" x14ac:dyDescent="0.35">
      <c r="A269" t="s">
        <v>152</v>
      </c>
      <c r="B269" s="3">
        <v>7</v>
      </c>
      <c r="C269" s="4">
        <f>(464/100)</f>
        <v>4.6399999999999997</v>
      </c>
    </row>
    <row r="270" spans="1:3" x14ac:dyDescent="0.35">
      <c r="A270" t="s">
        <v>153</v>
      </c>
      <c r="B270" s="3">
        <v>10</v>
      </c>
      <c r="C270" s="4">
        <f>(662/100)</f>
        <v>6.62</v>
      </c>
    </row>
    <row r="271" spans="1:3" x14ac:dyDescent="0.35">
      <c r="A271" t="s">
        <v>154</v>
      </c>
      <c r="B271" s="3">
        <v>33</v>
      </c>
      <c r="C271" s="4">
        <f>(2185/100)</f>
        <v>21.85</v>
      </c>
    </row>
    <row r="272" spans="1:3" x14ac:dyDescent="0.35">
      <c r="A272" t="s">
        <v>155</v>
      </c>
      <c r="B272" s="3">
        <v>21</v>
      </c>
      <c r="C272" s="4">
        <f>(1391/100)</f>
        <v>13.91</v>
      </c>
    </row>
    <row r="273" spans="1:4" x14ac:dyDescent="0.35">
      <c r="A273" t="s">
        <v>156</v>
      </c>
      <c r="B273" s="3">
        <v>13</v>
      </c>
      <c r="C273" s="4">
        <f>(861/100)</f>
        <v>8.61</v>
      </c>
    </row>
    <row r="274" spans="1:4" x14ac:dyDescent="0.35">
      <c r="A274" t="s">
        <v>157</v>
      </c>
      <c r="B274" s="3">
        <v>33</v>
      </c>
      <c r="C274" s="4">
        <f>(2185/100)</f>
        <v>21.85</v>
      </c>
    </row>
    <row r="275" spans="1:4" x14ac:dyDescent="0.35">
      <c r="A275" t="s">
        <v>158</v>
      </c>
      <c r="B275" s="3">
        <v>3</v>
      </c>
      <c r="C275" s="4">
        <f>(199/100)</f>
        <v>1.99</v>
      </c>
    </row>
    <row r="276" spans="1:4" x14ac:dyDescent="0.35">
      <c r="A276" t="s">
        <v>159</v>
      </c>
      <c r="B276" s="3">
        <v>1</v>
      </c>
      <c r="C276" s="4">
        <f>(66/100)</f>
        <v>0.66</v>
      </c>
    </row>
    <row r="277" spans="1:4" x14ac:dyDescent="0.35">
      <c r="A277" t="s">
        <v>160</v>
      </c>
      <c r="B277" s="3">
        <v>15</v>
      </c>
      <c r="C277" s="4">
        <f>(993/100)</f>
        <v>9.93</v>
      </c>
    </row>
    <row r="278" spans="1:4" x14ac:dyDescent="0.35">
      <c r="A278" t="s">
        <v>80</v>
      </c>
      <c r="B278" s="3">
        <v>70</v>
      </c>
      <c r="C278" s="4">
        <f>(4636/100)</f>
        <v>46.36</v>
      </c>
    </row>
    <row r="279" spans="1:4" x14ac:dyDescent="0.35">
      <c r="A279" t="s">
        <v>1</v>
      </c>
    </row>
    <row r="280" spans="1:4" s="2" customFormat="1" ht="13" x14ac:dyDescent="0.3">
      <c r="A280" s="2" t="s">
        <v>161</v>
      </c>
    </row>
    <row r="281" spans="1:4" x14ac:dyDescent="0.35">
      <c r="A281" t="s">
        <v>162</v>
      </c>
    </row>
    <row r="282" spans="1:4" s="5" customFormat="1" ht="13" x14ac:dyDescent="0.3">
      <c r="A282" s="5" t="s">
        <v>107</v>
      </c>
    </row>
    <row r="283" spans="1:4" x14ac:dyDescent="0.35">
      <c r="A283" t="s">
        <v>163</v>
      </c>
    </row>
    <row r="284" spans="1:4" x14ac:dyDescent="0.35">
      <c r="A284" t="s">
        <v>1</v>
      </c>
      <c r="B284" t="s">
        <v>4</v>
      </c>
      <c r="C284" t="s">
        <v>5</v>
      </c>
      <c r="D284" t="s">
        <v>6</v>
      </c>
    </row>
    <row r="285" spans="1:4" x14ac:dyDescent="0.35">
      <c r="A285" t="s">
        <v>1</v>
      </c>
    </row>
    <row r="286" spans="1:4" x14ac:dyDescent="0.35">
      <c r="A286" t="s">
        <v>1</v>
      </c>
      <c r="B286" t="s">
        <v>164</v>
      </c>
      <c r="C286" s="3">
        <v>9</v>
      </c>
      <c r="D286" s="4">
        <f>(2093/100)</f>
        <v>20.93</v>
      </c>
    </row>
    <row r="287" spans="1:4" x14ac:dyDescent="0.35">
      <c r="A287" t="s">
        <v>1</v>
      </c>
      <c r="B287" t="s">
        <v>165</v>
      </c>
      <c r="C287" s="3">
        <v>10</v>
      </c>
      <c r="D287" s="4">
        <f>(2326/100)</f>
        <v>23.26</v>
      </c>
    </row>
    <row r="288" spans="1:4" x14ac:dyDescent="0.35">
      <c r="A288" t="s">
        <v>1</v>
      </c>
      <c r="B288" t="s">
        <v>166</v>
      </c>
      <c r="C288" s="3">
        <v>0</v>
      </c>
      <c r="D288" s="4">
        <f>(0/100)</f>
        <v>0</v>
      </c>
    </row>
    <row r="289" spans="1:4" x14ac:dyDescent="0.35">
      <c r="A289" t="s">
        <v>1</v>
      </c>
      <c r="B289" t="s">
        <v>167</v>
      </c>
      <c r="C289" s="3">
        <v>9</v>
      </c>
      <c r="D289" s="4">
        <f>(2093/100)</f>
        <v>20.93</v>
      </c>
    </row>
    <row r="290" spans="1:4" x14ac:dyDescent="0.35">
      <c r="A290" t="s">
        <v>1</v>
      </c>
      <c r="B290" t="s">
        <v>168</v>
      </c>
      <c r="C290" s="3">
        <v>10</v>
      </c>
      <c r="D290" s="4">
        <f>(2326/100)</f>
        <v>23.26</v>
      </c>
    </row>
    <row r="291" spans="1:4" x14ac:dyDescent="0.35">
      <c r="A291" t="s">
        <v>1</v>
      </c>
      <c r="B291" t="s">
        <v>169</v>
      </c>
      <c r="C291" s="3">
        <v>9</v>
      </c>
      <c r="D291" s="4">
        <f>(2093/100)</f>
        <v>20.93</v>
      </c>
    </row>
    <row r="292" spans="1:4" x14ac:dyDescent="0.35">
      <c r="A292" t="s">
        <v>1</v>
      </c>
      <c r="B292" t="s">
        <v>170</v>
      </c>
      <c r="C292" s="3">
        <v>13</v>
      </c>
      <c r="D292" s="4">
        <f>(3023/100)</f>
        <v>30.23</v>
      </c>
    </row>
    <row r="293" spans="1:4" x14ac:dyDescent="0.35">
      <c r="A293" t="s">
        <v>1</v>
      </c>
      <c r="B293" t="s">
        <v>171</v>
      </c>
      <c r="C293" s="3">
        <v>5</v>
      </c>
      <c r="D293" s="4">
        <f>(1163/100)</f>
        <v>11.63</v>
      </c>
    </row>
    <row r="294" spans="1:4" x14ac:dyDescent="0.35">
      <c r="A294" t="s">
        <v>1</v>
      </c>
      <c r="B294" t="s">
        <v>172</v>
      </c>
      <c r="C294" s="3">
        <v>11</v>
      </c>
      <c r="D294" s="4">
        <f>(2558/100)</f>
        <v>25.58</v>
      </c>
    </row>
    <row r="295" spans="1:4" x14ac:dyDescent="0.35">
      <c r="A295" t="s">
        <v>1</v>
      </c>
      <c r="B295" t="s">
        <v>173</v>
      </c>
      <c r="C295" s="3">
        <v>5</v>
      </c>
      <c r="D295" s="4">
        <f>(1163/100)</f>
        <v>11.63</v>
      </c>
    </row>
    <row r="296" spans="1:4" x14ac:dyDescent="0.35">
      <c r="A296" t="s">
        <v>1</v>
      </c>
      <c r="B296" t="s">
        <v>174</v>
      </c>
      <c r="C296" s="3">
        <v>2</v>
      </c>
      <c r="D296" s="4">
        <f>(465/100)</f>
        <v>4.6500000000000004</v>
      </c>
    </row>
    <row r="297" spans="1:4" x14ac:dyDescent="0.35">
      <c r="A297" t="s">
        <v>1</v>
      </c>
      <c r="B297" t="s">
        <v>175</v>
      </c>
      <c r="C297" s="3">
        <v>15</v>
      </c>
      <c r="D297" s="4">
        <f>(3488/100)</f>
        <v>34.880000000000003</v>
      </c>
    </row>
    <row r="298" spans="1:4" x14ac:dyDescent="0.35">
      <c r="A298" t="s">
        <v>1</v>
      </c>
      <c r="B298" t="s">
        <v>176</v>
      </c>
      <c r="C298" s="3">
        <v>8</v>
      </c>
      <c r="D298" s="4">
        <f>(1860/100)</f>
        <v>18.600000000000001</v>
      </c>
    </row>
    <row r="299" spans="1:4" x14ac:dyDescent="0.35">
      <c r="A299" t="s">
        <v>1</v>
      </c>
      <c r="B299" t="s">
        <v>177</v>
      </c>
      <c r="C299" s="3">
        <v>7</v>
      </c>
      <c r="D299" s="4">
        <f>(1628/100)</f>
        <v>16.28</v>
      </c>
    </row>
    <row r="300" spans="1:4" x14ac:dyDescent="0.35">
      <c r="A300" t="s">
        <v>1</v>
      </c>
      <c r="B300" t="s">
        <v>178</v>
      </c>
      <c r="C300" s="3">
        <v>8</v>
      </c>
      <c r="D300" s="4">
        <f>(1860/100)</f>
        <v>18.600000000000001</v>
      </c>
    </row>
    <row r="301" spans="1:4" x14ac:dyDescent="0.35">
      <c r="A301" t="s">
        <v>1</v>
      </c>
      <c r="B301" t="s">
        <v>179</v>
      </c>
      <c r="C301" s="3">
        <v>9</v>
      </c>
      <c r="D301" s="4">
        <f>(2093/100)</f>
        <v>20.93</v>
      </c>
    </row>
    <row r="302" spans="1:4" s="5" customFormat="1" ht="13" x14ac:dyDescent="0.3">
      <c r="A302" s="5" t="s">
        <v>108</v>
      </c>
    </row>
    <row r="303" spans="1:4" x14ac:dyDescent="0.35">
      <c r="A303" t="s">
        <v>180</v>
      </c>
    </row>
    <row r="304" spans="1:4" x14ac:dyDescent="0.35">
      <c r="A304" t="s">
        <v>1</v>
      </c>
      <c r="B304" t="s">
        <v>4</v>
      </c>
      <c r="C304" t="s">
        <v>5</v>
      </c>
      <c r="D304" t="s">
        <v>6</v>
      </c>
    </row>
    <row r="305" spans="1:4" x14ac:dyDescent="0.35">
      <c r="A305" t="s">
        <v>1</v>
      </c>
    </row>
    <row r="306" spans="1:4" x14ac:dyDescent="0.35">
      <c r="A306" t="s">
        <v>1</v>
      </c>
      <c r="B306" t="s">
        <v>164</v>
      </c>
      <c r="C306" s="3">
        <v>9</v>
      </c>
      <c r="D306" s="4">
        <f>(1250/100)</f>
        <v>12.5</v>
      </c>
    </row>
    <row r="307" spans="1:4" x14ac:dyDescent="0.35">
      <c r="A307" t="s">
        <v>1</v>
      </c>
      <c r="B307" t="s">
        <v>165</v>
      </c>
      <c r="C307" s="3">
        <v>14</v>
      </c>
      <c r="D307" s="4">
        <f>(1944/100)</f>
        <v>19.440000000000001</v>
      </c>
    </row>
    <row r="308" spans="1:4" x14ac:dyDescent="0.35">
      <c r="A308" t="s">
        <v>1</v>
      </c>
      <c r="B308" t="s">
        <v>166</v>
      </c>
      <c r="C308" s="3">
        <v>4</v>
      </c>
      <c r="D308" s="4">
        <f>(556/100)</f>
        <v>5.56</v>
      </c>
    </row>
    <row r="309" spans="1:4" x14ac:dyDescent="0.35">
      <c r="A309" t="s">
        <v>1</v>
      </c>
      <c r="B309" t="s">
        <v>167</v>
      </c>
      <c r="C309" s="3">
        <v>13</v>
      </c>
      <c r="D309" s="4">
        <f>(1806/100)</f>
        <v>18.059999999999999</v>
      </c>
    </row>
    <row r="310" spans="1:4" x14ac:dyDescent="0.35">
      <c r="A310" t="s">
        <v>1</v>
      </c>
      <c r="B310" t="s">
        <v>168</v>
      </c>
      <c r="C310" s="3">
        <v>17</v>
      </c>
      <c r="D310" s="4">
        <f>(2361/100)</f>
        <v>23.61</v>
      </c>
    </row>
    <row r="311" spans="1:4" x14ac:dyDescent="0.35">
      <c r="A311" t="s">
        <v>1</v>
      </c>
      <c r="B311" t="s">
        <v>169</v>
      </c>
      <c r="C311" s="3">
        <v>16</v>
      </c>
      <c r="D311" s="4">
        <f>(2222/100)</f>
        <v>22.22</v>
      </c>
    </row>
    <row r="312" spans="1:4" x14ac:dyDescent="0.35">
      <c r="A312" t="s">
        <v>1</v>
      </c>
      <c r="B312" t="s">
        <v>170</v>
      </c>
      <c r="C312" s="3">
        <v>20</v>
      </c>
      <c r="D312" s="4">
        <f>(2778/100)</f>
        <v>27.78</v>
      </c>
    </row>
    <row r="313" spans="1:4" x14ac:dyDescent="0.35">
      <c r="A313" t="s">
        <v>1</v>
      </c>
      <c r="B313" t="s">
        <v>171</v>
      </c>
      <c r="C313" s="3">
        <v>5</v>
      </c>
      <c r="D313" s="4">
        <f>(694/100)</f>
        <v>6.94</v>
      </c>
    </row>
    <row r="314" spans="1:4" x14ac:dyDescent="0.35">
      <c r="A314" t="s">
        <v>1</v>
      </c>
      <c r="B314" t="s">
        <v>172</v>
      </c>
      <c r="C314" s="3">
        <v>14</v>
      </c>
      <c r="D314" s="4">
        <f>(1944/100)</f>
        <v>19.440000000000001</v>
      </c>
    </row>
    <row r="315" spans="1:4" x14ac:dyDescent="0.35">
      <c r="A315" t="s">
        <v>1</v>
      </c>
      <c r="B315" t="s">
        <v>173</v>
      </c>
      <c r="C315" s="3">
        <v>1</v>
      </c>
      <c r="D315" s="4">
        <f>(139/100)</f>
        <v>1.39</v>
      </c>
    </row>
    <row r="316" spans="1:4" x14ac:dyDescent="0.35">
      <c r="A316" t="s">
        <v>1</v>
      </c>
      <c r="B316" t="s">
        <v>174</v>
      </c>
      <c r="C316" s="3">
        <v>6</v>
      </c>
      <c r="D316" s="4">
        <f>(833/100)</f>
        <v>8.33</v>
      </c>
    </row>
    <row r="317" spans="1:4" x14ac:dyDescent="0.35">
      <c r="A317" t="s">
        <v>1</v>
      </c>
      <c r="B317" t="s">
        <v>175</v>
      </c>
      <c r="C317" s="3">
        <v>15</v>
      </c>
      <c r="D317" s="4">
        <f>(2083/100)</f>
        <v>20.83</v>
      </c>
    </row>
    <row r="318" spans="1:4" x14ac:dyDescent="0.35">
      <c r="A318" t="s">
        <v>1</v>
      </c>
      <c r="B318" t="s">
        <v>176</v>
      </c>
      <c r="C318" s="3">
        <v>8</v>
      </c>
      <c r="D318" s="4">
        <f>(1111/100)</f>
        <v>11.11</v>
      </c>
    </row>
    <row r="319" spans="1:4" x14ac:dyDescent="0.35">
      <c r="A319" t="s">
        <v>1</v>
      </c>
      <c r="B319" t="s">
        <v>177</v>
      </c>
      <c r="C319" s="3">
        <v>9</v>
      </c>
      <c r="D319" s="4">
        <f>(1250/100)</f>
        <v>12.5</v>
      </c>
    </row>
    <row r="320" spans="1:4" x14ac:dyDescent="0.35">
      <c r="A320" t="s">
        <v>1</v>
      </c>
      <c r="B320" t="s">
        <v>178</v>
      </c>
      <c r="C320" s="3">
        <v>8</v>
      </c>
      <c r="D320" s="4">
        <f>(1111/100)</f>
        <v>11.11</v>
      </c>
    </row>
    <row r="321" spans="1:4" x14ac:dyDescent="0.35">
      <c r="A321" t="s">
        <v>1</v>
      </c>
      <c r="B321" t="s">
        <v>179</v>
      </c>
      <c r="C321" s="3">
        <v>13</v>
      </c>
      <c r="D321" s="4">
        <f>(1806/100)</f>
        <v>18.059999999999999</v>
      </c>
    </row>
    <row r="322" spans="1:4" s="5" customFormat="1" ht="13" x14ac:dyDescent="0.3">
      <c r="A322" s="5" t="s">
        <v>109</v>
      </c>
    </row>
    <row r="323" spans="1:4" x14ac:dyDescent="0.35">
      <c r="A323" t="s">
        <v>181</v>
      </c>
    </row>
    <row r="324" spans="1:4" x14ac:dyDescent="0.35">
      <c r="A324" t="s">
        <v>1</v>
      </c>
      <c r="B324" t="s">
        <v>4</v>
      </c>
      <c r="C324" t="s">
        <v>5</v>
      </c>
      <c r="D324" t="s">
        <v>6</v>
      </c>
    </row>
    <row r="325" spans="1:4" x14ac:dyDescent="0.35">
      <c r="A325" t="s">
        <v>1</v>
      </c>
    </row>
    <row r="326" spans="1:4" x14ac:dyDescent="0.35">
      <c r="A326" t="s">
        <v>1</v>
      </c>
      <c r="B326" t="s">
        <v>164</v>
      </c>
      <c r="C326" s="3">
        <v>34</v>
      </c>
      <c r="D326" s="4">
        <f>(3036/100)</f>
        <v>30.36</v>
      </c>
    </row>
    <row r="327" spans="1:4" x14ac:dyDescent="0.35">
      <c r="A327" t="s">
        <v>1</v>
      </c>
      <c r="B327" t="s">
        <v>165</v>
      </c>
      <c r="C327" s="3">
        <v>37</v>
      </c>
      <c r="D327" s="4">
        <f>(3304/100)</f>
        <v>33.04</v>
      </c>
    </row>
    <row r="328" spans="1:4" x14ac:dyDescent="0.35">
      <c r="A328" t="s">
        <v>1</v>
      </c>
      <c r="B328" t="s">
        <v>166</v>
      </c>
      <c r="C328" s="3">
        <v>25</v>
      </c>
      <c r="D328" s="4">
        <f>(2232/100)</f>
        <v>22.32</v>
      </c>
    </row>
    <row r="329" spans="1:4" x14ac:dyDescent="0.35">
      <c r="A329" t="s">
        <v>1</v>
      </c>
      <c r="B329" t="s">
        <v>167</v>
      </c>
      <c r="C329" s="3">
        <v>38</v>
      </c>
      <c r="D329" s="4">
        <f>(3393/100)</f>
        <v>33.93</v>
      </c>
    </row>
    <row r="330" spans="1:4" x14ac:dyDescent="0.35">
      <c r="A330" t="s">
        <v>1</v>
      </c>
      <c r="B330" t="s">
        <v>168</v>
      </c>
      <c r="C330" s="3">
        <v>34</v>
      </c>
      <c r="D330" s="4">
        <f>(3036/100)</f>
        <v>30.36</v>
      </c>
    </row>
    <row r="331" spans="1:4" x14ac:dyDescent="0.35">
      <c r="A331" t="s">
        <v>1</v>
      </c>
      <c r="B331" t="s">
        <v>169</v>
      </c>
      <c r="C331" s="3">
        <v>32</v>
      </c>
      <c r="D331" s="4">
        <f>(2857/100)</f>
        <v>28.57</v>
      </c>
    </row>
    <row r="332" spans="1:4" x14ac:dyDescent="0.35">
      <c r="A332" t="s">
        <v>1</v>
      </c>
      <c r="B332" t="s">
        <v>170</v>
      </c>
      <c r="C332" s="3">
        <v>32</v>
      </c>
      <c r="D332" s="4">
        <f>(2857/100)</f>
        <v>28.57</v>
      </c>
    </row>
    <row r="333" spans="1:4" x14ac:dyDescent="0.35">
      <c r="A333" t="s">
        <v>1</v>
      </c>
      <c r="B333" t="s">
        <v>171</v>
      </c>
      <c r="C333" s="3">
        <v>24</v>
      </c>
      <c r="D333" s="4">
        <f>(2143/100)</f>
        <v>21.43</v>
      </c>
    </row>
    <row r="334" spans="1:4" x14ac:dyDescent="0.35">
      <c r="A334" t="s">
        <v>1</v>
      </c>
      <c r="B334" t="s">
        <v>172</v>
      </c>
      <c r="C334" s="3">
        <v>29</v>
      </c>
      <c r="D334" s="4">
        <f>(2589/100)</f>
        <v>25.89</v>
      </c>
    </row>
    <row r="335" spans="1:4" x14ac:dyDescent="0.35">
      <c r="A335" t="s">
        <v>1</v>
      </c>
      <c r="B335" t="s">
        <v>173</v>
      </c>
      <c r="C335" s="3">
        <v>18</v>
      </c>
      <c r="D335" s="4">
        <f>(1607/100)</f>
        <v>16.07</v>
      </c>
    </row>
    <row r="336" spans="1:4" x14ac:dyDescent="0.35">
      <c r="A336" t="s">
        <v>1</v>
      </c>
      <c r="B336" t="s">
        <v>174</v>
      </c>
      <c r="C336" s="3">
        <v>10</v>
      </c>
      <c r="D336" s="4">
        <f>(893/100)</f>
        <v>8.93</v>
      </c>
    </row>
    <row r="337" spans="1:4" x14ac:dyDescent="0.35">
      <c r="A337" t="s">
        <v>1</v>
      </c>
      <c r="B337" t="s">
        <v>175</v>
      </c>
      <c r="C337" s="3">
        <v>38</v>
      </c>
      <c r="D337" s="4">
        <f>(3393/100)</f>
        <v>33.93</v>
      </c>
    </row>
    <row r="338" spans="1:4" x14ac:dyDescent="0.35">
      <c r="A338" t="s">
        <v>1</v>
      </c>
      <c r="B338" t="s">
        <v>176</v>
      </c>
      <c r="C338" s="3">
        <v>29</v>
      </c>
      <c r="D338" s="4">
        <f>(2589/100)</f>
        <v>25.89</v>
      </c>
    </row>
    <row r="339" spans="1:4" x14ac:dyDescent="0.35">
      <c r="A339" t="s">
        <v>1</v>
      </c>
      <c r="B339" t="s">
        <v>177</v>
      </c>
      <c r="C339" s="3">
        <v>28</v>
      </c>
      <c r="D339" s="4">
        <f>(2500/100)</f>
        <v>25</v>
      </c>
    </row>
    <row r="340" spans="1:4" x14ac:dyDescent="0.35">
      <c r="A340" t="s">
        <v>1</v>
      </c>
      <c r="B340" t="s">
        <v>178</v>
      </c>
      <c r="C340" s="3">
        <v>32</v>
      </c>
      <c r="D340" s="4">
        <f>(2857/100)</f>
        <v>28.57</v>
      </c>
    </row>
    <row r="341" spans="1:4" x14ac:dyDescent="0.35">
      <c r="A341" t="s">
        <v>1</v>
      </c>
      <c r="B341" t="s">
        <v>179</v>
      </c>
      <c r="C341" s="3">
        <v>26</v>
      </c>
      <c r="D341" s="4">
        <f>(2321/100)</f>
        <v>23.21</v>
      </c>
    </row>
    <row r="342" spans="1:4" s="5" customFormat="1" ht="13" x14ac:dyDescent="0.3">
      <c r="A342" s="5" t="s">
        <v>110</v>
      </c>
    </row>
    <row r="343" spans="1:4" x14ac:dyDescent="0.35">
      <c r="A343" t="s">
        <v>182</v>
      </c>
    </row>
    <row r="344" spans="1:4" x14ac:dyDescent="0.35">
      <c r="A344" t="s">
        <v>1</v>
      </c>
      <c r="B344" t="s">
        <v>4</v>
      </c>
      <c r="C344" t="s">
        <v>5</v>
      </c>
      <c r="D344" t="s">
        <v>6</v>
      </c>
    </row>
    <row r="345" spans="1:4" x14ac:dyDescent="0.35">
      <c r="A345" t="s">
        <v>1</v>
      </c>
    </row>
    <row r="346" spans="1:4" x14ac:dyDescent="0.35">
      <c r="A346" t="s">
        <v>1</v>
      </c>
      <c r="B346" t="s">
        <v>164</v>
      </c>
      <c r="C346" s="3">
        <v>60</v>
      </c>
      <c r="D346" s="4">
        <f>(4839/100)</f>
        <v>48.39</v>
      </c>
    </row>
    <row r="347" spans="1:4" x14ac:dyDescent="0.35">
      <c r="A347" t="s">
        <v>1</v>
      </c>
      <c r="B347" t="s">
        <v>165</v>
      </c>
      <c r="C347" s="3">
        <v>55</v>
      </c>
      <c r="D347" s="4">
        <f>(4435/100)</f>
        <v>44.35</v>
      </c>
    </row>
    <row r="348" spans="1:4" x14ac:dyDescent="0.35">
      <c r="A348" t="s">
        <v>1</v>
      </c>
      <c r="B348" t="s">
        <v>166</v>
      </c>
      <c r="C348" s="3">
        <v>44</v>
      </c>
      <c r="D348" s="4">
        <f>(3548/100)</f>
        <v>35.479999999999997</v>
      </c>
    </row>
    <row r="349" spans="1:4" x14ac:dyDescent="0.35">
      <c r="A349" t="s">
        <v>1</v>
      </c>
      <c r="B349" t="s">
        <v>167</v>
      </c>
      <c r="C349" s="3">
        <v>46</v>
      </c>
      <c r="D349" s="4">
        <f>(3710/100)</f>
        <v>37.1</v>
      </c>
    </row>
    <row r="350" spans="1:4" x14ac:dyDescent="0.35">
      <c r="A350" t="s">
        <v>1</v>
      </c>
      <c r="B350" t="s">
        <v>168</v>
      </c>
      <c r="C350" s="3">
        <v>46</v>
      </c>
      <c r="D350" s="4">
        <f>(3710/100)</f>
        <v>37.1</v>
      </c>
    </row>
    <row r="351" spans="1:4" x14ac:dyDescent="0.35">
      <c r="A351" t="s">
        <v>1</v>
      </c>
      <c r="B351" t="s">
        <v>169</v>
      </c>
      <c r="C351" s="3">
        <v>52</v>
      </c>
      <c r="D351" s="4">
        <f>(4194/100)</f>
        <v>41.94</v>
      </c>
    </row>
    <row r="352" spans="1:4" x14ac:dyDescent="0.35">
      <c r="A352" t="s">
        <v>1</v>
      </c>
      <c r="B352" t="s">
        <v>170</v>
      </c>
      <c r="C352" s="3">
        <v>35</v>
      </c>
      <c r="D352" s="4">
        <f>(2823/100)</f>
        <v>28.23</v>
      </c>
    </row>
    <row r="353" spans="1:4" x14ac:dyDescent="0.35">
      <c r="A353" t="s">
        <v>1</v>
      </c>
      <c r="B353" t="s">
        <v>171</v>
      </c>
      <c r="C353" s="3">
        <v>48</v>
      </c>
      <c r="D353" s="4">
        <f>(3871/100)</f>
        <v>38.71</v>
      </c>
    </row>
    <row r="354" spans="1:4" x14ac:dyDescent="0.35">
      <c r="A354" t="s">
        <v>1</v>
      </c>
      <c r="B354" t="s">
        <v>172</v>
      </c>
      <c r="C354" s="3">
        <v>40</v>
      </c>
      <c r="D354" s="4">
        <f>(3226/100)</f>
        <v>32.26</v>
      </c>
    </row>
    <row r="355" spans="1:4" x14ac:dyDescent="0.35">
      <c r="A355" t="s">
        <v>1</v>
      </c>
      <c r="B355" t="s">
        <v>173</v>
      </c>
      <c r="C355" s="3">
        <v>37</v>
      </c>
      <c r="D355" s="4">
        <f>(2984/100)</f>
        <v>29.84</v>
      </c>
    </row>
    <row r="356" spans="1:4" x14ac:dyDescent="0.35">
      <c r="A356" t="s">
        <v>1</v>
      </c>
      <c r="B356" t="s">
        <v>174</v>
      </c>
      <c r="C356" s="3">
        <v>39</v>
      </c>
      <c r="D356" s="4">
        <f>(3145/100)</f>
        <v>31.45</v>
      </c>
    </row>
    <row r="357" spans="1:4" x14ac:dyDescent="0.35">
      <c r="A357" t="s">
        <v>1</v>
      </c>
      <c r="B357" t="s">
        <v>175</v>
      </c>
      <c r="C357" s="3">
        <v>39</v>
      </c>
      <c r="D357" s="4">
        <f>(3145/100)</f>
        <v>31.45</v>
      </c>
    </row>
    <row r="358" spans="1:4" x14ac:dyDescent="0.35">
      <c r="A358" t="s">
        <v>1</v>
      </c>
      <c r="B358" t="s">
        <v>176</v>
      </c>
      <c r="C358" s="3">
        <v>49</v>
      </c>
      <c r="D358" s="4">
        <f>(3952/100)</f>
        <v>39.520000000000003</v>
      </c>
    </row>
    <row r="359" spans="1:4" x14ac:dyDescent="0.35">
      <c r="A359" t="s">
        <v>1</v>
      </c>
      <c r="B359" t="s">
        <v>177</v>
      </c>
      <c r="C359" s="3">
        <v>46</v>
      </c>
      <c r="D359" s="4">
        <f>(3710/100)</f>
        <v>37.1</v>
      </c>
    </row>
    <row r="360" spans="1:4" x14ac:dyDescent="0.35">
      <c r="A360" t="s">
        <v>1</v>
      </c>
      <c r="B360" t="s">
        <v>178</v>
      </c>
      <c r="C360" s="3">
        <v>49</v>
      </c>
      <c r="D360" s="4">
        <f>(3952/100)</f>
        <v>39.520000000000003</v>
      </c>
    </row>
    <row r="361" spans="1:4" x14ac:dyDescent="0.35">
      <c r="A361" t="s">
        <v>1</v>
      </c>
      <c r="B361" t="s">
        <v>179</v>
      </c>
      <c r="C361" s="3">
        <v>50</v>
      </c>
      <c r="D361" s="4">
        <f>(4032/100)</f>
        <v>40.32</v>
      </c>
    </row>
    <row r="362" spans="1:4" s="5" customFormat="1" ht="13" x14ac:dyDescent="0.3">
      <c r="A362" s="5" t="s">
        <v>111</v>
      </c>
    </row>
    <row r="363" spans="1:4" x14ac:dyDescent="0.35">
      <c r="A363" t="s">
        <v>181</v>
      </c>
    </row>
    <row r="364" spans="1:4" x14ac:dyDescent="0.35">
      <c r="A364" t="s">
        <v>1</v>
      </c>
      <c r="B364" t="s">
        <v>4</v>
      </c>
      <c r="C364" t="s">
        <v>5</v>
      </c>
      <c r="D364" t="s">
        <v>6</v>
      </c>
    </row>
    <row r="365" spans="1:4" x14ac:dyDescent="0.35">
      <c r="A365" t="s">
        <v>1</v>
      </c>
    </row>
    <row r="366" spans="1:4" x14ac:dyDescent="0.35">
      <c r="A366" t="s">
        <v>1</v>
      </c>
      <c r="B366" t="s">
        <v>164</v>
      </c>
      <c r="C366" s="3">
        <v>27</v>
      </c>
      <c r="D366" s="4">
        <f>(2411/100)</f>
        <v>24.11</v>
      </c>
    </row>
    <row r="367" spans="1:4" x14ac:dyDescent="0.35">
      <c r="A367" t="s">
        <v>1</v>
      </c>
      <c r="B367" t="s">
        <v>165</v>
      </c>
      <c r="C367" s="3">
        <v>24</v>
      </c>
      <c r="D367" s="4">
        <f>(2143/100)</f>
        <v>21.43</v>
      </c>
    </row>
    <row r="368" spans="1:4" x14ac:dyDescent="0.35">
      <c r="A368" t="s">
        <v>1</v>
      </c>
      <c r="B368" t="s">
        <v>166</v>
      </c>
      <c r="C368" s="3">
        <v>67</v>
      </c>
      <c r="D368" s="4">
        <f>(5982/100)</f>
        <v>59.82</v>
      </c>
    </row>
    <row r="369" spans="1:4" x14ac:dyDescent="0.35">
      <c r="A369" t="s">
        <v>1</v>
      </c>
      <c r="B369" t="s">
        <v>167</v>
      </c>
      <c r="C369" s="3">
        <v>33</v>
      </c>
      <c r="D369" s="4">
        <f>(2946/100)</f>
        <v>29.46</v>
      </c>
    </row>
    <row r="370" spans="1:4" x14ac:dyDescent="0.35">
      <c r="A370" t="s">
        <v>1</v>
      </c>
      <c r="B370" t="s">
        <v>168</v>
      </c>
      <c r="C370" s="3">
        <v>32</v>
      </c>
      <c r="D370" s="4">
        <f>(2857/100)</f>
        <v>28.57</v>
      </c>
    </row>
    <row r="371" spans="1:4" x14ac:dyDescent="0.35">
      <c r="A371" t="s">
        <v>1</v>
      </c>
      <c r="B371" t="s">
        <v>169</v>
      </c>
      <c r="C371" s="3">
        <v>30</v>
      </c>
      <c r="D371" s="4">
        <f>(2679/100)</f>
        <v>26.79</v>
      </c>
    </row>
    <row r="372" spans="1:4" x14ac:dyDescent="0.35">
      <c r="A372" t="s">
        <v>1</v>
      </c>
      <c r="B372" t="s">
        <v>170</v>
      </c>
      <c r="C372" s="3">
        <v>39</v>
      </c>
      <c r="D372" s="4">
        <f>(3482/100)</f>
        <v>34.82</v>
      </c>
    </row>
    <row r="373" spans="1:4" x14ac:dyDescent="0.35">
      <c r="A373" t="s">
        <v>1</v>
      </c>
      <c r="B373" t="s">
        <v>171</v>
      </c>
      <c r="C373" s="3">
        <v>55</v>
      </c>
      <c r="D373" s="4">
        <f>(4911/100)</f>
        <v>49.11</v>
      </c>
    </row>
    <row r="374" spans="1:4" x14ac:dyDescent="0.35">
      <c r="A374" t="s">
        <v>1</v>
      </c>
      <c r="B374" t="s">
        <v>172</v>
      </c>
      <c r="C374" s="3">
        <v>40</v>
      </c>
      <c r="D374" s="4">
        <f>(3571/100)</f>
        <v>35.71</v>
      </c>
    </row>
    <row r="375" spans="1:4" x14ac:dyDescent="0.35">
      <c r="A375" t="s">
        <v>1</v>
      </c>
      <c r="B375" t="s">
        <v>173</v>
      </c>
      <c r="C375" s="3">
        <v>57</v>
      </c>
      <c r="D375" s="4">
        <f>(5089/100)</f>
        <v>50.89</v>
      </c>
    </row>
    <row r="376" spans="1:4" x14ac:dyDescent="0.35">
      <c r="A376" t="s">
        <v>1</v>
      </c>
      <c r="B376" t="s">
        <v>174</v>
      </c>
      <c r="C376" s="3">
        <v>81</v>
      </c>
      <c r="D376" s="4">
        <f>(7232/100)</f>
        <v>72.319999999999993</v>
      </c>
    </row>
    <row r="377" spans="1:4" x14ac:dyDescent="0.35">
      <c r="A377" t="s">
        <v>1</v>
      </c>
      <c r="B377" t="s">
        <v>175</v>
      </c>
      <c r="C377" s="3">
        <v>32</v>
      </c>
      <c r="D377" s="4">
        <f>(2857/100)</f>
        <v>28.57</v>
      </c>
    </row>
    <row r="378" spans="1:4" x14ac:dyDescent="0.35">
      <c r="A378" t="s">
        <v>1</v>
      </c>
      <c r="B378" t="s">
        <v>176</v>
      </c>
      <c r="C378" s="3">
        <v>44</v>
      </c>
      <c r="D378" s="4">
        <f>(3929/100)</f>
        <v>39.29</v>
      </c>
    </row>
    <row r="379" spans="1:4" x14ac:dyDescent="0.35">
      <c r="A379" t="s">
        <v>1</v>
      </c>
      <c r="B379" t="s">
        <v>177</v>
      </c>
      <c r="C379" s="3">
        <v>49</v>
      </c>
      <c r="D379" s="4">
        <f>(4375/100)</f>
        <v>43.75</v>
      </c>
    </row>
    <row r="380" spans="1:4" x14ac:dyDescent="0.35">
      <c r="A380" t="s">
        <v>1</v>
      </c>
      <c r="B380" t="s">
        <v>178</v>
      </c>
      <c r="C380" s="3">
        <v>42</v>
      </c>
      <c r="D380" s="4">
        <f>(3750/100)</f>
        <v>37.5</v>
      </c>
    </row>
    <row r="381" spans="1:4" x14ac:dyDescent="0.35">
      <c r="A381" t="s">
        <v>1</v>
      </c>
      <c r="B381" t="s">
        <v>179</v>
      </c>
      <c r="C381" s="3">
        <v>35</v>
      </c>
      <c r="D381" s="4">
        <f>(3125/100)</f>
        <v>31.25</v>
      </c>
    </row>
    <row r="382" spans="1:4" s="5" customFormat="1" ht="13" x14ac:dyDescent="0.3">
      <c r="A382" s="5" t="s">
        <v>183</v>
      </c>
    </row>
    <row r="383" spans="1:4" x14ac:dyDescent="0.35">
      <c r="A383" t="s">
        <v>184</v>
      </c>
    </row>
    <row r="384" spans="1:4" x14ac:dyDescent="0.35">
      <c r="A384" t="s">
        <v>1</v>
      </c>
      <c r="B384" t="s">
        <v>4</v>
      </c>
      <c r="C384" t="s">
        <v>5</v>
      </c>
      <c r="D384" t="s">
        <v>6</v>
      </c>
    </row>
    <row r="385" spans="1:4" x14ac:dyDescent="0.35">
      <c r="A385" t="s">
        <v>1</v>
      </c>
    </row>
    <row r="386" spans="1:4" x14ac:dyDescent="0.35">
      <c r="A386" t="s">
        <v>1</v>
      </c>
      <c r="B386" t="s">
        <v>164</v>
      </c>
      <c r="C386" s="3">
        <v>4</v>
      </c>
      <c r="D386" s="4">
        <f>(1250/100)</f>
        <v>12.5</v>
      </c>
    </row>
    <row r="387" spans="1:4" x14ac:dyDescent="0.35">
      <c r="A387" t="s">
        <v>1</v>
      </c>
      <c r="B387" t="s">
        <v>165</v>
      </c>
      <c r="C387" s="3">
        <v>3</v>
      </c>
      <c r="D387" s="4">
        <f t="shared" ref="D387:D392" si="1">(938/100)</f>
        <v>9.3800000000000008</v>
      </c>
    </row>
    <row r="388" spans="1:4" x14ac:dyDescent="0.35">
      <c r="A388" t="s">
        <v>1</v>
      </c>
      <c r="B388" t="s">
        <v>166</v>
      </c>
      <c r="C388" s="3">
        <v>3</v>
      </c>
      <c r="D388" s="4">
        <f t="shared" si="1"/>
        <v>9.3800000000000008</v>
      </c>
    </row>
    <row r="389" spans="1:4" x14ac:dyDescent="0.35">
      <c r="A389" t="s">
        <v>1</v>
      </c>
      <c r="B389" t="s">
        <v>167</v>
      </c>
      <c r="C389" s="3">
        <v>3</v>
      </c>
      <c r="D389" s="4">
        <f t="shared" si="1"/>
        <v>9.3800000000000008</v>
      </c>
    </row>
    <row r="390" spans="1:4" x14ac:dyDescent="0.35">
      <c r="A390" t="s">
        <v>1</v>
      </c>
      <c r="B390" t="s">
        <v>168</v>
      </c>
      <c r="C390" s="3">
        <v>3</v>
      </c>
      <c r="D390" s="4">
        <f t="shared" si="1"/>
        <v>9.3800000000000008</v>
      </c>
    </row>
    <row r="391" spans="1:4" x14ac:dyDescent="0.35">
      <c r="A391" t="s">
        <v>1</v>
      </c>
      <c r="B391" t="s">
        <v>169</v>
      </c>
      <c r="C391" s="3">
        <v>3</v>
      </c>
      <c r="D391" s="4">
        <f t="shared" si="1"/>
        <v>9.3800000000000008</v>
      </c>
    </row>
    <row r="392" spans="1:4" x14ac:dyDescent="0.35">
      <c r="A392" t="s">
        <v>1</v>
      </c>
      <c r="B392" t="s">
        <v>170</v>
      </c>
      <c r="C392" s="3">
        <v>3</v>
      </c>
      <c r="D392" s="4">
        <f t="shared" si="1"/>
        <v>9.3800000000000008</v>
      </c>
    </row>
    <row r="393" spans="1:4" x14ac:dyDescent="0.35">
      <c r="A393" t="s">
        <v>1</v>
      </c>
      <c r="B393" t="s">
        <v>171</v>
      </c>
      <c r="C393" s="3">
        <v>5</v>
      </c>
      <c r="D393" s="4">
        <f>(1563/100)</f>
        <v>15.63</v>
      </c>
    </row>
    <row r="394" spans="1:4" x14ac:dyDescent="0.35">
      <c r="A394" t="s">
        <v>1</v>
      </c>
      <c r="B394" t="s">
        <v>172</v>
      </c>
      <c r="C394" s="3">
        <v>8</v>
      </c>
      <c r="D394" s="4">
        <f>(2500/100)</f>
        <v>25</v>
      </c>
    </row>
    <row r="395" spans="1:4" x14ac:dyDescent="0.35">
      <c r="A395" t="s">
        <v>1</v>
      </c>
      <c r="B395" t="s">
        <v>173</v>
      </c>
      <c r="C395" s="3">
        <v>24</v>
      </c>
      <c r="D395" s="4">
        <f>(7500/100)</f>
        <v>75</v>
      </c>
    </row>
    <row r="396" spans="1:4" x14ac:dyDescent="0.35">
      <c r="A396" t="s">
        <v>1</v>
      </c>
      <c r="B396" t="s">
        <v>174</v>
      </c>
      <c r="C396" s="3">
        <v>4</v>
      </c>
      <c r="D396" s="4">
        <f>(1250/100)</f>
        <v>12.5</v>
      </c>
    </row>
    <row r="397" spans="1:4" x14ac:dyDescent="0.35">
      <c r="A397" t="s">
        <v>1</v>
      </c>
      <c r="B397" t="s">
        <v>175</v>
      </c>
      <c r="C397" s="3">
        <v>3</v>
      </c>
      <c r="D397" s="4">
        <f>(938/100)</f>
        <v>9.3800000000000008</v>
      </c>
    </row>
    <row r="398" spans="1:4" x14ac:dyDescent="0.35">
      <c r="A398" t="s">
        <v>1</v>
      </c>
      <c r="B398" t="s">
        <v>176</v>
      </c>
      <c r="C398" s="3">
        <v>4</v>
      </c>
      <c r="D398" s="4">
        <f>(1250/100)</f>
        <v>12.5</v>
      </c>
    </row>
    <row r="399" spans="1:4" x14ac:dyDescent="0.35">
      <c r="A399" t="s">
        <v>1</v>
      </c>
      <c r="B399" t="s">
        <v>177</v>
      </c>
      <c r="C399" s="3">
        <v>3</v>
      </c>
      <c r="D399" s="4">
        <f>(938/100)</f>
        <v>9.3800000000000008</v>
      </c>
    </row>
    <row r="400" spans="1:4" x14ac:dyDescent="0.35">
      <c r="A400" t="s">
        <v>1</v>
      </c>
      <c r="B400" t="s">
        <v>178</v>
      </c>
      <c r="C400" s="3">
        <v>3</v>
      </c>
      <c r="D400" s="4">
        <f>(938/100)</f>
        <v>9.3800000000000008</v>
      </c>
    </row>
    <row r="401" spans="1:4" x14ac:dyDescent="0.35">
      <c r="A401" t="s">
        <v>1</v>
      </c>
      <c r="B401" t="s">
        <v>179</v>
      </c>
      <c r="C401" s="3">
        <v>9</v>
      </c>
      <c r="D401" s="4">
        <f>(2813/100)</f>
        <v>28.13</v>
      </c>
    </row>
    <row r="402" spans="1:4" x14ac:dyDescent="0.35">
      <c r="A402" t="s">
        <v>1</v>
      </c>
    </row>
    <row r="403" spans="1:4" s="2" customFormat="1" ht="13" x14ac:dyDescent="0.3">
      <c r="A403" s="2" t="s">
        <v>185</v>
      </c>
    </row>
    <row r="404" spans="1:4" x14ac:dyDescent="0.35">
      <c r="A404" t="s">
        <v>186</v>
      </c>
    </row>
    <row r="405" spans="1:4" s="5" customFormat="1" ht="13" x14ac:dyDescent="0.3">
      <c r="A405" s="5" t="s">
        <v>107</v>
      </c>
    </row>
    <row r="406" spans="1:4" x14ac:dyDescent="0.35">
      <c r="A406" t="s">
        <v>187</v>
      </c>
    </row>
    <row r="407" spans="1:4" x14ac:dyDescent="0.35">
      <c r="A407" t="s">
        <v>1</v>
      </c>
      <c r="B407" t="s">
        <v>4</v>
      </c>
      <c r="C407" t="s">
        <v>5</v>
      </c>
      <c r="D407" t="s">
        <v>6</v>
      </c>
    </row>
    <row r="408" spans="1:4" x14ac:dyDescent="0.35">
      <c r="A408" t="s">
        <v>1</v>
      </c>
    </row>
    <row r="409" spans="1:4" x14ac:dyDescent="0.35">
      <c r="A409" t="s">
        <v>1</v>
      </c>
      <c r="B409" t="s">
        <v>188</v>
      </c>
      <c r="C409" s="3">
        <v>10</v>
      </c>
      <c r="D409" s="4">
        <f>(4762/100)</f>
        <v>47.62</v>
      </c>
    </row>
    <row r="410" spans="1:4" x14ac:dyDescent="0.35">
      <c r="A410" t="s">
        <v>1</v>
      </c>
      <c r="B410" t="s">
        <v>189</v>
      </c>
      <c r="C410" s="3">
        <v>10</v>
      </c>
      <c r="D410" s="4">
        <f>(4762/100)</f>
        <v>47.62</v>
      </c>
    </row>
    <row r="411" spans="1:4" x14ac:dyDescent="0.35">
      <c r="A411" t="s">
        <v>1</v>
      </c>
      <c r="B411" t="s">
        <v>190</v>
      </c>
      <c r="C411" s="3">
        <v>12</v>
      </c>
      <c r="D411" s="4">
        <f>(5714/100)</f>
        <v>57.14</v>
      </c>
    </row>
    <row r="412" spans="1:4" x14ac:dyDescent="0.35">
      <c r="A412" t="s">
        <v>1</v>
      </c>
      <c r="B412" t="s">
        <v>191</v>
      </c>
      <c r="C412" s="3">
        <v>4</v>
      </c>
      <c r="D412" s="4">
        <f>(1905/100)</f>
        <v>19.05</v>
      </c>
    </row>
    <row r="413" spans="1:4" x14ac:dyDescent="0.35">
      <c r="A413" t="s">
        <v>1</v>
      </c>
      <c r="B413" t="s">
        <v>192</v>
      </c>
      <c r="C413" s="3">
        <v>8</v>
      </c>
      <c r="D413" s="4">
        <f>(3810/100)</f>
        <v>38.1</v>
      </c>
    </row>
    <row r="414" spans="1:4" x14ac:dyDescent="0.35">
      <c r="A414" t="s">
        <v>1</v>
      </c>
      <c r="B414" t="s">
        <v>193</v>
      </c>
      <c r="C414" s="3">
        <v>5</v>
      </c>
      <c r="D414" s="4">
        <f>(2381/100)</f>
        <v>23.81</v>
      </c>
    </row>
    <row r="415" spans="1:4" x14ac:dyDescent="0.35">
      <c r="A415" t="s">
        <v>1</v>
      </c>
      <c r="B415" t="s">
        <v>194</v>
      </c>
      <c r="C415" s="3">
        <v>5</v>
      </c>
      <c r="D415" s="4">
        <f>(2381/100)</f>
        <v>23.81</v>
      </c>
    </row>
    <row r="416" spans="1:4" x14ac:dyDescent="0.35">
      <c r="A416" t="s">
        <v>1</v>
      </c>
      <c r="B416" t="s">
        <v>195</v>
      </c>
      <c r="C416" s="3">
        <v>5</v>
      </c>
      <c r="D416" s="4">
        <f>(2381/100)</f>
        <v>23.81</v>
      </c>
    </row>
    <row r="417" spans="1:4" s="5" customFormat="1" ht="13" x14ac:dyDescent="0.3">
      <c r="A417" s="5" t="s">
        <v>108</v>
      </c>
    </row>
    <row r="418" spans="1:4" x14ac:dyDescent="0.35">
      <c r="A418" t="s">
        <v>196</v>
      </c>
    </row>
    <row r="419" spans="1:4" x14ac:dyDescent="0.35">
      <c r="A419" t="s">
        <v>1</v>
      </c>
      <c r="B419" t="s">
        <v>4</v>
      </c>
      <c r="C419" t="s">
        <v>5</v>
      </c>
      <c r="D419" t="s">
        <v>6</v>
      </c>
    </row>
    <row r="420" spans="1:4" x14ac:dyDescent="0.35">
      <c r="A420" t="s">
        <v>1</v>
      </c>
    </row>
    <row r="421" spans="1:4" x14ac:dyDescent="0.35">
      <c r="A421" t="s">
        <v>1</v>
      </c>
      <c r="B421" t="s">
        <v>188</v>
      </c>
      <c r="C421" s="3">
        <v>9</v>
      </c>
      <c r="D421" s="4">
        <f>(2308/100)</f>
        <v>23.08</v>
      </c>
    </row>
    <row r="422" spans="1:4" x14ac:dyDescent="0.35">
      <c r="A422" t="s">
        <v>1</v>
      </c>
      <c r="B422" t="s">
        <v>189</v>
      </c>
      <c r="C422" s="3">
        <v>10</v>
      </c>
      <c r="D422" s="4">
        <f>(2564/100)</f>
        <v>25.64</v>
      </c>
    </row>
    <row r="423" spans="1:4" x14ac:dyDescent="0.35">
      <c r="A423" t="s">
        <v>1</v>
      </c>
      <c r="B423" t="s">
        <v>190</v>
      </c>
      <c r="C423" s="3">
        <v>16</v>
      </c>
      <c r="D423" s="4">
        <f>(4103/100)</f>
        <v>41.03</v>
      </c>
    </row>
    <row r="424" spans="1:4" x14ac:dyDescent="0.35">
      <c r="A424" t="s">
        <v>1</v>
      </c>
      <c r="B424" t="s">
        <v>191</v>
      </c>
      <c r="C424" s="3">
        <v>7</v>
      </c>
      <c r="D424" s="4">
        <f>(1795/100)</f>
        <v>17.95</v>
      </c>
    </row>
    <row r="425" spans="1:4" x14ac:dyDescent="0.35">
      <c r="A425" t="s">
        <v>1</v>
      </c>
      <c r="B425" t="s">
        <v>192</v>
      </c>
      <c r="C425" s="3">
        <v>13</v>
      </c>
      <c r="D425" s="4">
        <f>(3333/100)</f>
        <v>33.33</v>
      </c>
    </row>
    <row r="426" spans="1:4" x14ac:dyDescent="0.35">
      <c r="A426" t="s">
        <v>1</v>
      </c>
      <c r="B426" t="s">
        <v>193</v>
      </c>
      <c r="C426" s="3">
        <v>10</v>
      </c>
      <c r="D426" s="4">
        <f>(2564/100)</f>
        <v>25.64</v>
      </c>
    </row>
    <row r="427" spans="1:4" x14ac:dyDescent="0.35">
      <c r="A427" t="s">
        <v>1</v>
      </c>
      <c r="B427" t="s">
        <v>194</v>
      </c>
      <c r="C427" s="3">
        <v>9</v>
      </c>
      <c r="D427" s="4">
        <f>(2308/100)</f>
        <v>23.08</v>
      </c>
    </row>
    <row r="428" spans="1:4" x14ac:dyDescent="0.35">
      <c r="A428" t="s">
        <v>1</v>
      </c>
      <c r="B428" t="s">
        <v>195</v>
      </c>
      <c r="C428" s="3">
        <v>8</v>
      </c>
      <c r="D428" s="4">
        <f>(2051/100)</f>
        <v>20.51</v>
      </c>
    </row>
    <row r="429" spans="1:4" s="5" customFormat="1" ht="13" x14ac:dyDescent="0.3">
      <c r="A429" s="5" t="s">
        <v>109</v>
      </c>
    </row>
    <row r="430" spans="1:4" x14ac:dyDescent="0.35">
      <c r="A430" t="s">
        <v>197</v>
      </c>
    </row>
    <row r="431" spans="1:4" x14ac:dyDescent="0.35">
      <c r="A431" t="s">
        <v>1</v>
      </c>
      <c r="B431" t="s">
        <v>4</v>
      </c>
      <c r="C431" t="s">
        <v>5</v>
      </c>
      <c r="D431" t="s">
        <v>6</v>
      </c>
    </row>
    <row r="432" spans="1:4" x14ac:dyDescent="0.35">
      <c r="A432" t="s">
        <v>1</v>
      </c>
    </row>
    <row r="433" spans="1:4" x14ac:dyDescent="0.35">
      <c r="A433" t="s">
        <v>1</v>
      </c>
      <c r="B433" t="s">
        <v>188</v>
      </c>
      <c r="C433" s="3">
        <v>28</v>
      </c>
      <c r="D433" s="4">
        <f>(4667/100)</f>
        <v>46.67</v>
      </c>
    </row>
    <row r="434" spans="1:4" x14ac:dyDescent="0.35">
      <c r="A434" t="s">
        <v>1</v>
      </c>
      <c r="B434" t="s">
        <v>189</v>
      </c>
      <c r="C434" s="3">
        <v>28</v>
      </c>
      <c r="D434" s="4">
        <f>(4667/100)</f>
        <v>46.67</v>
      </c>
    </row>
    <row r="435" spans="1:4" x14ac:dyDescent="0.35">
      <c r="A435" t="s">
        <v>1</v>
      </c>
      <c r="B435" t="s">
        <v>190</v>
      </c>
      <c r="C435" s="3">
        <v>23</v>
      </c>
      <c r="D435" s="4">
        <f>(3833/100)</f>
        <v>38.33</v>
      </c>
    </row>
    <row r="436" spans="1:4" x14ac:dyDescent="0.35">
      <c r="A436" t="s">
        <v>1</v>
      </c>
      <c r="B436" t="s">
        <v>191</v>
      </c>
      <c r="C436" s="3">
        <v>15</v>
      </c>
      <c r="D436" s="4">
        <f>(2500/100)</f>
        <v>25</v>
      </c>
    </row>
    <row r="437" spans="1:4" x14ac:dyDescent="0.35">
      <c r="A437" t="s">
        <v>1</v>
      </c>
      <c r="B437" t="s">
        <v>192</v>
      </c>
      <c r="C437" s="3">
        <v>22</v>
      </c>
      <c r="D437" s="4">
        <f>(3667/100)</f>
        <v>36.67</v>
      </c>
    </row>
    <row r="438" spans="1:4" x14ac:dyDescent="0.35">
      <c r="A438" t="s">
        <v>1</v>
      </c>
      <c r="B438" t="s">
        <v>193</v>
      </c>
      <c r="C438" s="3">
        <v>19</v>
      </c>
      <c r="D438" s="4">
        <f>(3167/100)</f>
        <v>31.67</v>
      </c>
    </row>
    <row r="439" spans="1:4" x14ac:dyDescent="0.35">
      <c r="A439" t="s">
        <v>1</v>
      </c>
      <c r="B439" t="s">
        <v>194</v>
      </c>
      <c r="C439" s="3">
        <v>19</v>
      </c>
      <c r="D439" s="4">
        <f>(3167/100)</f>
        <v>31.67</v>
      </c>
    </row>
    <row r="440" spans="1:4" x14ac:dyDescent="0.35">
      <c r="A440" t="s">
        <v>1</v>
      </c>
      <c r="B440" t="s">
        <v>195</v>
      </c>
      <c r="C440" s="3">
        <v>12</v>
      </c>
      <c r="D440" s="4">
        <f>(2000/100)</f>
        <v>20</v>
      </c>
    </row>
    <row r="441" spans="1:4" s="5" customFormat="1" ht="13" x14ac:dyDescent="0.3">
      <c r="A441" s="5" t="s">
        <v>110</v>
      </c>
    </row>
    <row r="442" spans="1:4" x14ac:dyDescent="0.35">
      <c r="A442" t="s">
        <v>198</v>
      </c>
    </row>
    <row r="443" spans="1:4" x14ac:dyDescent="0.35">
      <c r="A443" t="s">
        <v>1</v>
      </c>
      <c r="B443" t="s">
        <v>4</v>
      </c>
      <c r="C443" t="s">
        <v>5</v>
      </c>
      <c r="D443" t="s">
        <v>6</v>
      </c>
    </row>
    <row r="444" spans="1:4" x14ac:dyDescent="0.35">
      <c r="A444" t="s">
        <v>1</v>
      </c>
    </row>
    <row r="445" spans="1:4" x14ac:dyDescent="0.35">
      <c r="A445" t="s">
        <v>1</v>
      </c>
      <c r="B445" t="s">
        <v>188</v>
      </c>
      <c r="C445" s="3">
        <v>39</v>
      </c>
      <c r="D445" s="4">
        <f>(4432/100)</f>
        <v>44.32</v>
      </c>
    </row>
    <row r="446" spans="1:4" x14ac:dyDescent="0.35">
      <c r="A446" t="s">
        <v>1</v>
      </c>
      <c r="B446" t="s">
        <v>189</v>
      </c>
      <c r="C446" s="3">
        <v>34</v>
      </c>
      <c r="D446" s="4">
        <f>(3864/100)</f>
        <v>38.64</v>
      </c>
    </row>
    <row r="447" spans="1:4" x14ac:dyDescent="0.35">
      <c r="A447" t="s">
        <v>1</v>
      </c>
      <c r="B447" t="s">
        <v>190</v>
      </c>
      <c r="C447" s="3">
        <v>32</v>
      </c>
      <c r="D447" s="4">
        <f>(3636/100)</f>
        <v>36.36</v>
      </c>
    </row>
    <row r="448" spans="1:4" x14ac:dyDescent="0.35">
      <c r="A448" t="s">
        <v>1</v>
      </c>
      <c r="B448" t="s">
        <v>191</v>
      </c>
      <c r="C448" s="3">
        <v>35</v>
      </c>
      <c r="D448" s="4">
        <f>(3977/100)</f>
        <v>39.770000000000003</v>
      </c>
    </row>
    <row r="449" spans="1:4" x14ac:dyDescent="0.35">
      <c r="A449" t="s">
        <v>1</v>
      </c>
      <c r="B449" t="s">
        <v>192</v>
      </c>
      <c r="C449" s="3">
        <v>28</v>
      </c>
      <c r="D449" s="4">
        <f>(3182/100)</f>
        <v>31.82</v>
      </c>
    </row>
    <row r="450" spans="1:4" x14ac:dyDescent="0.35">
      <c r="A450" t="s">
        <v>1</v>
      </c>
      <c r="B450" t="s">
        <v>193</v>
      </c>
      <c r="C450" s="3">
        <v>38</v>
      </c>
      <c r="D450" s="4">
        <f>(4318/100)</f>
        <v>43.18</v>
      </c>
    </row>
    <row r="451" spans="1:4" x14ac:dyDescent="0.35">
      <c r="A451" t="s">
        <v>1</v>
      </c>
      <c r="B451" t="s">
        <v>194</v>
      </c>
      <c r="C451" s="3">
        <v>32</v>
      </c>
      <c r="D451" s="4">
        <f>(3636/100)</f>
        <v>36.36</v>
      </c>
    </row>
    <row r="452" spans="1:4" x14ac:dyDescent="0.35">
      <c r="A452" t="s">
        <v>1</v>
      </c>
      <c r="B452" t="s">
        <v>195</v>
      </c>
      <c r="C452" s="3">
        <v>29</v>
      </c>
      <c r="D452" s="4">
        <f>(3295/100)</f>
        <v>32.950000000000003</v>
      </c>
    </row>
    <row r="453" spans="1:4" s="5" customFormat="1" ht="13" x14ac:dyDescent="0.3">
      <c r="A453" s="5" t="s">
        <v>111</v>
      </c>
    </row>
    <row r="454" spans="1:4" x14ac:dyDescent="0.35">
      <c r="A454" t="s">
        <v>199</v>
      </c>
    </row>
    <row r="455" spans="1:4" x14ac:dyDescent="0.35">
      <c r="A455" t="s">
        <v>1</v>
      </c>
      <c r="B455" t="s">
        <v>4</v>
      </c>
      <c r="C455" t="s">
        <v>5</v>
      </c>
      <c r="D455" t="s">
        <v>6</v>
      </c>
    </row>
    <row r="456" spans="1:4" x14ac:dyDescent="0.35">
      <c r="A456" t="s">
        <v>1</v>
      </c>
    </row>
    <row r="457" spans="1:4" x14ac:dyDescent="0.35">
      <c r="A457" t="s">
        <v>1</v>
      </c>
      <c r="B457" t="s">
        <v>188</v>
      </c>
      <c r="C457" s="3">
        <v>50</v>
      </c>
      <c r="D457" s="4">
        <f>(5208/100)</f>
        <v>52.08</v>
      </c>
    </row>
    <row r="458" spans="1:4" x14ac:dyDescent="0.35">
      <c r="A458" t="s">
        <v>1</v>
      </c>
      <c r="B458" t="s">
        <v>189</v>
      </c>
      <c r="C458" s="3">
        <v>55</v>
      </c>
      <c r="D458" s="4">
        <f>(5729/100)</f>
        <v>57.29</v>
      </c>
    </row>
    <row r="459" spans="1:4" x14ac:dyDescent="0.35">
      <c r="A459" t="s">
        <v>1</v>
      </c>
      <c r="B459" t="s">
        <v>190</v>
      </c>
      <c r="C459" s="3">
        <v>53</v>
      </c>
      <c r="D459" s="4">
        <f>(5521/100)</f>
        <v>55.21</v>
      </c>
    </row>
    <row r="460" spans="1:4" x14ac:dyDescent="0.35">
      <c r="A460" t="s">
        <v>1</v>
      </c>
      <c r="B460" t="s">
        <v>191</v>
      </c>
      <c r="C460" s="3">
        <v>72</v>
      </c>
      <c r="D460" s="4">
        <f>(7500/100)</f>
        <v>75</v>
      </c>
    </row>
    <row r="461" spans="1:4" x14ac:dyDescent="0.35">
      <c r="A461" t="s">
        <v>1</v>
      </c>
      <c r="B461" t="s">
        <v>192</v>
      </c>
      <c r="C461" s="3">
        <v>66</v>
      </c>
      <c r="D461" s="4">
        <f>(6875/100)</f>
        <v>68.75</v>
      </c>
    </row>
    <row r="462" spans="1:4" x14ac:dyDescent="0.35">
      <c r="A462" t="s">
        <v>1</v>
      </c>
      <c r="B462" t="s">
        <v>193</v>
      </c>
      <c r="C462" s="3">
        <v>65</v>
      </c>
      <c r="D462" s="4">
        <f>(6771/100)</f>
        <v>67.709999999999994</v>
      </c>
    </row>
    <row r="463" spans="1:4" x14ac:dyDescent="0.35">
      <c r="A463" t="s">
        <v>1</v>
      </c>
      <c r="B463" t="s">
        <v>194</v>
      </c>
      <c r="C463" s="3">
        <v>64</v>
      </c>
      <c r="D463" s="4">
        <f>(6667/100)</f>
        <v>66.67</v>
      </c>
    </row>
    <row r="464" spans="1:4" x14ac:dyDescent="0.35">
      <c r="A464" t="s">
        <v>1</v>
      </c>
      <c r="B464" t="s">
        <v>195</v>
      </c>
      <c r="C464" s="3">
        <v>63</v>
      </c>
      <c r="D464" s="4">
        <f>(6563/100)</f>
        <v>65.63</v>
      </c>
    </row>
    <row r="465" spans="1:4" s="5" customFormat="1" ht="13" x14ac:dyDescent="0.3">
      <c r="A465" s="5" t="s">
        <v>183</v>
      </c>
    </row>
    <row r="466" spans="1:4" x14ac:dyDescent="0.35">
      <c r="A466" t="s">
        <v>184</v>
      </c>
    </row>
    <row r="467" spans="1:4" x14ac:dyDescent="0.35">
      <c r="A467" t="s">
        <v>1</v>
      </c>
      <c r="B467" t="s">
        <v>4</v>
      </c>
      <c r="C467" t="s">
        <v>5</v>
      </c>
      <c r="D467" t="s">
        <v>6</v>
      </c>
    </row>
    <row r="468" spans="1:4" x14ac:dyDescent="0.35">
      <c r="A468" t="s">
        <v>1</v>
      </c>
    </row>
    <row r="469" spans="1:4" x14ac:dyDescent="0.35">
      <c r="A469" t="s">
        <v>1</v>
      </c>
      <c r="B469" t="s">
        <v>188</v>
      </c>
      <c r="C469" s="3">
        <v>5</v>
      </c>
      <c r="D469" s="4">
        <f>(1563/100)</f>
        <v>15.63</v>
      </c>
    </row>
    <row r="470" spans="1:4" x14ac:dyDescent="0.35">
      <c r="A470" t="s">
        <v>1</v>
      </c>
      <c r="B470" t="s">
        <v>189</v>
      </c>
      <c r="C470" s="3">
        <v>4</v>
      </c>
      <c r="D470" s="4">
        <f>(1250/100)</f>
        <v>12.5</v>
      </c>
    </row>
    <row r="471" spans="1:4" x14ac:dyDescent="0.35">
      <c r="A471" t="s">
        <v>1</v>
      </c>
      <c r="B471" t="s">
        <v>190</v>
      </c>
      <c r="C471" s="3">
        <v>5</v>
      </c>
      <c r="D471" s="4">
        <f>(1563/100)</f>
        <v>15.63</v>
      </c>
    </row>
    <row r="472" spans="1:4" x14ac:dyDescent="0.35">
      <c r="A472" t="s">
        <v>1</v>
      </c>
      <c r="B472" t="s">
        <v>191</v>
      </c>
      <c r="C472" s="3">
        <v>8</v>
      </c>
      <c r="D472" s="4">
        <f>(2500/100)</f>
        <v>25</v>
      </c>
    </row>
    <row r="473" spans="1:4" x14ac:dyDescent="0.35">
      <c r="A473" t="s">
        <v>1</v>
      </c>
      <c r="B473" t="s">
        <v>192</v>
      </c>
      <c r="C473" s="3">
        <v>4</v>
      </c>
      <c r="D473" s="4">
        <f>(1250/100)</f>
        <v>12.5</v>
      </c>
    </row>
    <row r="474" spans="1:4" x14ac:dyDescent="0.35">
      <c r="A474" t="s">
        <v>1</v>
      </c>
      <c r="B474" t="s">
        <v>193</v>
      </c>
      <c r="C474" s="3">
        <v>4</v>
      </c>
      <c r="D474" s="4">
        <f>(1250/100)</f>
        <v>12.5</v>
      </c>
    </row>
    <row r="475" spans="1:4" x14ac:dyDescent="0.35">
      <c r="A475" t="s">
        <v>1</v>
      </c>
      <c r="B475" t="s">
        <v>194</v>
      </c>
      <c r="C475" s="3">
        <v>12</v>
      </c>
      <c r="D475" s="4">
        <f>(3750/100)</f>
        <v>37.5</v>
      </c>
    </row>
    <row r="476" spans="1:4" x14ac:dyDescent="0.35">
      <c r="A476" t="s">
        <v>1</v>
      </c>
      <c r="B476" t="s">
        <v>195</v>
      </c>
      <c r="C476" s="3">
        <v>24</v>
      </c>
      <c r="D476" s="4">
        <f>(7500/100)</f>
        <v>75</v>
      </c>
    </row>
    <row r="477" spans="1:4" x14ac:dyDescent="0.35">
      <c r="A477" t="s">
        <v>1</v>
      </c>
    </row>
    <row r="478" spans="1:4" s="2" customFormat="1" ht="13" x14ac:dyDescent="0.3">
      <c r="A478" s="2" t="s">
        <v>200</v>
      </c>
    </row>
    <row r="479" spans="1:4" x14ac:dyDescent="0.35">
      <c r="A479" t="s">
        <v>186</v>
      </c>
    </row>
    <row r="480" spans="1:4" s="5" customFormat="1" ht="13" x14ac:dyDescent="0.3">
      <c r="A480" s="5" t="s">
        <v>107</v>
      </c>
    </row>
    <row r="481" spans="1:4" x14ac:dyDescent="0.35">
      <c r="A481" t="s">
        <v>187</v>
      </c>
    </row>
    <row r="482" spans="1:4" x14ac:dyDescent="0.35">
      <c r="A482" t="s">
        <v>1</v>
      </c>
      <c r="B482" t="s">
        <v>4</v>
      </c>
      <c r="C482" t="s">
        <v>5</v>
      </c>
      <c r="D482" t="s">
        <v>6</v>
      </c>
    </row>
    <row r="483" spans="1:4" x14ac:dyDescent="0.35">
      <c r="A483" t="s">
        <v>1</v>
      </c>
    </row>
    <row r="484" spans="1:4" x14ac:dyDescent="0.35">
      <c r="A484" t="s">
        <v>1</v>
      </c>
      <c r="B484" t="s">
        <v>201</v>
      </c>
      <c r="C484" s="3">
        <v>6</v>
      </c>
      <c r="D484" s="4">
        <f>(2857/100)</f>
        <v>28.57</v>
      </c>
    </row>
    <row r="485" spans="1:4" x14ac:dyDescent="0.35">
      <c r="A485" t="s">
        <v>1</v>
      </c>
      <c r="B485" t="s">
        <v>202</v>
      </c>
      <c r="C485" s="3">
        <v>13</v>
      </c>
      <c r="D485" s="4">
        <f>(6190/100)</f>
        <v>61.9</v>
      </c>
    </row>
    <row r="486" spans="1:4" x14ac:dyDescent="0.35">
      <c r="A486" t="s">
        <v>1</v>
      </c>
      <c r="B486" t="s">
        <v>203</v>
      </c>
      <c r="C486" s="3">
        <v>8</v>
      </c>
      <c r="D486" s="4">
        <f>(3810/100)</f>
        <v>38.1</v>
      </c>
    </row>
    <row r="487" spans="1:4" x14ac:dyDescent="0.35">
      <c r="A487" t="s">
        <v>1</v>
      </c>
      <c r="B487" t="s">
        <v>204</v>
      </c>
      <c r="C487" s="3">
        <v>14</v>
      </c>
      <c r="D487" s="4">
        <f>(6667/100)</f>
        <v>66.67</v>
      </c>
    </row>
    <row r="488" spans="1:4" s="5" customFormat="1" ht="13" x14ac:dyDescent="0.3">
      <c r="A488" s="5" t="s">
        <v>108</v>
      </c>
    </row>
    <row r="489" spans="1:4" x14ac:dyDescent="0.35">
      <c r="A489" t="s">
        <v>205</v>
      </c>
    </row>
    <row r="490" spans="1:4" x14ac:dyDescent="0.35">
      <c r="A490" t="s">
        <v>1</v>
      </c>
      <c r="B490" t="s">
        <v>4</v>
      </c>
      <c r="C490" t="s">
        <v>5</v>
      </c>
      <c r="D490" t="s">
        <v>6</v>
      </c>
    </row>
    <row r="491" spans="1:4" x14ac:dyDescent="0.35">
      <c r="A491" t="s">
        <v>1</v>
      </c>
    </row>
    <row r="492" spans="1:4" x14ac:dyDescent="0.35">
      <c r="A492" t="s">
        <v>1</v>
      </c>
      <c r="B492" t="s">
        <v>201</v>
      </c>
      <c r="C492" s="3">
        <v>12</v>
      </c>
      <c r="D492" s="4">
        <f>(3000/100)</f>
        <v>30</v>
      </c>
    </row>
    <row r="493" spans="1:4" x14ac:dyDescent="0.35">
      <c r="A493" t="s">
        <v>1</v>
      </c>
      <c r="B493" t="s">
        <v>202</v>
      </c>
      <c r="C493" s="3">
        <v>21</v>
      </c>
      <c r="D493" s="4">
        <f>(5250/100)</f>
        <v>52.5</v>
      </c>
    </row>
    <row r="494" spans="1:4" x14ac:dyDescent="0.35">
      <c r="A494" t="s">
        <v>1</v>
      </c>
      <c r="B494" t="s">
        <v>203</v>
      </c>
      <c r="C494" s="3">
        <v>14</v>
      </c>
      <c r="D494" s="4">
        <f>(3500/100)</f>
        <v>35</v>
      </c>
    </row>
    <row r="495" spans="1:4" x14ac:dyDescent="0.35">
      <c r="A495" t="s">
        <v>1</v>
      </c>
      <c r="B495" t="s">
        <v>204</v>
      </c>
      <c r="C495" s="3">
        <v>11</v>
      </c>
      <c r="D495" s="4">
        <f>(2750/100)</f>
        <v>27.5</v>
      </c>
    </row>
    <row r="496" spans="1:4" s="5" customFormat="1" ht="13" x14ac:dyDescent="0.3">
      <c r="A496" s="5" t="s">
        <v>109</v>
      </c>
    </row>
    <row r="497" spans="1:4" x14ac:dyDescent="0.35">
      <c r="A497" t="s">
        <v>119</v>
      </c>
    </row>
    <row r="498" spans="1:4" x14ac:dyDescent="0.35">
      <c r="A498" t="s">
        <v>1</v>
      </c>
      <c r="B498" t="s">
        <v>4</v>
      </c>
      <c r="C498" t="s">
        <v>5</v>
      </c>
      <c r="D498" t="s">
        <v>6</v>
      </c>
    </row>
    <row r="499" spans="1:4" x14ac:dyDescent="0.35">
      <c r="A499" t="s">
        <v>1</v>
      </c>
    </row>
    <row r="500" spans="1:4" x14ac:dyDescent="0.35">
      <c r="A500" t="s">
        <v>1</v>
      </c>
      <c r="B500" t="s">
        <v>201</v>
      </c>
      <c r="C500" s="3">
        <v>44</v>
      </c>
      <c r="D500" s="4">
        <f>(5946/100)</f>
        <v>59.46</v>
      </c>
    </row>
    <row r="501" spans="1:4" x14ac:dyDescent="0.35">
      <c r="A501" t="s">
        <v>1</v>
      </c>
      <c r="B501" t="s">
        <v>202</v>
      </c>
      <c r="C501" s="3">
        <v>41</v>
      </c>
      <c r="D501" s="4">
        <f>(5541/100)</f>
        <v>55.41</v>
      </c>
    </row>
    <row r="502" spans="1:4" x14ac:dyDescent="0.35">
      <c r="A502" t="s">
        <v>1</v>
      </c>
      <c r="B502" t="s">
        <v>203</v>
      </c>
      <c r="C502" s="3">
        <v>40</v>
      </c>
      <c r="D502" s="4">
        <f>(5405/100)</f>
        <v>54.05</v>
      </c>
    </row>
    <row r="503" spans="1:4" x14ac:dyDescent="0.35">
      <c r="A503" t="s">
        <v>1</v>
      </c>
      <c r="B503" t="s">
        <v>204</v>
      </c>
      <c r="C503" s="3">
        <v>21</v>
      </c>
      <c r="D503" s="4">
        <f>(2838/100)</f>
        <v>28.38</v>
      </c>
    </row>
    <row r="504" spans="1:4" s="5" customFormat="1" ht="13" x14ac:dyDescent="0.3">
      <c r="A504" s="5" t="s">
        <v>110</v>
      </c>
    </row>
    <row r="505" spans="1:4" x14ac:dyDescent="0.35">
      <c r="A505" t="s">
        <v>206</v>
      </c>
    </row>
    <row r="506" spans="1:4" x14ac:dyDescent="0.35">
      <c r="A506" t="s">
        <v>1</v>
      </c>
      <c r="B506" t="s">
        <v>4</v>
      </c>
      <c r="C506" t="s">
        <v>5</v>
      </c>
      <c r="D506" t="s">
        <v>6</v>
      </c>
    </row>
    <row r="507" spans="1:4" x14ac:dyDescent="0.35">
      <c r="A507" t="s">
        <v>1</v>
      </c>
    </row>
    <row r="508" spans="1:4" x14ac:dyDescent="0.35">
      <c r="A508" t="s">
        <v>1</v>
      </c>
      <c r="B508" t="s">
        <v>201</v>
      </c>
      <c r="C508" s="3">
        <v>37</v>
      </c>
      <c r="D508" s="4">
        <f>(5968/100)</f>
        <v>59.68</v>
      </c>
    </row>
    <row r="509" spans="1:4" x14ac:dyDescent="0.35">
      <c r="A509" t="s">
        <v>1</v>
      </c>
      <c r="B509" t="s">
        <v>202</v>
      </c>
      <c r="C509" s="3">
        <v>26</v>
      </c>
      <c r="D509" s="4">
        <f>(4194/100)</f>
        <v>41.94</v>
      </c>
    </row>
    <row r="510" spans="1:4" x14ac:dyDescent="0.35">
      <c r="A510" t="s">
        <v>1</v>
      </c>
      <c r="B510" t="s">
        <v>203</v>
      </c>
      <c r="C510" s="3">
        <v>40</v>
      </c>
      <c r="D510" s="4">
        <f>(6452/100)</f>
        <v>64.52</v>
      </c>
    </row>
    <row r="511" spans="1:4" x14ac:dyDescent="0.35">
      <c r="A511" t="s">
        <v>1</v>
      </c>
      <c r="B511" t="s">
        <v>204</v>
      </c>
      <c r="C511" s="3">
        <v>29</v>
      </c>
      <c r="D511" s="4">
        <f>(4677/100)</f>
        <v>46.77</v>
      </c>
    </row>
    <row r="512" spans="1:4" s="5" customFormat="1" ht="13" x14ac:dyDescent="0.3">
      <c r="A512" s="5" t="s">
        <v>111</v>
      </c>
    </row>
    <row r="513" spans="1:4" x14ac:dyDescent="0.35">
      <c r="A513" t="s">
        <v>207</v>
      </c>
    </row>
    <row r="514" spans="1:4" x14ac:dyDescent="0.35">
      <c r="A514" t="s">
        <v>1</v>
      </c>
      <c r="B514" t="s">
        <v>4</v>
      </c>
      <c r="C514" t="s">
        <v>5</v>
      </c>
      <c r="D514" t="s">
        <v>6</v>
      </c>
    </row>
    <row r="515" spans="1:4" x14ac:dyDescent="0.35">
      <c r="A515" t="s">
        <v>1</v>
      </c>
    </row>
    <row r="516" spans="1:4" x14ac:dyDescent="0.35">
      <c r="A516" t="s">
        <v>1</v>
      </c>
      <c r="B516" t="s">
        <v>201</v>
      </c>
      <c r="C516" s="3">
        <v>29</v>
      </c>
      <c r="D516" s="4">
        <f>(6170/100)</f>
        <v>61.7</v>
      </c>
    </row>
    <row r="517" spans="1:4" x14ac:dyDescent="0.35">
      <c r="A517" t="s">
        <v>1</v>
      </c>
      <c r="B517" t="s">
        <v>202</v>
      </c>
      <c r="C517" s="3">
        <v>21</v>
      </c>
      <c r="D517" s="4">
        <f>(4468/100)</f>
        <v>44.68</v>
      </c>
    </row>
    <row r="518" spans="1:4" x14ac:dyDescent="0.35">
      <c r="A518" t="s">
        <v>1</v>
      </c>
      <c r="B518" t="s">
        <v>203</v>
      </c>
      <c r="C518" s="3">
        <v>31</v>
      </c>
      <c r="D518" s="4">
        <f>(6596/100)</f>
        <v>65.959999999999994</v>
      </c>
    </row>
    <row r="519" spans="1:4" x14ac:dyDescent="0.35">
      <c r="A519" t="s">
        <v>1</v>
      </c>
      <c r="B519" t="s">
        <v>204</v>
      </c>
      <c r="C519" s="3">
        <v>24</v>
      </c>
      <c r="D519" s="4">
        <f>(5106/100)</f>
        <v>51.06</v>
      </c>
    </row>
    <row r="520" spans="1:4" s="5" customFormat="1" ht="13" x14ac:dyDescent="0.3">
      <c r="A520" s="5" t="s">
        <v>183</v>
      </c>
    </row>
    <row r="521" spans="1:4" x14ac:dyDescent="0.35">
      <c r="A521" t="s">
        <v>208</v>
      </c>
    </row>
    <row r="522" spans="1:4" x14ac:dyDescent="0.35">
      <c r="A522" t="s">
        <v>1</v>
      </c>
      <c r="B522" t="s">
        <v>4</v>
      </c>
      <c r="C522" t="s">
        <v>5</v>
      </c>
      <c r="D522" t="s">
        <v>6</v>
      </c>
    </row>
    <row r="523" spans="1:4" x14ac:dyDescent="0.35">
      <c r="A523" t="s">
        <v>1</v>
      </c>
    </row>
    <row r="524" spans="1:4" x14ac:dyDescent="0.35">
      <c r="A524" t="s">
        <v>1</v>
      </c>
      <c r="B524" t="s">
        <v>201</v>
      </c>
      <c r="C524" s="3">
        <v>13</v>
      </c>
      <c r="D524" s="4">
        <f>(2600/100)</f>
        <v>26</v>
      </c>
    </row>
    <row r="525" spans="1:4" x14ac:dyDescent="0.35">
      <c r="A525" t="s">
        <v>1</v>
      </c>
      <c r="B525" t="s">
        <v>202</v>
      </c>
      <c r="C525" s="3">
        <v>19</v>
      </c>
      <c r="D525" s="4">
        <f>(3800/100)</f>
        <v>38</v>
      </c>
    </row>
    <row r="526" spans="1:4" x14ac:dyDescent="0.35">
      <c r="A526" t="s">
        <v>1</v>
      </c>
      <c r="B526" t="s">
        <v>203</v>
      </c>
      <c r="C526" s="3">
        <v>8</v>
      </c>
      <c r="D526" s="4">
        <f>(1600/100)</f>
        <v>16</v>
      </c>
    </row>
    <row r="527" spans="1:4" x14ac:dyDescent="0.35">
      <c r="A527" t="s">
        <v>1</v>
      </c>
      <c r="B527" t="s">
        <v>204</v>
      </c>
      <c r="C527" s="3">
        <v>42</v>
      </c>
      <c r="D527" s="4">
        <f>(8400/100)</f>
        <v>84</v>
      </c>
    </row>
    <row r="528" spans="1:4" x14ac:dyDescent="0.35">
      <c r="A528" t="s">
        <v>1</v>
      </c>
    </row>
    <row r="529" spans="1:4" s="2" customFormat="1" ht="13" x14ac:dyDescent="0.3">
      <c r="A529" s="2" t="s">
        <v>209</v>
      </c>
    </row>
    <row r="530" spans="1:4" x14ac:dyDescent="0.35">
      <c r="A530" t="s">
        <v>210</v>
      </c>
    </row>
    <row r="531" spans="1:4" s="5" customFormat="1" ht="13" x14ac:dyDescent="0.3">
      <c r="A531" s="5" t="s">
        <v>107</v>
      </c>
    </row>
    <row r="532" spans="1:4" x14ac:dyDescent="0.35">
      <c r="A532" t="s">
        <v>133</v>
      </c>
    </row>
    <row r="533" spans="1:4" x14ac:dyDescent="0.35">
      <c r="A533" t="s">
        <v>1</v>
      </c>
      <c r="B533" t="s">
        <v>4</v>
      </c>
      <c r="C533" t="s">
        <v>5</v>
      </c>
      <c r="D533" t="s">
        <v>6</v>
      </c>
    </row>
    <row r="534" spans="1:4" x14ac:dyDescent="0.35">
      <c r="A534" t="s">
        <v>1</v>
      </c>
    </row>
    <row r="535" spans="1:4" x14ac:dyDescent="0.35">
      <c r="A535" t="s">
        <v>1</v>
      </c>
      <c r="B535" t="s">
        <v>211</v>
      </c>
      <c r="C535" s="3">
        <v>4</v>
      </c>
      <c r="D535" s="4">
        <f>(3636/100)</f>
        <v>36.36</v>
      </c>
    </row>
    <row r="536" spans="1:4" x14ac:dyDescent="0.35">
      <c r="A536" t="s">
        <v>1</v>
      </c>
      <c r="B536" t="s">
        <v>212</v>
      </c>
      <c r="C536" s="3">
        <v>3</v>
      </c>
      <c r="D536" s="4">
        <f>(2727/100)</f>
        <v>27.27</v>
      </c>
    </row>
    <row r="537" spans="1:4" x14ac:dyDescent="0.35">
      <c r="A537" t="s">
        <v>1</v>
      </c>
      <c r="B537" t="s">
        <v>213</v>
      </c>
      <c r="C537" s="3">
        <v>6</v>
      </c>
      <c r="D537" s="4">
        <f>(5455/100)</f>
        <v>54.55</v>
      </c>
    </row>
    <row r="538" spans="1:4" x14ac:dyDescent="0.35">
      <c r="A538" t="s">
        <v>1</v>
      </c>
      <c r="B538" t="s">
        <v>214</v>
      </c>
      <c r="C538" s="3">
        <v>4</v>
      </c>
      <c r="D538" s="4">
        <f>(3636/100)</f>
        <v>36.36</v>
      </c>
    </row>
    <row r="539" spans="1:4" x14ac:dyDescent="0.35">
      <c r="A539" t="s">
        <v>1</v>
      </c>
      <c r="B539" t="s">
        <v>215</v>
      </c>
      <c r="C539" s="3">
        <v>4</v>
      </c>
      <c r="D539" s="4">
        <f>(3636/100)</f>
        <v>36.36</v>
      </c>
    </row>
    <row r="540" spans="1:4" x14ac:dyDescent="0.35">
      <c r="A540" t="s">
        <v>1</v>
      </c>
      <c r="B540" t="s">
        <v>216</v>
      </c>
      <c r="C540" s="3">
        <v>2</v>
      </c>
      <c r="D540" s="4">
        <f>(1818/100)</f>
        <v>18.18</v>
      </c>
    </row>
    <row r="541" spans="1:4" s="5" customFormat="1" ht="13" x14ac:dyDescent="0.3">
      <c r="A541" s="5" t="s">
        <v>108</v>
      </c>
    </row>
    <row r="542" spans="1:4" x14ac:dyDescent="0.35">
      <c r="A542" t="s">
        <v>217</v>
      </c>
    </row>
    <row r="543" spans="1:4" x14ac:dyDescent="0.35">
      <c r="A543" t="s">
        <v>1</v>
      </c>
      <c r="B543" t="s">
        <v>4</v>
      </c>
      <c r="C543" t="s">
        <v>5</v>
      </c>
      <c r="D543" t="s">
        <v>6</v>
      </c>
    </row>
    <row r="544" spans="1:4" x14ac:dyDescent="0.35">
      <c r="A544" t="s">
        <v>1</v>
      </c>
    </row>
    <row r="545" spans="1:4" x14ac:dyDescent="0.35">
      <c r="A545" t="s">
        <v>1</v>
      </c>
      <c r="B545" t="s">
        <v>211</v>
      </c>
      <c r="C545" s="3">
        <v>2</v>
      </c>
      <c r="D545" s="4">
        <f>(1250/100)</f>
        <v>12.5</v>
      </c>
    </row>
    <row r="546" spans="1:4" x14ac:dyDescent="0.35">
      <c r="A546" t="s">
        <v>1</v>
      </c>
      <c r="B546" t="s">
        <v>212</v>
      </c>
      <c r="C546" s="3">
        <v>6</v>
      </c>
      <c r="D546" s="4">
        <f>(3750/100)</f>
        <v>37.5</v>
      </c>
    </row>
    <row r="547" spans="1:4" x14ac:dyDescent="0.35">
      <c r="A547" t="s">
        <v>1</v>
      </c>
      <c r="B547" t="s">
        <v>213</v>
      </c>
      <c r="C547" s="3">
        <v>7</v>
      </c>
      <c r="D547" s="4">
        <f>(4375/100)</f>
        <v>43.75</v>
      </c>
    </row>
    <row r="548" spans="1:4" x14ac:dyDescent="0.35">
      <c r="A548" t="s">
        <v>1</v>
      </c>
      <c r="B548" t="s">
        <v>214</v>
      </c>
      <c r="C548" s="3">
        <v>4</v>
      </c>
      <c r="D548" s="4">
        <f>(2500/100)</f>
        <v>25</v>
      </c>
    </row>
    <row r="549" spans="1:4" x14ac:dyDescent="0.35">
      <c r="A549" t="s">
        <v>1</v>
      </c>
      <c r="B549" t="s">
        <v>215</v>
      </c>
      <c r="C549" s="3">
        <v>7</v>
      </c>
      <c r="D549" s="4">
        <f>(4375/100)</f>
        <v>43.75</v>
      </c>
    </row>
    <row r="550" spans="1:4" x14ac:dyDescent="0.35">
      <c r="A550" t="s">
        <v>1</v>
      </c>
      <c r="B550" t="s">
        <v>216</v>
      </c>
      <c r="C550" s="3">
        <v>3</v>
      </c>
      <c r="D550" s="4">
        <f>(1875/100)</f>
        <v>18.75</v>
      </c>
    </row>
    <row r="551" spans="1:4" s="5" customFormat="1" ht="13" x14ac:dyDescent="0.3">
      <c r="A551" s="5" t="s">
        <v>109</v>
      </c>
    </row>
    <row r="552" spans="1:4" x14ac:dyDescent="0.35">
      <c r="A552" t="s">
        <v>218</v>
      </c>
    </row>
    <row r="553" spans="1:4" x14ac:dyDescent="0.35">
      <c r="A553" t="s">
        <v>1</v>
      </c>
      <c r="B553" t="s">
        <v>4</v>
      </c>
      <c r="C553" t="s">
        <v>5</v>
      </c>
      <c r="D553" t="s">
        <v>6</v>
      </c>
    </row>
    <row r="554" spans="1:4" x14ac:dyDescent="0.35">
      <c r="A554" t="s">
        <v>1</v>
      </c>
    </row>
    <row r="555" spans="1:4" x14ac:dyDescent="0.35">
      <c r="A555" t="s">
        <v>1</v>
      </c>
      <c r="B555" t="s">
        <v>211</v>
      </c>
      <c r="C555" s="3">
        <v>17</v>
      </c>
      <c r="D555" s="4">
        <f>(4474/100)</f>
        <v>44.74</v>
      </c>
    </row>
    <row r="556" spans="1:4" x14ac:dyDescent="0.35">
      <c r="A556" t="s">
        <v>1</v>
      </c>
      <c r="B556" t="s">
        <v>212</v>
      </c>
      <c r="C556" s="3">
        <v>8</v>
      </c>
      <c r="D556" s="4">
        <f>(2105/100)</f>
        <v>21.05</v>
      </c>
    </row>
    <row r="557" spans="1:4" x14ac:dyDescent="0.35">
      <c r="A557" t="s">
        <v>1</v>
      </c>
      <c r="B557" t="s">
        <v>213</v>
      </c>
      <c r="C557" s="3">
        <v>16</v>
      </c>
      <c r="D557" s="4">
        <f>(4211/100)</f>
        <v>42.11</v>
      </c>
    </row>
    <row r="558" spans="1:4" x14ac:dyDescent="0.35">
      <c r="A558" t="s">
        <v>1</v>
      </c>
      <c r="B558" t="s">
        <v>214</v>
      </c>
      <c r="C558" s="3">
        <v>14</v>
      </c>
      <c r="D558" s="4">
        <f>(3684/100)</f>
        <v>36.840000000000003</v>
      </c>
    </row>
    <row r="559" spans="1:4" x14ac:dyDescent="0.35">
      <c r="A559" t="s">
        <v>1</v>
      </c>
      <c r="B559" t="s">
        <v>215</v>
      </c>
      <c r="C559" s="3">
        <v>10</v>
      </c>
      <c r="D559" s="4">
        <f>(2632/100)</f>
        <v>26.32</v>
      </c>
    </row>
    <row r="560" spans="1:4" x14ac:dyDescent="0.35">
      <c r="A560" t="s">
        <v>1</v>
      </c>
      <c r="B560" t="s">
        <v>216</v>
      </c>
      <c r="C560" s="3">
        <v>14</v>
      </c>
      <c r="D560" s="4">
        <f>(3684/100)</f>
        <v>36.840000000000003</v>
      </c>
    </row>
    <row r="561" spans="1:4" s="5" customFormat="1" ht="13" x14ac:dyDescent="0.3">
      <c r="A561" s="5" t="s">
        <v>110</v>
      </c>
    </row>
    <row r="562" spans="1:4" x14ac:dyDescent="0.35">
      <c r="A562" t="s">
        <v>219</v>
      </c>
    </row>
    <row r="563" spans="1:4" x14ac:dyDescent="0.35">
      <c r="A563" t="s">
        <v>1</v>
      </c>
      <c r="B563" t="s">
        <v>4</v>
      </c>
      <c r="C563" t="s">
        <v>5</v>
      </c>
      <c r="D563" t="s">
        <v>6</v>
      </c>
    </row>
    <row r="564" spans="1:4" x14ac:dyDescent="0.35">
      <c r="A564" t="s">
        <v>1</v>
      </c>
    </row>
    <row r="565" spans="1:4" x14ac:dyDescent="0.35">
      <c r="A565" t="s">
        <v>1</v>
      </c>
      <c r="B565" t="s">
        <v>211</v>
      </c>
      <c r="C565" s="3">
        <v>49</v>
      </c>
      <c r="D565" s="4">
        <f>(6447/100)</f>
        <v>64.47</v>
      </c>
    </row>
    <row r="566" spans="1:4" x14ac:dyDescent="0.35">
      <c r="A566" t="s">
        <v>1</v>
      </c>
      <c r="B566" t="s">
        <v>212</v>
      </c>
      <c r="C566" s="3">
        <v>50</v>
      </c>
      <c r="D566" s="4">
        <f>(6579/100)</f>
        <v>65.790000000000006</v>
      </c>
    </row>
    <row r="567" spans="1:4" x14ac:dyDescent="0.35">
      <c r="A567" t="s">
        <v>1</v>
      </c>
      <c r="B567" t="s">
        <v>213</v>
      </c>
      <c r="C567" s="3">
        <v>38</v>
      </c>
      <c r="D567" s="4">
        <f>(5000/100)</f>
        <v>50</v>
      </c>
    </row>
    <row r="568" spans="1:4" x14ac:dyDescent="0.35">
      <c r="A568" t="s">
        <v>1</v>
      </c>
      <c r="B568" t="s">
        <v>214</v>
      </c>
      <c r="C568" s="3">
        <v>45</v>
      </c>
      <c r="D568" s="4">
        <f>(5921/100)</f>
        <v>59.21</v>
      </c>
    </row>
    <row r="569" spans="1:4" x14ac:dyDescent="0.35">
      <c r="A569" t="s">
        <v>1</v>
      </c>
      <c r="B569" t="s">
        <v>215</v>
      </c>
      <c r="C569" s="3">
        <v>48</v>
      </c>
      <c r="D569" s="4">
        <f>(6316/100)</f>
        <v>63.16</v>
      </c>
    </row>
    <row r="570" spans="1:4" x14ac:dyDescent="0.35">
      <c r="A570" t="s">
        <v>1</v>
      </c>
      <c r="B570" t="s">
        <v>216</v>
      </c>
      <c r="C570" s="3">
        <v>44</v>
      </c>
      <c r="D570" s="4">
        <f>(5789/100)</f>
        <v>57.89</v>
      </c>
    </row>
    <row r="571" spans="1:4" s="5" customFormat="1" ht="13" x14ac:dyDescent="0.3">
      <c r="A571" s="5" t="s">
        <v>111</v>
      </c>
    </row>
    <row r="572" spans="1:4" x14ac:dyDescent="0.35">
      <c r="A572" t="s">
        <v>220</v>
      </c>
    </row>
    <row r="573" spans="1:4" x14ac:dyDescent="0.35">
      <c r="A573" t="s">
        <v>1</v>
      </c>
      <c r="B573" t="s">
        <v>4</v>
      </c>
      <c r="C573" t="s">
        <v>5</v>
      </c>
      <c r="D573" t="s">
        <v>6</v>
      </c>
    </row>
    <row r="574" spans="1:4" x14ac:dyDescent="0.35">
      <c r="A574" t="s">
        <v>1</v>
      </c>
    </row>
    <row r="575" spans="1:4" x14ac:dyDescent="0.35">
      <c r="A575" t="s">
        <v>1</v>
      </c>
      <c r="B575" t="s">
        <v>211</v>
      </c>
      <c r="C575" s="3">
        <v>59</v>
      </c>
      <c r="D575" s="4">
        <f>(7468/100)</f>
        <v>74.680000000000007</v>
      </c>
    </row>
    <row r="576" spans="1:4" x14ac:dyDescent="0.35">
      <c r="A576" t="s">
        <v>1</v>
      </c>
      <c r="B576" t="s">
        <v>212</v>
      </c>
      <c r="C576" s="3">
        <v>66</v>
      </c>
      <c r="D576" s="4">
        <f>(8354/100)</f>
        <v>83.54</v>
      </c>
    </row>
    <row r="577" spans="1:4" x14ac:dyDescent="0.35">
      <c r="A577" t="s">
        <v>1</v>
      </c>
      <c r="B577" t="s">
        <v>213</v>
      </c>
      <c r="C577" s="3">
        <v>66</v>
      </c>
      <c r="D577" s="4">
        <f>(8354/100)</f>
        <v>83.54</v>
      </c>
    </row>
    <row r="578" spans="1:4" x14ac:dyDescent="0.35">
      <c r="A578" t="s">
        <v>1</v>
      </c>
      <c r="B578" t="s">
        <v>214</v>
      </c>
      <c r="C578" s="3">
        <v>66</v>
      </c>
      <c r="D578" s="4">
        <f>(8354/100)</f>
        <v>83.54</v>
      </c>
    </row>
    <row r="579" spans="1:4" x14ac:dyDescent="0.35">
      <c r="A579" t="s">
        <v>1</v>
      </c>
      <c r="B579" t="s">
        <v>215</v>
      </c>
      <c r="C579" s="3">
        <v>62</v>
      </c>
      <c r="D579" s="4">
        <f>(7848/100)</f>
        <v>78.48</v>
      </c>
    </row>
    <row r="580" spans="1:4" x14ac:dyDescent="0.35">
      <c r="A580" t="s">
        <v>1</v>
      </c>
      <c r="B580" t="s">
        <v>216</v>
      </c>
      <c r="C580" s="3">
        <v>63</v>
      </c>
      <c r="D580" s="4">
        <f>(7975/100)</f>
        <v>79.75</v>
      </c>
    </row>
    <row r="581" spans="1:4" s="5" customFormat="1" ht="13" x14ac:dyDescent="0.3">
      <c r="A581" s="5" t="s">
        <v>183</v>
      </c>
    </row>
    <row r="582" spans="1:4" x14ac:dyDescent="0.35">
      <c r="A582" t="s">
        <v>217</v>
      </c>
    </row>
    <row r="583" spans="1:4" x14ac:dyDescent="0.35">
      <c r="A583" t="s">
        <v>1</v>
      </c>
      <c r="B583" t="s">
        <v>4</v>
      </c>
      <c r="C583" t="s">
        <v>5</v>
      </c>
      <c r="D583" t="s">
        <v>6</v>
      </c>
    </row>
    <row r="584" spans="1:4" x14ac:dyDescent="0.35">
      <c r="A584" t="s">
        <v>1</v>
      </c>
    </row>
    <row r="585" spans="1:4" x14ac:dyDescent="0.35">
      <c r="A585" t="s">
        <v>1</v>
      </c>
      <c r="B585" t="s">
        <v>211</v>
      </c>
      <c r="C585" s="3">
        <v>7</v>
      </c>
      <c r="D585" s="4">
        <f>(4375/100)</f>
        <v>43.75</v>
      </c>
    </row>
    <row r="586" spans="1:4" x14ac:dyDescent="0.35">
      <c r="A586" t="s">
        <v>1</v>
      </c>
      <c r="B586" t="s">
        <v>212</v>
      </c>
      <c r="C586" s="3">
        <v>5</v>
      </c>
      <c r="D586" s="4">
        <f>(3125/100)</f>
        <v>31.25</v>
      </c>
    </row>
    <row r="587" spans="1:4" x14ac:dyDescent="0.35">
      <c r="A587" t="s">
        <v>1</v>
      </c>
      <c r="B587" t="s">
        <v>213</v>
      </c>
      <c r="C587" s="3">
        <v>5</v>
      </c>
      <c r="D587" s="4">
        <f>(3125/100)</f>
        <v>31.25</v>
      </c>
    </row>
    <row r="588" spans="1:4" x14ac:dyDescent="0.35">
      <c r="A588" t="s">
        <v>1</v>
      </c>
      <c r="B588" t="s">
        <v>214</v>
      </c>
      <c r="C588" s="3">
        <v>5</v>
      </c>
      <c r="D588" s="4">
        <f>(3125/100)</f>
        <v>31.25</v>
      </c>
    </row>
    <row r="589" spans="1:4" x14ac:dyDescent="0.35">
      <c r="A589" t="s">
        <v>1</v>
      </c>
      <c r="B589" t="s">
        <v>215</v>
      </c>
      <c r="C589" s="3">
        <v>7</v>
      </c>
      <c r="D589" s="4">
        <f>(4375/100)</f>
        <v>43.75</v>
      </c>
    </row>
    <row r="590" spans="1:4" x14ac:dyDescent="0.35">
      <c r="A590" t="s">
        <v>1</v>
      </c>
      <c r="B590" t="s">
        <v>216</v>
      </c>
      <c r="C590" s="3">
        <v>12</v>
      </c>
      <c r="D590" s="4">
        <f>(7500/100)</f>
        <v>75</v>
      </c>
    </row>
    <row r="591" spans="1:4" x14ac:dyDescent="0.35">
      <c r="A591" t="s">
        <v>1</v>
      </c>
    </row>
    <row r="592" spans="1:4" s="2" customFormat="1" ht="13" x14ac:dyDescent="0.3">
      <c r="A592" s="2" t="s">
        <v>221</v>
      </c>
    </row>
    <row r="593" spans="1:4" x14ac:dyDescent="0.35">
      <c r="A593" t="s">
        <v>222</v>
      </c>
    </row>
    <row r="594" spans="1:4" s="5" customFormat="1" ht="13" x14ac:dyDescent="0.3">
      <c r="A594" s="5" t="s">
        <v>107</v>
      </c>
    </row>
    <row r="595" spans="1:4" x14ac:dyDescent="0.35">
      <c r="A595" t="s">
        <v>223</v>
      </c>
    </row>
    <row r="596" spans="1:4" x14ac:dyDescent="0.35">
      <c r="A596" t="s">
        <v>1</v>
      </c>
      <c r="B596" t="s">
        <v>4</v>
      </c>
      <c r="C596" t="s">
        <v>5</v>
      </c>
      <c r="D596" t="s">
        <v>6</v>
      </c>
    </row>
    <row r="597" spans="1:4" x14ac:dyDescent="0.35">
      <c r="A597" t="s">
        <v>1</v>
      </c>
    </row>
    <row r="598" spans="1:4" x14ac:dyDescent="0.35">
      <c r="A598" t="s">
        <v>1</v>
      </c>
      <c r="B598" t="s">
        <v>224</v>
      </c>
      <c r="C598" s="3">
        <v>0</v>
      </c>
      <c r="D598" s="4">
        <f>(0/100)</f>
        <v>0</v>
      </c>
    </row>
    <row r="599" spans="1:4" x14ac:dyDescent="0.35">
      <c r="A599" t="s">
        <v>1</v>
      </c>
      <c r="B599" t="s">
        <v>225</v>
      </c>
      <c r="C599" s="3">
        <v>0</v>
      </c>
      <c r="D599" s="4">
        <f>(0/100)</f>
        <v>0</v>
      </c>
    </row>
    <row r="600" spans="1:4" x14ac:dyDescent="0.35">
      <c r="A600" t="s">
        <v>1</v>
      </c>
      <c r="B600" t="s">
        <v>226</v>
      </c>
      <c r="C600" s="3">
        <v>0</v>
      </c>
      <c r="D600" s="4">
        <f>(0/100)</f>
        <v>0</v>
      </c>
    </row>
    <row r="601" spans="1:4" x14ac:dyDescent="0.35">
      <c r="A601" t="s">
        <v>1</v>
      </c>
      <c r="B601" t="s">
        <v>227</v>
      </c>
      <c r="C601" s="3">
        <v>0</v>
      </c>
      <c r="D601" s="4">
        <f>(0/100)</f>
        <v>0</v>
      </c>
    </row>
    <row r="602" spans="1:4" s="5" customFormat="1" ht="13" x14ac:dyDescent="0.3">
      <c r="A602" s="5" t="s">
        <v>108</v>
      </c>
    </row>
    <row r="603" spans="1:4" x14ac:dyDescent="0.35">
      <c r="A603" t="s">
        <v>228</v>
      </c>
    </row>
    <row r="604" spans="1:4" x14ac:dyDescent="0.35">
      <c r="A604" t="s">
        <v>1</v>
      </c>
      <c r="B604" t="s">
        <v>4</v>
      </c>
      <c r="C604" t="s">
        <v>5</v>
      </c>
      <c r="D604" t="s">
        <v>6</v>
      </c>
    </row>
    <row r="605" spans="1:4" x14ac:dyDescent="0.35">
      <c r="A605" t="s">
        <v>1</v>
      </c>
    </row>
    <row r="606" spans="1:4" x14ac:dyDescent="0.35">
      <c r="A606" t="s">
        <v>1</v>
      </c>
      <c r="B606" t="s">
        <v>224</v>
      </c>
      <c r="C606" s="3">
        <v>2</v>
      </c>
      <c r="D606" s="4">
        <f>(2857/100)</f>
        <v>28.57</v>
      </c>
    </row>
    <row r="607" spans="1:4" x14ac:dyDescent="0.35">
      <c r="A607" t="s">
        <v>1</v>
      </c>
      <c r="B607" t="s">
        <v>225</v>
      </c>
      <c r="C607" s="3">
        <v>2</v>
      </c>
      <c r="D607" s="4">
        <f>(2857/100)</f>
        <v>28.57</v>
      </c>
    </row>
    <row r="608" spans="1:4" x14ac:dyDescent="0.35">
      <c r="A608" t="s">
        <v>1</v>
      </c>
      <c r="B608" t="s">
        <v>226</v>
      </c>
      <c r="C608" s="3">
        <v>7</v>
      </c>
      <c r="D608" s="4">
        <f>(10000/100)</f>
        <v>100</v>
      </c>
    </row>
    <row r="609" spans="1:4" x14ac:dyDescent="0.35">
      <c r="A609" t="s">
        <v>1</v>
      </c>
      <c r="B609" t="s">
        <v>227</v>
      </c>
      <c r="C609" s="3">
        <v>4</v>
      </c>
      <c r="D609" s="4">
        <f>(5714/100)</f>
        <v>57.14</v>
      </c>
    </row>
    <row r="610" spans="1:4" s="5" customFormat="1" ht="13" x14ac:dyDescent="0.3">
      <c r="A610" s="5" t="s">
        <v>109</v>
      </c>
    </row>
    <row r="611" spans="1:4" x14ac:dyDescent="0.35">
      <c r="A611" t="s">
        <v>229</v>
      </c>
    </row>
    <row r="612" spans="1:4" x14ac:dyDescent="0.35">
      <c r="A612" t="s">
        <v>1</v>
      </c>
      <c r="B612" t="s">
        <v>4</v>
      </c>
      <c r="C612" t="s">
        <v>5</v>
      </c>
      <c r="D612" t="s">
        <v>6</v>
      </c>
    </row>
    <row r="613" spans="1:4" x14ac:dyDescent="0.35">
      <c r="A613" t="s">
        <v>1</v>
      </c>
    </row>
    <row r="614" spans="1:4" x14ac:dyDescent="0.35">
      <c r="A614" t="s">
        <v>1</v>
      </c>
      <c r="B614" t="s">
        <v>224</v>
      </c>
      <c r="C614" s="3">
        <v>8</v>
      </c>
      <c r="D614" s="4">
        <f>(8000/100)</f>
        <v>80</v>
      </c>
    </row>
    <row r="615" spans="1:4" x14ac:dyDescent="0.35">
      <c r="A615" t="s">
        <v>1</v>
      </c>
      <c r="B615" t="s">
        <v>225</v>
      </c>
      <c r="C615" s="3">
        <v>1</v>
      </c>
      <c r="D615" s="4">
        <f>(1000/100)</f>
        <v>10</v>
      </c>
    </row>
    <row r="616" spans="1:4" x14ac:dyDescent="0.35">
      <c r="A616" t="s">
        <v>1</v>
      </c>
      <c r="B616" t="s">
        <v>226</v>
      </c>
      <c r="C616" s="3">
        <v>5</v>
      </c>
      <c r="D616" s="4">
        <f>(5000/100)</f>
        <v>50</v>
      </c>
    </row>
    <row r="617" spans="1:4" x14ac:dyDescent="0.35">
      <c r="A617" t="s">
        <v>1</v>
      </c>
      <c r="B617" t="s">
        <v>227</v>
      </c>
      <c r="C617" s="3">
        <v>3</v>
      </c>
      <c r="D617" s="4">
        <f>(3000/100)</f>
        <v>30</v>
      </c>
    </row>
    <row r="618" spans="1:4" s="5" customFormat="1" ht="13" x14ac:dyDescent="0.3">
      <c r="A618" s="5" t="s">
        <v>110</v>
      </c>
    </row>
    <row r="619" spans="1:4" x14ac:dyDescent="0.35">
      <c r="A619" t="s">
        <v>230</v>
      </c>
    </row>
    <row r="620" spans="1:4" x14ac:dyDescent="0.35">
      <c r="A620" t="s">
        <v>1</v>
      </c>
      <c r="B620" t="s">
        <v>4</v>
      </c>
      <c r="C620" t="s">
        <v>5</v>
      </c>
      <c r="D620" t="s">
        <v>6</v>
      </c>
    </row>
    <row r="621" spans="1:4" x14ac:dyDescent="0.35">
      <c r="A621" t="s">
        <v>1</v>
      </c>
    </row>
    <row r="622" spans="1:4" x14ac:dyDescent="0.35">
      <c r="A622" t="s">
        <v>1</v>
      </c>
      <c r="B622" t="s">
        <v>224</v>
      </c>
      <c r="C622" s="3">
        <v>13</v>
      </c>
      <c r="D622" s="4">
        <f>(6500/100)</f>
        <v>65</v>
      </c>
    </row>
    <row r="623" spans="1:4" x14ac:dyDescent="0.35">
      <c r="A623" t="s">
        <v>1</v>
      </c>
      <c r="B623" t="s">
        <v>225</v>
      </c>
      <c r="C623" s="3">
        <v>16</v>
      </c>
      <c r="D623" s="4">
        <f>(8000/100)</f>
        <v>80</v>
      </c>
    </row>
    <row r="624" spans="1:4" x14ac:dyDescent="0.35">
      <c r="A624" t="s">
        <v>1</v>
      </c>
      <c r="B624" t="s">
        <v>226</v>
      </c>
      <c r="C624" s="3">
        <v>11</v>
      </c>
      <c r="D624" s="4">
        <f>(5500/100)</f>
        <v>55</v>
      </c>
    </row>
    <row r="625" spans="1:4" x14ac:dyDescent="0.35">
      <c r="A625" t="s">
        <v>1</v>
      </c>
      <c r="B625" t="s">
        <v>227</v>
      </c>
      <c r="C625" s="3">
        <v>13</v>
      </c>
      <c r="D625" s="4">
        <f>(6500/100)</f>
        <v>65</v>
      </c>
    </row>
    <row r="626" spans="1:4" s="5" customFormat="1" ht="13" x14ac:dyDescent="0.3">
      <c r="A626" s="5" t="s">
        <v>111</v>
      </c>
    </row>
    <row r="627" spans="1:4" x14ac:dyDescent="0.35">
      <c r="A627" t="s">
        <v>187</v>
      </c>
    </row>
    <row r="628" spans="1:4" x14ac:dyDescent="0.35">
      <c r="A628" t="s">
        <v>1</v>
      </c>
      <c r="B628" t="s">
        <v>4</v>
      </c>
      <c r="C628" t="s">
        <v>5</v>
      </c>
      <c r="D628" t="s">
        <v>6</v>
      </c>
    </row>
    <row r="629" spans="1:4" x14ac:dyDescent="0.35">
      <c r="A629" t="s">
        <v>1</v>
      </c>
    </row>
    <row r="630" spans="1:4" x14ac:dyDescent="0.35">
      <c r="A630" t="s">
        <v>1</v>
      </c>
      <c r="B630" t="s">
        <v>224</v>
      </c>
      <c r="C630" s="3">
        <v>14</v>
      </c>
      <c r="D630" s="4">
        <f>(6667/100)</f>
        <v>66.67</v>
      </c>
    </row>
    <row r="631" spans="1:4" x14ac:dyDescent="0.35">
      <c r="A631" t="s">
        <v>1</v>
      </c>
      <c r="B631" t="s">
        <v>225</v>
      </c>
      <c r="C631" s="3">
        <v>16</v>
      </c>
      <c r="D631" s="4">
        <f>(7619/100)</f>
        <v>76.19</v>
      </c>
    </row>
    <row r="632" spans="1:4" x14ac:dyDescent="0.35">
      <c r="A632" t="s">
        <v>1</v>
      </c>
      <c r="B632" t="s">
        <v>226</v>
      </c>
      <c r="C632" s="3">
        <v>13</v>
      </c>
      <c r="D632" s="4">
        <f>(6190/100)</f>
        <v>61.9</v>
      </c>
    </row>
    <row r="633" spans="1:4" x14ac:dyDescent="0.35">
      <c r="A633" t="s">
        <v>1</v>
      </c>
      <c r="B633" t="s">
        <v>227</v>
      </c>
      <c r="C633" s="3">
        <v>19</v>
      </c>
      <c r="D633" s="4">
        <f>(9048/100)</f>
        <v>90.48</v>
      </c>
    </row>
    <row r="634" spans="1:4" s="5" customFormat="1" ht="13" x14ac:dyDescent="0.3">
      <c r="A634" s="5" t="s">
        <v>183</v>
      </c>
    </row>
    <row r="635" spans="1:4" x14ac:dyDescent="0.35">
      <c r="A635" t="s">
        <v>231</v>
      </c>
    </row>
    <row r="636" spans="1:4" x14ac:dyDescent="0.35">
      <c r="A636" t="s">
        <v>1</v>
      </c>
      <c r="B636" t="s">
        <v>4</v>
      </c>
      <c r="C636" t="s">
        <v>5</v>
      </c>
      <c r="D636" t="s">
        <v>6</v>
      </c>
    </row>
    <row r="637" spans="1:4" x14ac:dyDescent="0.35">
      <c r="A637" t="s">
        <v>1</v>
      </c>
    </row>
    <row r="638" spans="1:4" x14ac:dyDescent="0.35">
      <c r="A638" t="s">
        <v>1</v>
      </c>
      <c r="B638" t="s">
        <v>224</v>
      </c>
      <c r="C638" s="3">
        <v>26</v>
      </c>
      <c r="D638" s="4">
        <f>(8667/100)</f>
        <v>86.67</v>
      </c>
    </row>
    <row r="639" spans="1:4" x14ac:dyDescent="0.35">
      <c r="A639" t="s">
        <v>1</v>
      </c>
      <c r="B639" t="s">
        <v>225</v>
      </c>
      <c r="C639" s="3">
        <v>28</v>
      </c>
      <c r="D639" s="4">
        <f>(9333/100)</f>
        <v>93.33</v>
      </c>
    </row>
    <row r="640" spans="1:4" x14ac:dyDescent="0.35">
      <c r="A640" t="s">
        <v>1</v>
      </c>
      <c r="B640" t="s">
        <v>226</v>
      </c>
      <c r="C640" s="3">
        <v>26</v>
      </c>
      <c r="D640" s="4">
        <f>(8667/100)</f>
        <v>86.67</v>
      </c>
    </row>
    <row r="641" spans="1:4" x14ac:dyDescent="0.35">
      <c r="A641" t="s">
        <v>1</v>
      </c>
      <c r="B641" t="s">
        <v>227</v>
      </c>
      <c r="C641" s="3">
        <v>23</v>
      </c>
      <c r="D641" s="4">
        <f>(7667/100)</f>
        <v>76.67</v>
      </c>
    </row>
    <row r="642" spans="1:4" x14ac:dyDescent="0.35">
      <c r="A642" t="s">
        <v>1</v>
      </c>
    </row>
    <row r="643" spans="1:4" s="2" customFormat="1" ht="13" x14ac:dyDescent="0.3">
      <c r="A643" s="2" t="s">
        <v>232</v>
      </c>
    </row>
    <row r="644" spans="1:4" x14ac:dyDescent="0.35">
      <c r="A644" t="s">
        <v>233</v>
      </c>
    </row>
    <row r="645" spans="1:4" x14ac:dyDescent="0.35">
      <c r="A645" t="s">
        <v>4</v>
      </c>
      <c r="B645" t="s">
        <v>5</v>
      </c>
      <c r="C645" t="s">
        <v>6</v>
      </c>
    </row>
    <row r="646" spans="1:4" x14ac:dyDescent="0.35">
      <c r="A646" t="s">
        <v>234</v>
      </c>
      <c r="B646" s="3">
        <v>114</v>
      </c>
      <c r="C646" s="4">
        <f>(8201/100)</f>
        <v>82.01</v>
      </c>
    </row>
    <row r="647" spans="1:4" x14ac:dyDescent="0.35">
      <c r="A647" t="s">
        <v>235</v>
      </c>
      <c r="B647" s="3">
        <v>45</v>
      </c>
      <c r="C647" s="4">
        <f>(3237/100)</f>
        <v>32.369999999999997</v>
      </c>
    </row>
    <row r="648" spans="1:4" x14ac:dyDescent="0.35">
      <c r="A648" t="s">
        <v>236</v>
      </c>
      <c r="B648" s="3">
        <v>64</v>
      </c>
      <c r="C648" s="4">
        <f>(4604/100)</f>
        <v>46.04</v>
      </c>
    </row>
    <row r="649" spans="1:4" x14ac:dyDescent="0.35">
      <c r="A649" t="s">
        <v>237</v>
      </c>
      <c r="B649" s="3">
        <v>47</v>
      </c>
      <c r="C649" s="4">
        <f>(3381/100)</f>
        <v>33.81</v>
      </c>
    </row>
    <row r="650" spans="1:4" x14ac:dyDescent="0.35">
      <c r="A650" t="s">
        <v>238</v>
      </c>
      <c r="B650" s="3">
        <v>20</v>
      </c>
      <c r="C650" s="4">
        <f>(1439/100)</f>
        <v>14.39</v>
      </c>
    </row>
    <row r="651" spans="1:4" x14ac:dyDescent="0.35">
      <c r="A651" t="s">
        <v>239</v>
      </c>
      <c r="B651" s="3">
        <v>58</v>
      </c>
      <c r="C651" s="4">
        <f>(4173/100)</f>
        <v>41.73</v>
      </c>
    </row>
    <row r="652" spans="1:4" x14ac:dyDescent="0.35">
      <c r="A652" t="s">
        <v>240</v>
      </c>
      <c r="B652" s="3">
        <v>53</v>
      </c>
      <c r="C652" s="4">
        <f>(3813/100)</f>
        <v>38.130000000000003</v>
      </c>
    </row>
    <row r="653" spans="1:4" x14ac:dyDescent="0.35">
      <c r="A653" t="s">
        <v>80</v>
      </c>
      <c r="B653" s="3">
        <v>7</v>
      </c>
      <c r="C653" s="4">
        <f>(504/100)</f>
        <v>5.04</v>
      </c>
    </row>
    <row r="654" spans="1:4" x14ac:dyDescent="0.35">
      <c r="A654" t="s">
        <v>1</v>
      </c>
    </row>
    <row r="655" spans="1:4" s="2" customFormat="1" ht="13" x14ac:dyDescent="0.3">
      <c r="A655" s="2" t="s">
        <v>241</v>
      </c>
    </row>
    <row r="656" spans="1:4" x14ac:dyDescent="0.35">
      <c r="A656" t="s">
        <v>233</v>
      </c>
    </row>
    <row r="657" spans="1:3" x14ac:dyDescent="0.35">
      <c r="A657" t="s">
        <v>4</v>
      </c>
      <c r="B657" t="s">
        <v>5</v>
      </c>
      <c r="C657" t="s">
        <v>6</v>
      </c>
    </row>
    <row r="658" spans="1:3" x14ac:dyDescent="0.35">
      <c r="A658" t="s">
        <v>242</v>
      </c>
      <c r="B658" s="3">
        <v>29</v>
      </c>
      <c r="C658" s="4">
        <f>(2086/100)</f>
        <v>20.86</v>
      </c>
    </row>
    <row r="659" spans="1:3" x14ac:dyDescent="0.35">
      <c r="A659" t="s">
        <v>243</v>
      </c>
      <c r="B659" s="3">
        <v>50</v>
      </c>
      <c r="C659" s="4">
        <f>(3597/100)</f>
        <v>35.97</v>
      </c>
    </row>
    <row r="660" spans="1:3" x14ac:dyDescent="0.35">
      <c r="A660" t="s">
        <v>244</v>
      </c>
      <c r="B660" s="3">
        <v>44</v>
      </c>
      <c r="C660" s="4">
        <f>(3165/100)</f>
        <v>31.65</v>
      </c>
    </row>
    <row r="661" spans="1:3" x14ac:dyDescent="0.35">
      <c r="A661" t="s">
        <v>245</v>
      </c>
      <c r="B661" s="3">
        <v>45</v>
      </c>
      <c r="C661" s="4">
        <f>(3237/100)</f>
        <v>32.369999999999997</v>
      </c>
    </row>
    <row r="662" spans="1:3" x14ac:dyDescent="0.35">
      <c r="A662" t="s">
        <v>246</v>
      </c>
      <c r="B662" s="3">
        <v>13</v>
      </c>
      <c r="C662" s="4">
        <f>(935/100)</f>
        <v>9.35</v>
      </c>
    </row>
    <row r="663" spans="1:3" x14ac:dyDescent="0.35">
      <c r="A663" t="s">
        <v>247</v>
      </c>
      <c r="B663" s="3">
        <v>11</v>
      </c>
      <c r="C663" s="4">
        <f>(791/100)</f>
        <v>7.91</v>
      </c>
    </row>
    <row r="664" spans="1:3" x14ac:dyDescent="0.35">
      <c r="A664" t="s">
        <v>248</v>
      </c>
      <c r="B664" s="3">
        <v>20</v>
      </c>
      <c r="C664" s="4">
        <f>(1439/100)</f>
        <v>14.39</v>
      </c>
    </row>
    <row r="665" spans="1:3" x14ac:dyDescent="0.35">
      <c r="A665" t="s">
        <v>249</v>
      </c>
      <c r="B665" s="3">
        <v>58</v>
      </c>
      <c r="C665" s="4">
        <f>(4173/100)</f>
        <v>41.73</v>
      </c>
    </row>
    <row r="666" spans="1:3" x14ac:dyDescent="0.35">
      <c r="A666" t="s">
        <v>250</v>
      </c>
      <c r="B666" s="3">
        <v>32</v>
      </c>
      <c r="C666" s="4">
        <f>(2302/100)</f>
        <v>23.02</v>
      </c>
    </row>
    <row r="667" spans="1:3" x14ac:dyDescent="0.35">
      <c r="A667" t="s">
        <v>251</v>
      </c>
      <c r="B667" s="3">
        <v>52</v>
      </c>
      <c r="C667" s="4">
        <f>(3741/100)</f>
        <v>37.409999999999997</v>
      </c>
    </row>
    <row r="668" spans="1:3" x14ac:dyDescent="0.35">
      <c r="A668" t="s">
        <v>80</v>
      </c>
      <c r="B668" s="3">
        <v>32</v>
      </c>
      <c r="C668" s="4">
        <f>(2302/100)</f>
        <v>23.02</v>
      </c>
    </row>
    <row r="669" spans="1:3" x14ac:dyDescent="0.35">
      <c r="A669" t="s">
        <v>1</v>
      </c>
    </row>
    <row r="670" spans="1:3" s="1" customFormat="1" ht="25" x14ac:dyDescent="0.5">
      <c r="A670" s="1" t="s">
        <v>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Laflamme, Rose: CMS-SGI</dc:creator>
  <cp:lastModifiedBy>Andrew Nagarajah</cp:lastModifiedBy>
  <dcterms:created xsi:type="dcterms:W3CDTF">2018-10-16T14:13:25Z</dcterms:created>
  <dcterms:modified xsi:type="dcterms:W3CDTF">2018-10-20T01:59:41Z</dcterms:modified>
</cp:coreProperties>
</file>