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urgard\Desktop\"/>
    </mc:Choice>
  </mc:AlternateContent>
  <bookViews>
    <workbookView xWindow="0" yWindow="0" windowWidth="25200" windowHeight="11760"/>
  </bookViews>
  <sheets>
    <sheet name="Huang et al" sheetId="1" r:id="rId1"/>
    <sheet name="Xin et al" sheetId="3" r:id="rId2"/>
    <sheet name="Fan et al" sheetId="2" r:id="rId3"/>
  </sheets>
  <definedNames>
    <definedName name="solver_adj" localSheetId="2" hidden="1">'Fan et al'!$K$6:$K$7</definedName>
    <definedName name="solver_adj" localSheetId="0" hidden="1">'Xin et al'!$J$5:$J$6</definedName>
    <definedName name="solver_adj" localSheetId="1" hidden="1">'Xin et al'!$N$44:$N$45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0" hidden="1">'Huang et al'!$N$3:$N$10</definedName>
    <definedName name="solver_lhs2" localSheetId="0" hidden="1">'Huang et al'!$N$3:$N$10</definedName>
    <definedName name="solver_lhs3" localSheetId="0" hidden="1">'Huang et al'!$R$21:$R$24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2</definedName>
    <definedName name="solver_neg" localSheetId="0" hidden="1">2</definedName>
    <definedName name="solver_neg" localSheetId="1" hidden="1">2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0</definedName>
    <definedName name="solver_num" localSheetId="0" hidden="1">0</definedName>
    <definedName name="solver_num" localSheetId="1" hidden="1">0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'Fan et al'!$H$13</definedName>
    <definedName name="solver_opt" localSheetId="0" hidden="1">'Xin et al'!$G$13</definedName>
    <definedName name="solver_opt" localSheetId="1" hidden="1">'Xin et al'!$J$54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1</definedName>
    <definedName name="solver_rhs2" localSheetId="0" hidden="1">0.00000001</definedName>
    <definedName name="solver_rhs3" localSheetId="0" hidden="1">'Huang et al'!$S$21:$S$24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3" l="1"/>
  <c r="I49" i="3"/>
  <c r="I50" i="3"/>
  <c r="I51" i="3"/>
  <c r="H50" i="3"/>
  <c r="G45" i="3"/>
  <c r="H45" i="3" s="1"/>
  <c r="G46" i="3"/>
  <c r="H46" i="3" s="1"/>
  <c r="G47" i="3"/>
  <c r="H47" i="3" s="1"/>
  <c r="G48" i="3"/>
  <c r="H48" i="3" s="1"/>
  <c r="G49" i="3"/>
  <c r="H49" i="3" s="1"/>
  <c r="G50" i="3"/>
  <c r="G51" i="3"/>
  <c r="H51" i="3" s="1"/>
  <c r="G52" i="3"/>
  <c r="H52" i="3" s="1"/>
  <c r="G44" i="3"/>
  <c r="H44" i="3" s="1"/>
  <c r="F45" i="3"/>
  <c r="F46" i="3"/>
  <c r="F47" i="3"/>
  <c r="F48" i="3"/>
  <c r="F49" i="3"/>
  <c r="F50" i="3"/>
  <c r="F51" i="3"/>
  <c r="F52" i="3"/>
  <c r="F44" i="3"/>
  <c r="B45" i="3"/>
  <c r="I45" i="3" s="1"/>
  <c r="B46" i="3"/>
  <c r="I46" i="3" s="1"/>
  <c r="B47" i="3"/>
  <c r="I47" i="3" s="1"/>
  <c r="J47" i="3" s="1"/>
  <c r="B48" i="3"/>
  <c r="B49" i="3"/>
  <c r="B50" i="3"/>
  <c r="B51" i="3"/>
  <c r="B52" i="3"/>
  <c r="I52" i="3" s="1"/>
  <c r="J52" i="3" s="1"/>
  <c r="B44" i="3"/>
  <c r="I44" i="3" s="1"/>
  <c r="G29" i="3"/>
  <c r="H29" i="3" s="1"/>
  <c r="F30" i="3"/>
  <c r="F31" i="3"/>
  <c r="F32" i="3"/>
  <c r="F33" i="3"/>
  <c r="F34" i="3"/>
  <c r="F35" i="3"/>
  <c r="F36" i="3"/>
  <c r="F37" i="3"/>
  <c r="F29" i="3"/>
  <c r="I37" i="3"/>
  <c r="J37" i="3" s="1"/>
  <c r="B30" i="3"/>
  <c r="I30" i="3" s="1"/>
  <c r="B31" i="3"/>
  <c r="I31" i="3" s="1"/>
  <c r="J31" i="3" s="1"/>
  <c r="B32" i="3"/>
  <c r="I32" i="3" s="1"/>
  <c r="J32" i="3" s="1"/>
  <c r="B33" i="3"/>
  <c r="I33" i="3" s="1"/>
  <c r="J33" i="3" s="1"/>
  <c r="B34" i="3"/>
  <c r="I34" i="3" s="1"/>
  <c r="J34" i="3" s="1"/>
  <c r="B35" i="3"/>
  <c r="I35" i="3" s="1"/>
  <c r="J35" i="3" s="1"/>
  <c r="B36" i="3"/>
  <c r="I36" i="3" s="1"/>
  <c r="J36" i="3" s="1"/>
  <c r="B37" i="3"/>
  <c r="B29" i="3"/>
  <c r="I29" i="3" s="1"/>
  <c r="J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J30" i="3" l="1"/>
  <c r="J46" i="3"/>
  <c r="J44" i="3"/>
  <c r="J54" i="3" s="1"/>
  <c r="J45" i="3"/>
  <c r="J51" i="3"/>
  <c r="J50" i="3"/>
  <c r="J49" i="3"/>
  <c r="J48" i="3"/>
  <c r="J39" i="3"/>
  <c r="H40" i="2"/>
  <c r="H39" i="2"/>
  <c r="G39" i="2"/>
  <c r="F39" i="2"/>
  <c r="E39" i="2"/>
  <c r="C39" i="2"/>
  <c r="H38" i="2"/>
  <c r="G38" i="2"/>
  <c r="F38" i="2"/>
  <c r="E38" i="2"/>
  <c r="C38" i="2"/>
  <c r="H37" i="2"/>
  <c r="G37" i="2"/>
  <c r="F37" i="2"/>
  <c r="E37" i="2"/>
  <c r="C37" i="2"/>
  <c r="H36" i="2"/>
  <c r="G36" i="2"/>
  <c r="F36" i="2"/>
  <c r="E36" i="2"/>
  <c r="C36" i="2"/>
  <c r="H35" i="2"/>
  <c r="G35" i="2"/>
  <c r="F35" i="2"/>
  <c r="E35" i="2"/>
  <c r="C35" i="2"/>
  <c r="H34" i="2"/>
  <c r="G34" i="2"/>
  <c r="F34" i="2"/>
  <c r="E34" i="2"/>
  <c r="C34" i="2"/>
  <c r="H33" i="2"/>
  <c r="G33" i="2"/>
  <c r="F33" i="2"/>
  <c r="E33" i="2"/>
  <c r="C33" i="2"/>
  <c r="H32" i="2"/>
  <c r="G32" i="2"/>
  <c r="F32" i="2"/>
  <c r="E32" i="2"/>
  <c r="C32" i="2"/>
  <c r="H31" i="2"/>
  <c r="G31" i="2"/>
  <c r="F31" i="2"/>
  <c r="E31" i="2"/>
  <c r="C31" i="2"/>
  <c r="H30" i="2"/>
  <c r="G30" i="2"/>
  <c r="F30" i="2"/>
  <c r="E30" i="2"/>
  <c r="C30" i="2"/>
  <c r="H29" i="2"/>
  <c r="G29" i="2"/>
  <c r="F29" i="2"/>
  <c r="E29" i="2"/>
  <c r="C29" i="2"/>
  <c r="H28" i="2"/>
  <c r="G28" i="2"/>
  <c r="F28" i="2"/>
  <c r="E28" i="2"/>
  <c r="C28" i="2"/>
  <c r="H27" i="2"/>
  <c r="G27" i="2"/>
  <c r="F27" i="2"/>
  <c r="E27" i="2"/>
  <c r="C27" i="2"/>
  <c r="H24" i="2"/>
  <c r="H23" i="2"/>
  <c r="G23" i="2"/>
  <c r="F23" i="2"/>
  <c r="E23" i="2"/>
  <c r="C23" i="2"/>
  <c r="H22" i="2"/>
  <c r="G22" i="2"/>
  <c r="F22" i="2"/>
  <c r="E22" i="2"/>
  <c r="C22" i="2"/>
  <c r="H21" i="2"/>
  <c r="G21" i="2"/>
  <c r="F21" i="2"/>
  <c r="E21" i="2"/>
  <c r="C21" i="2"/>
  <c r="H20" i="2"/>
  <c r="G20" i="2"/>
  <c r="F20" i="2"/>
  <c r="E20" i="2"/>
  <c r="C20" i="2"/>
  <c r="H19" i="2"/>
  <c r="G19" i="2"/>
  <c r="F19" i="2"/>
  <c r="E19" i="2"/>
  <c r="C19" i="2"/>
  <c r="H18" i="2"/>
  <c r="G18" i="2"/>
  <c r="F18" i="2"/>
  <c r="E18" i="2"/>
  <c r="C18" i="2"/>
  <c r="H17" i="2"/>
  <c r="G17" i="2"/>
  <c r="F17" i="2"/>
  <c r="E17" i="2"/>
  <c r="C17" i="2"/>
  <c r="H16" i="2"/>
  <c r="G16" i="2"/>
  <c r="F16" i="2"/>
  <c r="E16" i="2"/>
  <c r="C16" i="2"/>
  <c r="H13" i="2"/>
  <c r="H12" i="2"/>
  <c r="G12" i="2"/>
  <c r="F12" i="2"/>
  <c r="E12" i="2"/>
  <c r="C12" i="2"/>
  <c r="H11" i="2"/>
  <c r="G11" i="2"/>
  <c r="F11" i="2"/>
  <c r="E11" i="2"/>
  <c r="C11" i="2"/>
  <c r="H10" i="2"/>
  <c r="G10" i="2"/>
  <c r="F10" i="2"/>
  <c r="E10" i="2"/>
  <c r="C10" i="2"/>
  <c r="H9" i="2"/>
  <c r="G9" i="2"/>
  <c r="F9" i="2"/>
  <c r="E9" i="2"/>
  <c r="C9" i="2"/>
  <c r="H8" i="2"/>
  <c r="G8" i="2"/>
  <c r="F8" i="2"/>
  <c r="E8" i="2"/>
  <c r="C8" i="2"/>
  <c r="H7" i="2"/>
  <c r="G7" i="2"/>
  <c r="F7" i="2"/>
  <c r="E7" i="2"/>
  <c r="C7" i="2"/>
  <c r="F23" i="3"/>
  <c r="B23" i="3"/>
  <c r="E23" i="3" s="1"/>
  <c r="B22" i="3"/>
  <c r="F22" i="3" s="1"/>
  <c r="F21" i="3"/>
  <c r="G21" i="3" s="1"/>
  <c r="B21" i="3"/>
  <c r="E21" i="3" s="1"/>
  <c r="B20" i="3"/>
  <c r="F20" i="3" s="1"/>
  <c r="F19" i="3"/>
  <c r="B19" i="3"/>
  <c r="E19" i="3" s="1"/>
  <c r="B18" i="3"/>
  <c r="F18" i="3" s="1"/>
  <c r="F17" i="3"/>
  <c r="B17" i="3"/>
  <c r="E17" i="3" s="1"/>
  <c r="B11" i="3"/>
  <c r="F11" i="3" s="1"/>
  <c r="B10" i="3"/>
  <c r="F10" i="3" s="1"/>
  <c r="B9" i="3"/>
  <c r="F9" i="3" s="1"/>
  <c r="B8" i="3"/>
  <c r="F8" i="3" s="1"/>
  <c r="B7" i="3"/>
  <c r="F7" i="3" s="1"/>
  <c r="B6" i="3"/>
  <c r="F6" i="3" s="1"/>
  <c r="B5" i="3"/>
  <c r="F5" i="3" s="1"/>
  <c r="H68" i="1"/>
  <c r="H67" i="1"/>
  <c r="G67" i="1"/>
  <c r="F67" i="1"/>
  <c r="E67" i="1"/>
  <c r="H66" i="1"/>
  <c r="G66" i="1"/>
  <c r="F66" i="1"/>
  <c r="E66" i="1"/>
  <c r="H65" i="1"/>
  <c r="G65" i="1"/>
  <c r="F65" i="1"/>
  <c r="E65" i="1"/>
  <c r="H64" i="1"/>
  <c r="G64" i="1"/>
  <c r="F64" i="1"/>
  <c r="E64" i="1"/>
  <c r="H63" i="1"/>
  <c r="G63" i="1"/>
  <c r="F63" i="1"/>
  <c r="E63" i="1"/>
  <c r="H62" i="1"/>
  <c r="G62" i="1"/>
  <c r="F62" i="1"/>
  <c r="E62" i="1"/>
  <c r="H60" i="1"/>
  <c r="H59" i="1"/>
  <c r="G59" i="1"/>
  <c r="F59" i="1"/>
  <c r="E59" i="1"/>
  <c r="H58" i="1"/>
  <c r="G58" i="1"/>
  <c r="F58" i="1"/>
  <c r="E58" i="1"/>
  <c r="H57" i="1"/>
  <c r="G57" i="1"/>
  <c r="F57" i="1"/>
  <c r="E57" i="1"/>
  <c r="H56" i="1"/>
  <c r="G56" i="1"/>
  <c r="F56" i="1"/>
  <c r="E56" i="1"/>
  <c r="H55" i="1"/>
  <c r="G55" i="1"/>
  <c r="F55" i="1"/>
  <c r="E55" i="1"/>
  <c r="H54" i="1"/>
  <c r="G54" i="1"/>
  <c r="F54" i="1"/>
  <c r="E54" i="1"/>
  <c r="H52" i="1"/>
  <c r="H51" i="1"/>
  <c r="G51" i="1"/>
  <c r="F51" i="1"/>
  <c r="E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46" i="1"/>
  <c r="G46" i="1"/>
  <c r="F46" i="1"/>
  <c r="E46" i="1"/>
  <c r="H44" i="1"/>
  <c r="H43" i="1"/>
  <c r="G43" i="1"/>
  <c r="F43" i="1"/>
  <c r="E43" i="1"/>
  <c r="H42" i="1"/>
  <c r="G42" i="1"/>
  <c r="F42" i="1"/>
  <c r="E42" i="1"/>
  <c r="H41" i="1"/>
  <c r="G41" i="1"/>
  <c r="F41" i="1"/>
  <c r="E41" i="1"/>
  <c r="H40" i="1"/>
  <c r="G40" i="1"/>
  <c r="F40" i="1"/>
  <c r="E40" i="1"/>
  <c r="H39" i="1"/>
  <c r="G39" i="1"/>
  <c r="F39" i="1"/>
  <c r="E39" i="1"/>
  <c r="H38" i="1"/>
  <c r="G38" i="1"/>
  <c r="F38" i="1"/>
  <c r="E38" i="1"/>
  <c r="H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G17" i="3" l="1"/>
  <c r="G6" i="3"/>
  <c r="G23" i="3"/>
  <c r="G8" i="3"/>
  <c r="G19" i="3"/>
  <c r="G10" i="3"/>
  <c r="E5" i="3"/>
  <c r="G5" i="3" s="1"/>
  <c r="E7" i="3"/>
  <c r="G7" i="3" s="1"/>
  <c r="E9" i="3"/>
  <c r="G9" i="3" s="1"/>
  <c r="E11" i="3"/>
  <c r="G11" i="3" s="1"/>
  <c r="E18" i="3"/>
  <c r="G18" i="3" s="1"/>
  <c r="E20" i="3"/>
  <c r="G20" i="3" s="1"/>
  <c r="E22" i="3"/>
  <c r="G22" i="3" s="1"/>
  <c r="E6" i="3"/>
  <c r="E8" i="3"/>
  <c r="E10" i="3"/>
  <c r="G13" i="3" l="1"/>
  <c r="G25" i="3"/>
</calcChain>
</file>

<file path=xl/sharedStrings.xml><?xml version="1.0" encoding="utf-8"?>
<sst xmlns="http://schemas.openxmlformats.org/spreadsheetml/2006/main" count="165" uniqueCount="54">
  <si>
    <t>T(K) vs. Log(K) for Rxn 4</t>
  </si>
  <si>
    <t>T(K) vs. Log(K) for Rxn 5</t>
  </si>
  <si>
    <t>ln(Keq)=A+B/T+C*lnT+D*T</t>
  </si>
  <si>
    <t>T(K) vs. Log(K) for Rxn 6</t>
  </si>
  <si>
    <t>T(K) vs. Log(K) for Rxn 7</t>
  </si>
  <si>
    <t>T(K) vs. Log(K) for Rxn 8</t>
  </si>
  <si>
    <t>T(K) vs. Log(K) for Rxn 9</t>
  </si>
  <si>
    <t>T(K) vs. Log(K) for Rxn 10</t>
  </si>
  <si>
    <t>T(K) vs. Log(K) for Rxn 11</t>
  </si>
  <si>
    <t>Assuming plots are log10</t>
  </si>
  <si>
    <t>K</t>
  </si>
  <si>
    <t>ln(K) : data</t>
  </si>
  <si>
    <t>ln(K) : model</t>
  </si>
  <si>
    <t>SSE</t>
  </si>
  <si>
    <t>A</t>
  </si>
  <si>
    <t>B</t>
  </si>
  <si>
    <t>C</t>
  </si>
  <si>
    <t>D</t>
  </si>
  <si>
    <t>CO + 3 Fe2O3 --&gt; CO2 + 2 Fe3O4</t>
  </si>
  <si>
    <t>H2 + 3 Fe2O3 --&gt; H2O + 2 Fe3O4</t>
  </si>
  <si>
    <t>H2 + Fe2O3 --&gt; H2O + 2 FeO</t>
  </si>
  <si>
    <t>CH4 + 3 Fe2O3 --&gt; 2 H2 + CO + 2 Fe3O4</t>
  </si>
  <si>
    <t>C + 3 Fe2O3 --&gt; 2 H2O + CO2 + 8 FeO</t>
  </si>
  <si>
    <t>C + 3 Fe2O3 --&gt; CO + 2 Fe3O4</t>
  </si>
  <si>
    <t>CO + Fe2O3 --&gt; CO2 + 2 FeO</t>
  </si>
  <si>
    <t>CH4 + 4 Fe2O3 --&gt; 2 H2O + CO2 + 8 FeO</t>
  </si>
  <si>
    <t>Data digitized from Huang, et al, Thermo Analysis and Synthesis Gas Generation by Chemical-Looping Gasification</t>
  </si>
  <si>
    <t>Data digitized from Fan et al, Chemical Looping Technology Platform, AICHE J, 2014</t>
  </si>
  <si>
    <t>T (C)</t>
  </si>
  <si>
    <t>kJ/mol O2</t>
  </si>
  <si>
    <t>J/mol O2</t>
  </si>
  <si>
    <t>T (K)</t>
  </si>
  <si>
    <t>ln Keq</t>
  </si>
  <si>
    <t>2 Fe + O2 --&gt; 2 FeO</t>
  </si>
  <si>
    <t>6 FeO + O2 --&gt; 2 Fe3O4</t>
  </si>
  <si>
    <t>4 Fe3O4 + O2 = 6 Fe2O3</t>
  </si>
  <si>
    <t>model ln Keq</t>
  </si>
  <si>
    <t>DG (kJ/mol)</t>
  </si>
  <si>
    <t>Reaction 8: 4 FeO + CH4 --&gt; 4 Fe + CO2 + 2 H2O</t>
  </si>
  <si>
    <t>Kelvin</t>
  </si>
  <si>
    <t>Reaction 7: Fe3O4 + CH4 --&gt; 3 Fe + CO2 + 2 H2O</t>
  </si>
  <si>
    <t>Data digitized from Xin et al, "Thermodynamics and Equilibrium Composition Analysis of Using Iron Oxide as an Oxygen Carreir in NonFlame Combustion Technology", J Nat Gas Chemistry, 2005, Vol 14, No 4</t>
  </si>
  <si>
    <t>C &amp; D have only a minimal effect.</t>
  </si>
  <si>
    <t>FeO</t>
  </si>
  <si>
    <t>Fe</t>
  </si>
  <si>
    <t>Fe3O4</t>
  </si>
  <si>
    <t>ln K</t>
  </si>
  <si>
    <t>model ln K</t>
  </si>
  <si>
    <t>Celcius</t>
  </si>
  <si>
    <t>Data Digitized from Figure 4</t>
  </si>
  <si>
    <t>Proposed EQ: Fe3O4 + Fe --&gt; 4 FeO</t>
  </si>
  <si>
    <t>Data Digitized from Figure 6</t>
  </si>
  <si>
    <t>Proposed EQ: FeO + Fe2O3 --&gt; Fe3O4</t>
  </si>
  <si>
    <t>Fe2O3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</si>
</sst>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00"/>
    <numFmt numFmtId="165" formatCode="0.0000000"/>
    <numFmt numFmtId="166" formatCode="0.0000"/>
    <numFmt numFmtId="167" formatCode="0.000000"/>
    <numFmt numFmtId="168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14</xdr:col>
      <xdr:colOff>390149</xdr:colOff>
      <xdr:row>2</xdr:row>
      <xdr:rowOff>161857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7F006D-2F1E-4BFC-ABF8-EF74EC1E2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0"/>
          <a:ext cx="3009524" cy="542857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533400</xdr:colOff>
      <xdr:row>3</xdr:row>
      <xdr:rowOff>95250</xdr:rowOff>
    </xdr:from>
    <xdr:to>
      <xdr:col>25</xdr:col>
      <xdr:colOff>486960</xdr:colOff>
      <xdr:row>43</xdr:row>
      <xdr:rowOff>39156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6B3A77-E445-4592-A366-03E9E81C3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66750"/>
          <a:ext cx="8487960" cy="7563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abSelected="1" zoomScale="90" zoomScaleNormal="90" workbookViewId="0"/>
  </sheetViews>
  <sheetFormatPr defaultRowHeight="15" x14ac:dyDescent="0.25"/>
  <cols>
    <col min="2" max="2" width="25.28515625" customWidth="1"/>
    <col min="3" max="3" width="11.85546875" bestFit="1" customWidth="1"/>
    <col min="4" max="4" width="30.85546875" customWidth="1"/>
    <col min="5" max="5" width="9.85546875" customWidth="1"/>
    <col min="6" max="6" width="11.85546875" style="8" bestFit="1" customWidth="1"/>
    <col min="7" max="7" width="14.5703125" style="8" customWidth="1"/>
    <col min="8" max="8" width="12.28515625" style="8" bestFit="1" customWidth="1"/>
    <col min="11" max="11" width="14.42578125" customWidth="1"/>
    <col min="14" max="14" width="15.85546875" bestFit="1" customWidth="1"/>
    <col min="16" max="16" width="12.28515625" customWidth="1"/>
    <col min="17" max="17" width="12" bestFit="1" customWidth="1"/>
    <col min="18" max="18" width="11" bestFit="1" customWidth="1"/>
    <col min="19" max="19" width="14.85546875" bestFit="1" customWidth="1"/>
    <col min="20" max="20" width="16.42578125" bestFit="1" customWidth="1"/>
    <col min="21" max="21" width="12.42578125" bestFit="1" customWidth="1"/>
  </cols>
  <sheetData>
    <row r="1" spans="1:20" x14ac:dyDescent="0.25">
      <c r="A1" s="9" t="s">
        <v>26</v>
      </c>
      <c r="B1" s="9"/>
      <c r="C1" s="9"/>
      <c r="D1" s="9"/>
      <c r="E1" s="9"/>
      <c r="F1" s="10"/>
      <c r="G1" s="10"/>
      <c r="H1" s="10"/>
    </row>
    <row r="2" spans="1:20" x14ac:dyDescent="0.25">
      <c r="B2" s="11" t="s">
        <v>2</v>
      </c>
      <c r="C2" s="11"/>
    </row>
    <row r="3" spans="1:20" x14ac:dyDescent="0.25">
      <c r="B3" s="11" t="s">
        <v>42</v>
      </c>
      <c r="C3" s="11"/>
      <c r="N3" s="2"/>
    </row>
    <row r="4" spans="1:20" x14ac:dyDescent="0.25">
      <c r="E4" t="s">
        <v>9</v>
      </c>
      <c r="N4" s="2"/>
    </row>
    <row r="5" spans="1:20" x14ac:dyDescent="0.25">
      <c r="B5" t="s">
        <v>0</v>
      </c>
      <c r="C5" t="s">
        <v>18</v>
      </c>
      <c r="E5" t="s">
        <v>10</v>
      </c>
      <c r="F5" s="8" t="s">
        <v>11</v>
      </c>
      <c r="G5" s="8" t="s">
        <v>12</v>
      </c>
      <c r="H5" s="8" t="s">
        <v>13</v>
      </c>
      <c r="J5" t="s">
        <v>14</v>
      </c>
      <c r="K5">
        <v>7.5156720653561386</v>
      </c>
      <c r="N5" s="2"/>
    </row>
    <row r="6" spans="1:20" x14ac:dyDescent="0.25">
      <c r="B6">
        <v>923.12658144384204</v>
      </c>
      <c r="C6">
        <v>5.5294117647058796</v>
      </c>
      <c r="E6">
        <f t="shared" ref="E6:E11" si="0">10^C6</f>
        <v>338385.51534282166</v>
      </c>
      <c r="F6" s="8">
        <f t="shared" ref="F6:F11" si="1">LN(E6)</f>
        <v>12.731941102437659</v>
      </c>
      <c r="G6" s="8">
        <f t="shared" ref="G6:G11" si="2">$K$5+$K$6/B6+$K$7*LN(B6)+$K$8*B6</f>
        <v>12.748016744629325</v>
      </c>
      <c r="H6" s="8">
        <f t="shared" ref="H6:H11" si="3">(G6-F6)^2</f>
        <v>2.5842627187446903E-4</v>
      </c>
      <c r="J6" t="s">
        <v>15</v>
      </c>
      <c r="K6">
        <v>4830.1164567133319</v>
      </c>
      <c r="N6" s="2"/>
    </row>
    <row r="7" spans="1:20" x14ac:dyDescent="0.25">
      <c r="B7">
        <v>972.85562396459204</v>
      </c>
      <c r="C7">
        <v>5.4298642533936601</v>
      </c>
      <c r="E7">
        <f t="shared" si="0"/>
        <v>269069.36474405788</v>
      </c>
      <c r="F7" s="8">
        <f t="shared" si="1"/>
        <v>12.502724486845487</v>
      </c>
      <c r="G7" s="8">
        <f t="shared" si="2"/>
        <v>12.480557232005623</v>
      </c>
      <c r="H7" s="8">
        <f t="shared" si="3"/>
        <v>4.9138718713549029E-4</v>
      </c>
      <c r="J7" t="s">
        <v>16</v>
      </c>
      <c r="N7" s="2"/>
    </row>
    <row r="8" spans="1:20" x14ac:dyDescent="0.25">
      <c r="B8">
        <v>1022.94937731292</v>
      </c>
      <c r="C8">
        <v>5.3122171945701302</v>
      </c>
      <c r="E8">
        <f t="shared" si="0"/>
        <v>205218.82399993486</v>
      </c>
      <c r="F8" s="8">
        <f t="shared" si="1"/>
        <v>12.231832122963834</v>
      </c>
      <c r="G8" s="8">
        <f t="shared" si="2"/>
        <v>12.237427182311258</v>
      </c>
      <c r="H8" s="8">
        <f t="shared" si="3"/>
        <v>3.1304689101200314E-5</v>
      </c>
      <c r="J8" t="s">
        <v>17</v>
      </c>
      <c r="N8" s="2"/>
    </row>
    <row r="9" spans="1:20" x14ac:dyDescent="0.25">
      <c r="B9">
        <v>1072.86015709352</v>
      </c>
      <c r="C9">
        <v>5.2307692307692299</v>
      </c>
      <c r="E9">
        <f t="shared" si="0"/>
        <v>170125.42798525872</v>
      </c>
      <c r="F9" s="8">
        <f t="shared" si="1"/>
        <v>12.044291255661161</v>
      </c>
      <c r="G9" s="8">
        <f t="shared" si="2"/>
        <v>12.01776530162523</v>
      </c>
      <c r="H9" s="8">
        <f t="shared" si="3"/>
        <v>7.0362623751630345E-4</v>
      </c>
      <c r="N9" s="2"/>
    </row>
    <row r="10" spans="1:20" x14ac:dyDescent="0.25">
      <c r="B10">
        <v>1123.31820916681</v>
      </c>
      <c r="C10">
        <v>5.1131221719457001</v>
      </c>
      <c r="E10">
        <f t="shared" si="0"/>
        <v>129754.42335038779</v>
      </c>
      <c r="F10" s="8">
        <f t="shared" si="1"/>
        <v>11.773398891779507</v>
      </c>
      <c r="G10" s="8">
        <f t="shared" si="2"/>
        <v>11.815536891989668</v>
      </c>
      <c r="H10" s="8">
        <f t="shared" si="3"/>
        <v>1.775611061711473E-3</v>
      </c>
      <c r="N10" s="2"/>
    </row>
    <row r="11" spans="1:20" x14ac:dyDescent="0.25">
      <c r="B11">
        <v>1173.04622143098</v>
      </c>
      <c r="C11">
        <v>5.0588235294117601</v>
      </c>
      <c r="E11">
        <f t="shared" si="0"/>
        <v>114504.75699382705</v>
      </c>
      <c r="F11" s="8">
        <f t="shared" si="1"/>
        <v>11.648371646911045</v>
      </c>
      <c r="G11" s="8">
        <f t="shared" si="2"/>
        <v>11.633256154089787</v>
      </c>
      <c r="H11" s="8">
        <f t="shared" si="3"/>
        <v>2.2847812322948242E-4</v>
      </c>
      <c r="S11" s="1"/>
    </row>
    <row r="12" spans="1:20" x14ac:dyDescent="0.25">
      <c r="H12" s="8">
        <f>SUM(H6:H11)</f>
        <v>3.4888335705684187E-3</v>
      </c>
      <c r="S12" s="1"/>
    </row>
    <row r="13" spans="1:20" x14ac:dyDescent="0.25">
      <c r="B13" t="s">
        <v>1</v>
      </c>
      <c r="C13" t="s">
        <v>24</v>
      </c>
      <c r="E13" t="s">
        <v>10</v>
      </c>
      <c r="F13" s="8" t="s">
        <v>11</v>
      </c>
      <c r="G13" s="8" t="s">
        <v>12</v>
      </c>
      <c r="H13" s="8" t="s">
        <v>13</v>
      </c>
    </row>
    <row r="14" spans="1:20" x14ac:dyDescent="0.25">
      <c r="B14">
        <v>922.846763758046</v>
      </c>
      <c r="C14">
        <v>1.81900452488687</v>
      </c>
      <c r="E14">
        <f t="shared" ref="E14:E19" si="4">10^C14</f>
        <v>65.918076317142237</v>
      </c>
      <c r="F14" s="8">
        <f t="shared" ref="F14:F19" si="5">LN(E14)</f>
        <v>4.1884127030932241</v>
      </c>
      <c r="G14" s="8">
        <f t="shared" ref="G14:G19" si="6">$K$14+$K$15/B14+$K$16*LN(B14)+$K$17*B14</f>
        <v>4.182397004857509</v>
      </c>
      <c r="H14" s="8">
        <f t="shared" ref="H14:H19" si="7">(G14-F14)^2</f>
        <v>3.6188625263186103E-5</v>
      </c>
      <c r="J14" t="s">
        <v>14</v>
      </c>
      <c r="K14">
        <v>3.295034134557234</v>
      </c>
      <c r="N14" s="2"/>
    </row>
    <row r="15" spans="1:20" x14ac:dyDescent="0.25">
      <c r="B15">
        <v>973.120399904392</v>
      </c>
      <c r="C15">
        <v>1.8009049773755601</v>
      </c>
      <c r="E15">
        <f t="shared" si="4"/>
        <v>63.227349626770241</v>
      </c>
      <c r="F15" s="8">
        <f t="shared" si="5"/>
        <v>4.1467369548037443</v>
      </c>
      <c r="G15" s="8">
        <f t="shared" si="6"/>
        <v>4.1365537997663031</v>
      </c>
      <c r="H15" s="8">
        <f t="shared" si="7"/>
        <v>1.0369664651656329E-4</v>
      </c>
      <c r="J15" t="s">
        <v>15</v>
      </c>
      <c r="K15">
        <v>818.89995313565953</v>
      </c>
      <c r="T15" s="3"/>
    </row>
    <row r="16" spans="1:20" x14ac:dyDescent="0.25">
      <c r="B16">
        <v>1023.0295312744601</v>
      </c>
      <c r="C16">
        <v>1.7918552036199</v>
      </c>
      <c r="E16">
        <f t="shared" si="4"/>
        <v>61.923458413873796</v>
      </c>
      <c r="F16" s="8">
        <f t="shared" si="5"/>
        <v>4.1258990806589928</v>
      </c>
      <c r="G16" s="8">
        <f t="shared" si="6"/>
        <v>4.0954997399982602</v>
      </c>
      <c r="H16" s="8">
        <f t="shared" si="7"/>
        <v>9.2411991260726888E-4</v>
      </c>
      <c r="J16" t="s">
        <v>16</v>
      </c>
      <c r="T16" s="3"/>
    </row>
    <row r="17" spans="2:20" x14ac:dyDescent="0.25">
      <c r="B17">
        <v>1073.12081200702</v>
      </c>
      <c r="C17">
        <v>1.7828054298642499</v>
      </c>
      <c r="E17">
        <f t="shared" si="4"/>
        <v>60.646456392208513</v>
      </c>
      <c r="F17" s="8">
        <f t="shared" si="5"/>
        <v>4.1050612065142635</v>
      </c>
      <c r="G17" s="8">
        <f t="shared" si="6"/>
        <v>4.0581354964664307</v>
      </c>
      <c r="H17" s="8">
        <f t="shared" si="7"/>
        <v>2.2020222634932815E-3</v>
      </c>
      <c r="J17" t="s">
        <v>17</v>
      </c>
      <c r="T17" s="3"/>
    </row>
    <row r="18" spans="2:20" x14ac:dyDescent="0.25">
      <c r="B18">
        <v>1123.2127108935199</v>
      </c>
      <c r="C18">
        <v>1.7466063348416201</v>
      </c>
      <c r="E18">
        <f t="shared" si="4"/>
        <v>55.796420017425405</v>
      </c>
      <c r="F18" s="8">
        <f t="shared" si="5"/>
        <v>4.0217097099352817</v>
      </c>
      <c r="G18" s="8">
        <f t="shared" si="6"/>
        <v>4.0241034775174125</v>
      </c>
      <c r="H18" s="8">
        <f t="shared" si="7"/>
        <v>5.7301232372605023E-6</v>
      </c>
      <c r="T18" s="3"/>
    </row>
    <row r="19" spans="2:20" x14ac:dyDescent="0.25">
      <c r="B19">
        <v>1173.30399162607</v>
      </c>
      <c r="C19">
        <v>1.73755656108597</v>
      </c>
      <c r="E19">
        <f t="shared" si="4"/>
        <v>54.64577141043528</v>
      </c>
      <c r="F19" s="8">
        <f t="shared" si="5"/>
        <v>4.0008718357905533</v>
      </c>
      <c r="G19" s="8">
        <f t="shared" si="6"/>
        <v>3.9929776845495546</v>
      </c>
      <c r="H19" s="8">
        <f t="shared" si="7"/>
        <v>6.2317623815761017E-5</v>
      </c>
      <c r="T19" s="3"/>
    </row>
    <row r="20" spans="2:20" x14ac:dyDescent="0.25">
      <c r="H20" s="8">
        <f>SUM(H14:H19)</f>
        <v>3.3340751949333214E-3</v>
      </c>
      <c r="T20" s="3"/>
    </row>
    <row r="21" spans="2:20" x14ac:dyDescent="0.25">
      <c r="B21" t="s">
        <v>3</v>
      </c>
      <c r="C21" t="s">
        <v>19</v>
      </c>
      <c r="E21" t="s">
        <v>10</v>
      </c>
      <c r="F21" s="8" t="s">
        <v>11</v>
      </c>
      <c r="G21" s="8" t="s">
        <v>12</v>
      </c>
      <c r="H21" s="8" t="s">
        <v>13</v>
      </c>
      <c r="S21" s="4"/>
      <c r="T21" s="3"/>
    </row>
    <row r="22" spans="2:20" x14ac:dyDescent="0.25">
      <c r="B22">
        <v>922.95061362081594</v>
      </c>
      <c r="C22">
        <v>5.2579185520361902</v>
      </c>
      <c r="E22">
        <f t="shared" ref="E22:E27" si="8">10^C22</f>
        <v>181100.04241794714</v>
      </c>
      <c r="F22" s="8">
        <f t="shared" ref="F22:F27" si="9">LN(E22)</f>
        <v>12.106804878095371</v>
      </c>
      <c r="G22" s="8">
        <f t="shared" ref="G22:G27" si="10">$K$22+$K$23/B22+$K$24*LN(B22)+$K$25*B22</f>
        <v>12.088729375104526</v>
      </c>
      <c r="H22" s="8">
        <f t="shared" ref="H22:H27" si="11">(G22-F22)^2</f>
        <v>3.2672380837204791E-4</v>
      </c>
      <c r="J22" t="s">
        <v>14</v>
      </c>
      <c r="K22">
        <v>11.145784478776832</v>
      </c>
      <c r="S22" s="4"/>
      <c r="T22" s="3"/>
    </row>
    <row r="23" spans="2:20" x14ac:dyDescent="0.25">
      <c r="B23">
        <v>973.04230645599898</v>
      </c>
      <c r="C23">
        <v>5.2307692307692299</v>
      </c>
      <c r="E23">
        <f t="shared" si="8"/>
        <v>170125.42798525872</v>
      </c>
      <c r="F23" s="8">
        <f t="shared" si="9"/>
        <v>12.044291255661161</v>
      </c>
      <c r="G23" s="8">
        <f t="shared" si="10"/>
        <v>12.040187080700715</v>
      </c>
      <c r="H23" s="8">
        <f t="shared" si="11"/>
        <v>1.6844252105952061E-5</v>
      </c>
      <c r="J23" t="s">
        <v>15</v>
      </c>
      <c r="K23">
        <v>870.29157067626113</v>
      </c>
      <c r="S23" s="2"/>
      <c r="T23" s="3"/>
    </row>
    <row r="24" spans="2:20" x14ac:dyDescent="0.25">
      <c r="B24">
        <v>1022.9518499287</v>
      </c>
      <c r="C24">
        <v>5.2036199095022599</v>
      </c>
      <c r="E24">
        <f t="shared" si="8"/>
        <v>159815.87227004755</v>
      </c>
      <c r="F24" s="8">
        <f t="shared" si="9"/>
        <v>11.98177763322693</v>
      </c>
      <c r="G24" s="8">
        <f t="shared" si="10"/>
        <v>11.996549420193109</v>
      </c>
      <c r="H24" s="8">
        <f t="shared" si="11"/>
        <v>2.1820569017417518E-4</v>
      </c>
      <c r="J24" t="s">
        <v>16</v>
      </c>
      <c r="T24" s="3"/>
    </row>
    <row r="25" spans="2:20" x14ac:dyDescent="0.25">
      <c r="B25">
        <v>1073.0435427638899</v>
      </c>
      <c r="C25">
        <v>5.1764705882352899</v>
      </c>
      <c r="E25">
        <f t="shared" si="8"/>
        <v>150131.07289081602</v>
      </c>
      <c r="F25" s="8">
        <f t="shared" si="9"/>
        <v>11.919264010792698</v>
      </c>
      <c r="G25" s="8">
        <f t="shared" si="10"/>
        <v>11.956834110961012</v>
      </c>
      <c r="H25" s="8">
        <f t="shared" si="11"/>
        <v>1.4115124266570953E-3</v>
      </c>
      <c r="J25" t="s">
        <v>17</v>
      </c>
    </row>
    <row r="26" spans="2:20" x14ac:dyDescent="0.25">
      <c r="B26">
        <v>1122.9524680826501</v>
      </c>
      <c r="C26">
        <v>5.1764705882352899</v>
      </c>
      <c r="E26">
        <f t="shared" si="8"/>
        <v>150131.07289081602</v>
      </c>
      <c r="F26" s="8">
        <f t="shared" si="9"/>
        <v>11.919264010792698</v>
      </c>
      <c r="G26" s="8">
        <f t="shared" si="10"/>
        <v>11.920787513555512</v>
      </c>
      <c r="H26" s="8">
        <f t="shared" si="11"/>
        <v>2.3210606682998265E-6</v>
      </c>
    </row>
    <row r="27" spans="2:20" x14ac:dyDescent="0.25">
      <c r="B27">
        <v>1173.2256921263599</v>
      </c>
      <c r="C27">
        <v>5.1764705882352899</v>
      </c>
      <c r="E27">
        <f t="shared" si="8"/>
        <v>150131.07289081602</v>
      </c>
      <c r="F27" s="8">
        <f t="shared" si="9"/>
        <v>11.919264010792698</v>
      </c>
      <c r="G27" s="8">
        <f t="shared" si="10"/>
        <v>11.887578301156344</v>
      </c>
      <c r="H27" s="8">
        <f t="shared" si="11"/>
        <v>1.0039841951593703E-3</v>
      </c>
    </row>
    <row r="28" spans="2:20" x14ac:dyDescent="0.25">
      <c r="H28" s="8">
        <f>SUM(H22:H27)</f>
        <v>2.9795914331369406E-3</v>
      </c>
      <c r="T28" s="3"/>
    </row>
    <row r="29" spans="2:20" x14ac:dyDescent="0.25">
      <c r="B29" t="s">
        <v>4</v>
      </c>
      <c r="C29" t="s">
        <v>20</v>
      </c>
      <c r="E29" t="s">
        <v>10</v>
      </c>
      <c r="F29" s="8" t="s">
        <v>11</v>
      </c>
      <c r="G29" s="8" t="s">
        <v>12</v>
      </c>
      <c r="H29" s="8" t="s">
        <v>13</v>
      </c>
    </row>
    <row r="30" spans="2:20" x14ac:dyDescent="0.25">
      <c r="B30">
        <v>923.21868638165597</v>
      </c>
      <c r="C30">
        <v>1.4841628959276001</v>
      </c>
      <c r="E30">
        <f t="shared" ref="E30:E35" si="12">10^C30</f>
        <v>30.490384137929304</v>
      </c>
      <c r="F30" s="8">
        <f t="shared" ref="F30:F35" si="13">LN(E30)</f>
        <v>3.4174113597377653</v>
      </c>
      <c r="G30" s="8">
        <f t="shared" ref="G30:G35" si="14">$K$30+$K$31/B30+$K$32*LN(B30)+$K$33*B30</f>
        <v>3.4362268981233015</v>
      </c>
      <c r="H30" s="8">
        <f t="shared" ref="H30:H35" si="15">(G30-F30)^2</f>
        <v>3.540244847375854E-4</v>
      </c>
      <c r="J30" t="s">
        <v>14</v>
      </c>
      <c r="K30">
        <v>7.6518181765267403</v>
      </c>
    </row>
    <row r="31" spans="2:20" x14ac:dyDescent="0.25">
      <c r="B31">
        <v>973.30708239579894</v>
      </c>
      <c r="C31">
        <v>1.60180995475113</v>
      </c>
      <c r="E31">
        <f t="shared" si="12"/>
        <v>39.976977408259302</v>
      </c>
      <c r="F31" s="8">
        <f t="shared" si="13"/>
        <v>3.6883037236194189</v>
      </c>
      <c r="G31" s="8">
        <f t="shared" si="14"/>
        <v>3.6531699464228029</v>
      </c>
      <c r="H31" s="8">
        <f t="shared" si="15"/>
        <v>1.2343823001014567E-3</v>
      </c>
      <c r="J31" t="s">
        <v>15</v>
      </c>
      <c r="K31">
        <v>-3891.9126423695889</v>
      </c>
    </row>
    <row r="32" spans="2:20" x14ac:dyDescent="0.25">
      <c r="B32">
        <v>1023.21435930404</v>
      </c>
      <c r="C32">
        <v>1.6742081447963699</v>
      </c>
      <c r="E32">
        <f t="shared" si="12"/>
        <v>47.228934166444077</v>
      </c>
      <c r="F32" s="8">
        <f t="shared" si="13"/>
        <v>3.8550067167773383</v>
      </c>
      <c r="G32" s="8">
        <f t="shared" si="14"/>
        <v>3.8482040002980642</v>
      </c>
      <c r="H32" s="8">
        <f t="shared" si="15"/>
        <v>4.6276951497387501E-5</v>
      </c>
      <c r="J32" t="s">
        <v>16</v>
      </c>
    </row>
    <row r="33" spans="2:13" x14ac:dyDescent="0.25">
      <c r="B33">
        <v>1073.12184226359</v>
      </c>
      <c r="C33">
        <v>1.73755656108597</v>
      </c>
      <c r="E33">
        <f t="shared" si="12"/>
        <v>54.64577141043528</v>
      </c>
      <c r="F33" s="8">
        <f t="shared" si="13"/>
        <v>4.0008718357905533</v>
      </c>
      <c r="G33" s="8">
        <f t="shared" si="14"/>
        <v>4.0250979951909649</v>
      </c>
      <c r="H33" s="8">
        <f t="shared" si="15"/>
        <v>5.8690679929415224E-4</v>
      </c>
      <c r="J33" t="s">
        <v>17</v>
      </c>
    </row>
    <row r="34" spans="2:13" x14ac:dyDescent="0.25">
      <c r="B34">
        <v>1123.21126853431</v>
      </c>
      <c r="C34">
        <v>1.80995475113122</v>
      </c>
      <c r="E34">
        <f t="shared" si="12"/>
        <v>64.558696223112904</v>
      </c>
      <c r="F34" s="8">
        <f t="shared" si="13"/>
        <v>4.1675748289484957</v>
      </c>
      <c r="G34" s="8">
        <f t="shared" si="14"/>
        <v>4.1868309996724822</v>
      </c>
      <c r="H34" s="8">
        <f t="shared" si="15"/>
        <v>3.708001109513126E-4</v>
      </c>
    </row>
    <row r="35" spans="2:13" x14ac:dyDescent="0.25">
      <c r="B35">
        <v>1173.3004887537099</v>
      </c>
      <c r="C35">
        <v>1.89140271493212</v>
      </c>
      <c r="E35">
        <f t="shared" si="12"/>
        <v>77.875834757777838</v>
      </c>
      <c r="F35" s="8">
        <f t="shared" si="13"/>
        <v>4.3551156962511666</v>
      </c>
      <c r="G35" s="8">
        <f t="shared" si="14"/>
        <v>4.3347543214663773</v>
      </c>
      <c r="H35" s="8">
        <f t="shared" si="15"/>
        <v>4.1458558312665257E-4</v>
      </c>
    </row>
    <row r="36" spans="2:13" x14ac:dyDescent="0.25">
      <c r="H36" s="8">
        <f>SUM(H30:H35)</f>
        <v>3.0069762297085471E-3</v>
      </c>
      <c r="M36" s="5"/>
    </row>
    <row r="37" spans="2:13" x14ac:dyDescent="0.25">
      <c r="B37" t="s">
        <v>5</v>
      </c>
      <c r="C37" t="s">
        <v>21</v>
      </c>
      <c r="E37" t="s">
        <v>10</v>
      </c>
      <c r="F37" s="8" t="s">
        <v>11</v>
      </c>
      <c r="G37" s="8" t="s">
        <v>12</v>
      </c>
      <c r="H37" s="8" t="s">
        <v>13</v>
      </c>
      <c r="M37" s="5"/>
    </row>
    <row r="38" spans="2:13" x14ac:dyDescent="0.25">
      <c r="B38">
        <v>922.94154736295502</v>
      </c>
      <c r="C38">
        <v>5.6561085972850602</v>
      </c>
      <c r="E38">
        <f t="shared" ref="E38:E43" si="16">10^C38</f>
        <v>453010.84313725913</v>
      </c>
      <c r="F38" s="8">
        <f t="shared" ref="F38:F43" si="17">LN(E38)</f>
        <v>13.023671340464043</v>
      </c>
      <c r="G38" s="8">
        <f t="shared" ref="G38:G43" si="18">$K$38+$K$39/B38+$K$40*LN(B38)+$K$41*B38</f>
        <v>13.032450377846477</v>
      </c>
      <c r="H38" s="8">
        <f t="shared" ref="H38:H43" si="19">(G38-F38)^2</f>
        <v>7.7071497362168101E-5</v>
      </c>
      <c r="J38" t="s">
        <v>14</v>
      </c>
      <c r="K38">
        <v>41.682267650423597</v>
      </c>
      <c r="M38" s="5"/>
    </row>
    <row r="39" spans="2:13" x14ac:dyDescent="0.25">
      <c r="B39">
        <v>972.83563698703495</v>
      </c>
      <c r="C39">
        <v>6.3076923076923004</v>
      </c>
      <c r="E39">
        <f t="shared" si="16"/>
        <v>2030917.620904705</v>
      </c>
      <c r="F39" s="8">
        <f t="shared" si="17"/>
        <v>14.523998278885504</v>
      </c>
      <c r="G39" s="8">
        <f t="shared" si="18"/>
        <v>14.501821457979435</v>
      </c>
      <c r="H39" s="8">
        <f t="shared" si="19"/>
        <v>4.9181138549983375E-4</v>
      </c>
      <c r="J39" t="s">
        <v>15</v>
      </c>
      <c r="K39">
        <v>-26442.106685218245</v>
      </c>
      <c r="M39" s="5"/>
    </row>
    <row r="40" spans="2:13" x14ac:dyDescent="0.25">
      <c r="B40">
        <v>1023.09608584921</v>
      </c>
      <c r="C40">
        <v>6.8687782805429798</v>
      </c>
      <c r="E40">
        <f t="shared" si="16"/>
        <v>7392277.8228658428</v>
      </c>
      <c r="F40" s="8">
        <f t="shared" si="17"/>
        <v>15.81594647585954</v>
      </c>
      <c r="G40" s="8">
        <f t="shared" si="18"/>
        <v>15.837083555842437</v>
      </c>
      <c r="H40" s="8">
        <f t="shared" si="19"/>
        <v>4.4677615020335406E-4</v>
      </c>
      <c r="J40" t="s">
        <v>16</v>
      </c>
      <c r="K40" s="1"/>
      <c r="M40" s="5"/>
    </row>
    <row r="41" spans="2:13" x14ac:dyDescent="0.25">
      <c r="B41">
        <v>1073.1750035028699</v>
      </c>
      <c r="C41">
        <v>7.4027149321266901</v>
      </c>
      <c r="E41">
        <f t="shared" si="16"/>
        <v>25276383.276135061</v>
      </c>
      <c r="F41" s="8">
        <f t="shared" si="17"/>
        <v>17.045381050399346</v>
      </c>
      <c r="G41" s="8">
        <f t="shared" si="18"/>
        <v>17.043129952554608</v>
      </c>
      <c r="H41" s="8">
        <f t="shared" si="19"/>
        <v>5.0674415065834858E-6</v>
      </c>
      <c r="J41" t="s">
        <v>17</v>
      </c>
      <c r="K41" s="1"/>
      <c r="M41" s="5"/>
    </row>
    <row r="42" spans="2:13" x14ac:dyDescent="0.25">
      <c r="B42">
        <v>1122.8908587394601</v>
      </c>
      <c r="C42">
        <v>7.8823529411764701</v>
      </c>
      <c r="E42">
        <f t="shared" si="16"/>
        <v>76269858.590234488</v>
      </c>
      <c r="F42" s="8">
        <f t="shared" si="17"/>
        <v>18.149788380070714</v>
      </c>
      <c r="G42" s="8">
        <f t="shared" si="18"/>
        <v>18.134024756272918</v>
      </c>
      <c r="H42" s="8">
        <f t="shared" si="19"/>
        <v>2.4849183523842117E-4</v>
      </c>
      <c r="M42" s="5"/>
    </row>
    <row r="43" spans="2:13" x14ac:dyDescent="0.25">
      <c r="B43">
        <v>1172.97224900889</v>
      </c>
      <c r="C43">
        <v>8.3076923076922995</v>
      </c>
      <c r="E43">
        <f t="shared" si="16"/>
        <v>203091762.09047022</v>
      </c>
      <c r="F43" s="8">
        <f t="shared" si="17"/>
        <v>19.129168464873594</v>
      </c>
      <c r="G43" s="8">
        <f t="shared" si="18"/>
        <v>19.139443890048479</v>
      </c>
      <c r="H43" s="8">
        <f t="shared" si="19"/>
        <v>1.0558436252467185E-4</v>
      </c>
      <c r="M43" s="5"/>
    </row>
    <row r="44" spans="2:13" x14ac:dyDescent="0.25">
      <c r="H44" s="8">
        <f>SUM(H38:H43)</f>
        <v>1.3748026723350325E-3</v>
      </c>
    </row>
    <row r="45" spans="2:13" x14ac:dyDescent="0.25">
      <c r="B45" t="s">
        <v>6</v>
      </c>
      <c r="C45" t="s">
        <v>25</v>
      </c>
      <c r="E45" t="s">
        <v>10</v>
      </c>
      <c r="F45" s="8" t="s">
        <v>11</v>
      </c>
      <c r="G45" s="8" t="s">
        <v>12</v>
      </c>
      <c r="H45" s="8" t="s">
        <v>13</v>
      </c>
      <c r="M45" s="5"/>
    </row>
    <row r="46" spans="2:13" x14ac:dyDescent="0.25">
      <c r="B46">
        <v>922.73343553478503</v>
      </c>
      <c r="C46">
        <v>6.7963800904977303</v>
      </c>
      <c r="E46">
        <f t="shared" ref="E46:E51" si="20">10^C46</f>
        <v>6257200.776092113</v>
      </c>
      <c r="F46" s="8">
        <f t="shared" ref="F46:F51" si="21">LN(E46)</f>
        <v>15.649243482701598</v>
      </c>
      <c r="G46" s="8">
        <f t="shared" ref="G46:G51" si="22">$K$46+$K$47/B46+$K$48*LN(B46)+$K$49*B46</f>
        <v>15.677173018913052</v>
      </c>
      <c r="H46" s="8">
        <f t="shared" ref="H46:H51" si="23">(G46-F46)^2</f>
        <v>7.8005899298693251E-4</v>
      </c>
      <c r="J46" t="s">
        <v>14</v>
      </c>
      <c r="K46">
        <v>55.84036057292429</v>
      </c>
      <c r="M46" s="5"/>
    </row>
    <row r="47" spans="2:13" x14ac:dyDescent="0.25">
      <c r="B47">
        <v>973.16758565553096</v>
      </c>
      <c r="C47">
        <v>7.7285067873303097</v>
      </c>
      <c r="E47">
        <f t="shared" si="20"/>
        <v>53518851.78491538</v>
      </c>
      <c r="F47" s="8">
        <f t="shared" si="21"/>
        <v>17.795544519610075</v>
      </c>
      <c r="G47" s="8">
        <f t="shared" si="22"/>
        <v>17.758619483308209</v>
      </c>
      <c r="H47" s="8">
        <f t="shared" si="23"/>
        <v>1.3634583058941586E-3</v>
      </c>
      <c r="J47" t="s">
        <v>15</v>
      </c>
      <c r="K47">
        <v>-37059.916033740708</v>
      </c>
      <c r="M47" s="5"/>
    </row>
    <row r="48" spans="2:13" x14ac:dyDescent="0.25">
      <c r="B48">
        <v>1022.69428578493</v>
      </c>
      <c r="C48">
        <v>8.5158371040723893</v>
      </c>
      <c r="E48">
        <f t="shared" si="20"/>
        <v>327972253.63782883</v>
      </c>
      <c r="F48" s="8">
        <f t="shared" si="21"/>
        <v>19.60843957020267</v>
      </c>
      <c r="G48" s="8">
        <f t="shared" si="22"/>
        <v>19.602829427146169</v>
      </c>
      <c r="H48" s="8">
        <f t="shared" si="23"/>
        <v>3.1473705114403695E-5</v>
      </c>
      <c r="J48" t="s">
        <v>16</v>
      </c>
      <c r="M48" s="5"/>
    </row>
    <row r="49" spans="2:13" x14ac:dyDescent="0.25">
      <c r="B49">
        <v>1072.7686703096499</v>
      </c>
      <c r="C49">
        <v>9.2488687782805403</v>
      </c>
      <c r="E49">
        <f t="shared" si="20"/>
        <v>1773653491.9804208</v>
      </c>
      <c r="F49" s="8">
        <f t="shared" si="21"/>
        <v>21.296307375926826</v>
      </c>
      <c r="G49" s="8">
        <f t="shared" si="22"/>
        <v>21.294314384752589</v>
      </c>
      <c r="H49" s="8">
        <f t="shared" si="23"/>
        <v>3.9720138205879561E-6</v>
      </c>
      <c r="J49" t="s">
        <v>17</v>
      </c>
      <c r="M49" s="5"/>
    </row>
    <row r="50" spans="2:13" x14ac:dyDescent="0.25">
      <c r="B50">
        <v>1123.0268526073701</v>
      </c>
      <c r="C50">
        <v>9.9095022624434392</v>
      </c>
      <c r="E50">
        <f t="shared" si="20"/>
        <v>8118994784.8944817</v>
      </c>
      <c r="F50" s="8">
        <f t="shared" si="21"/>
        <v>22.817472188493035</v>
      </c>
      <c r="G50" s="8">
        <f t="shared" si="22"/>
        <v>22.840333950499875</v>
      </c>
      <c r="H50" s="8">
        <f t="shared" si="23"/>
        <v>5.2266016205741739E-4</v>
      </c>
      <c r="M50" s="5"/>
    </row>
    <row r="51" spans="2:13" x14ac:dyDescent="0.25">
      <c r="B51">
        <v>1173.10370974787</v>
      </c>
      <c r="C51">
        <v>10.5339366515837</v>
      </c>
      <c r="E51">
        <f t="shared" si="20"/>
        <v>34192956327.952744</v>
      </c>
      <c r="F51" s="8">
        <f t="shared" si="21"/>
        <v>24.255285504480241</v>
      </c>
      <c r="G51" s="8">
        <f t="shared" si="22"/>
        <v>24.249022376827515</v>
      </c>
      <c r="H51" s="8">
        <f t="shared" si="23"/>
        <v>3.9226767994344816E-5</v>
      </c>
      <c r="M51" s="5"/>
    </row>
    <row r="52" spans="2:13" x14ac:dyDescent="0.25">
      <c r="H52" s="8">
        <f>SUM(H46:H51)</f>
        <v>2.7408499478678446E-3</v>
      </c>
      <c r="M52" s="5"/>
    </row>
    <row r="53" spans="2:13" x14ac:dyDescent="0.25">
      <c r="B53" t="s">
        <v>7</v>
      </c>
      <c r="C53" t="s">
        <v>22</v>
      </c>
      <c r="E53" t="s">
        <v>10</v>
      </c>
      <c r="F53" s="8" t="s">
        <v>11</v>
      </c>
      <c r="G53" s="8" t="s">
        <v>12</v>
      </c>
      <c r="H53" s="8" t="s">
        <v>13</v>
      </c>
    </row>
    <row r="54" spans="2:13" x14ac:dyDescent="0.25">
      <c r="B54">
        <v>922.95555885237604</v>
      </c>
      <c r="C54">
        <v>5.0407239819004497</v>
      </c>
      <c r="E54">
        <f t="shared" ref="E54:E59" si="24">10^C54</f>
        <v>109830.75825127383</v>
      </c>
      <c r="F54" s="8">
        <f t="shared" ref="F54:F59" si="25">LN(E54)</f>
        <v>11.606695898621565</v>
      </c>
      <c r="G54" s="8">
        <f t="shared" ref="G54:G59" si="26">$K$54+$K$55/B54+$K$56*LN(B54)+$K$57*B54</f>
        <v>11.624524290352696</v>
      </c>
      <c r="H54" s="8">
        <f t="shared" ref="H54:H59" si="27">(G54-F54)^2</f>
        <v>3.1785155171865385E-4</v>
      </c>
      <c r="J54" t="s">
        <v>14</v>
      </c>
      <c r="K54">
        <v>28.497309029650552</v>
      </c>
    </row>
    <row r="55" spans="2:13" x14ac:dyDescent="0.25">
      <c r="B55">
        <v>973.03777332706898</v>
      </c>
      <c r="C55">
        <v>5.4298642533936601</v>
      </c>
      <c r="E55">
        <f t="shared" si="24"/>
        <v>269069.36474405788</v>
      </c>
      <c r="F55" s="8">
        <f t="shared" si="25"/>
        <v>12.502724486845487</v>
      </c>
      <c r="G55" s="8">
        <f t="shared" si="26"/>
        <v>12.492965832153768</v>
      </c>
      <c r="H55" s="8">
        <f t="shared" si="27"/>
        <v>9.5231341392213446E-5</v>
      </c>
      <c r="J55" t="s">
        <v>15</v>
      </c>
      <c r="K55">
        <v>-15572.830468454495</v>
      </c>
    </row>
    <row r="56" spans="2:13" x14ac:dyDescent="0.25">
      <c r="B56">
        <v>1022.93886869586</v>
      </c>
      <c r="C56">
        <v>5.7737556561085901</v>
      </c>
      <c r="E56">
        <f t="shared" si="24"/>
        <v>593957.89045721781</v>
      </c>
      <c r="F56" s="8">
        <f t="shared" si="25"/>
        <v>13.294563704345697</v>
      </c>
      <c r="G56" s="8">
        <f t="shared" si="26"/>
        <v>13.27369113319871</v>
      </c>
      <c r="H56" s="8">
        <f t="shared" si="27"/>
        <v>4.3566422628600805E-4</v>
      </c>
      <c r="J56" t="s">
        <v>16</v>
      </c>
    </row>
    <row r="57" spans="2:13" x14ac:dyDescent="0.25">
      <c r="B57">
        <v>1073.0231436837</v>
      </c>
      <c r="C57">
        <v>6.0723981900452397</v>
      </c>
      <c r="E57">
        <f t="shared" si="24"/>
        <v>1181403.3283238311</v>
      </c>
      <c r="F57" s="8">
        <f t="shared" si="25"/>
        <v>13.982213551122195</v>
      </c>
      <c r="G57" s="8">
        <f t="shared" si="26"/>
        <v>13.984266547647042</v>
      </c>
      <c r="H57" s="8">
        <f t="shared" si="27"/>
        <v>4.2147947310357985E-6</v>
      </c>
      <c r="J57" t="s">
        <v>17</v>
      </c>
    </row>
    <row r="58" spans="2:13" x14ac:dyDescent="0.25">
      <c r="B58">
        <v>1122.92568141169</v>
      </c>
      <c r="C58">
        <v>6.3529411764705799</v>
      </c>
      <c r="E58">
        <f t="shared" si="24"/>
        <v>2253933.9047347498</v>
      </c>
      <c r="F58" s="8">
        <f t="shared" si="25"/>
        <v>14.628187649609213</v>
      </c>
      <c r="G58" s="8">
        <f t="shared" si="26"/>
        <v>14.62922254250471</v>
      </c>
      <c r="H58" s="8">
        <f t="shared" si="27"/>
        <v>1.0710033051498598E-6</v>
      </c>
    </row>
    <row r="59" spans="2:13" x14ac:dyDescent="0.25">
      <c r="B59">
        <v>1173.0109866561099</v>
      </c>
      <c r="C59">
        <v>6.60633484162895</v>
      </c>
      <c r="E59">
        <f t="shared" si="24"/>
        <v>4039567.2411075686</v>
      </c>
      <c r="F59" s="8">
        <f t="shared" si="25"/>
        <v>15.211648125662002</v>
      </c>
      <c r="G59" s="8">
        <f t="shared" si="26"/>
        <v>15.22136307039931</v>
      </c>
      <c r="H59" s="8">
        <f t="shared" si="27"/>
        <v>9.4380151248942923E-5</v>
      </c>
    </row>
    <row r="60" spans="2:13" x14ac:dyDescent="0.25">
      <c r="H60" s="8">
        <f>SUM(H54:H59)</f>
        <v>9.4841306868200382E-4</v>
      </c>
    </row>
    <row r="61" spans="2:13" x14ac:dyDescent="0.25">
      <c r="B61" t="s">
        <v>8</v>
      </c>
      <c r="C61" t="s">
        <v>23</v>
      </c>
      <c r="E61" t="s">
        <v>10</v>
      </c>
      <c r="F61" s="8" t="s">
        <v>11</v>
      </c>
      <c r="G61" s="8" t="s">
        <v>12</v>
      </c>
      <c r="H61" s="8" t="s">
        <v>13</v>
      </c>
    </row>
    <row r="62" spans="2:13" x14ac:dyDescent="0.25">
      <c r="B62">
        <v>922.99882962852996</v>
      </c>
      <c r="C62">
        <v>3.1402714932126599</v>
      </c>
      <c r="E62">
        <f t="shared" ref="E62:E67" si="28">10^C62</f>
        <v>1381.2474625902241</v>
      </c>
      <c r="F62" s="8">
        <f t="shared" ref="F62:F67" si="29">LN(E62)</f>
        <v>7.2307423282256238</v>
      </c>
      <c r="G62" s="8">
        <f t="shared" ref="G62:G67" si="30">$K$62+$K$63/B62+$K$64*LN(B62)+$K$65*B62</f>
        <v>7.2595569186253179</v>
      </c>
      <c r="H62" s="8">
        <f t="shared" ref="H62:H67" si="31">(G62-F62)^2</f>
        <v>8.3028061990214565E-4</v>
      </c>
      <c r="J62" t="s">
        <v>14</v>
      </c>
      <c r="K62">
        <v>28.11654022153504</v>
      </c>
    </row>
    <row r="63" spans="2:13" x14ac:dyDescent="0.25">
      <c r="B63">
        <v>972.89662817628096</v>
      </c>
      <c r="C63">
        <v>3.6289592760181</v>
      </c>
      <c r="E63">
        <f t="shared" si="28"/>
        <v>4255.5850645704568</v>
      </c>
      <c r="F63" s="8">
        <f t="shared" si="29"/>
        <v>8.3559875320417429</v>
      </c>
      <c r="G63" s="8">
        <f t="shared" si="30"/>
        <v>8.3292672259919378</v>
      </c>
      <c r="H63" s="8">
        <f t="shared" si="31"/>
        <v>7.1397475539525268E-4</v>
      </c>
      <c r="J63" t="s">
        <v>15</v>
      </c>
      <c r="K63">
        <v>-19250.971178167463</v>
      </c>
    </row>
    <row r="64" spans="2:13" x14ac:dyDescent="0.25">
      <c r="B64">
        <v>1022.7960751345501</v>
      </c>
      <c r="C64">
        <v>4.0452488687782697</v>
      </c>
      <c r="E64">
        <f t="shared" si="28"/>
        <v>11098.106006538328</v>
      </c>
      <c r="F64" s="8">
        <f t="shared" si="29"/>
        <v>9.3145297426998717</v>
      </c>
      <c r="G64" s="8">
        <f t="shared" si="30"/>
        <v>9.2946346176882777</v>
      </c>
      <c r="H64" s="8">
        <f t="shared" si="31"/>
        <v>3.9581599922695161E-4</v>
      </c>
      <c r="J64" t="s">
        <v>16</v>
      </c>
    </row>
    <row r="65" spans="2:10" x14ac:dyDescent="0.25">
      <c r="B65">
        <v>1073.24300043682</v>
      </c>
      <c r="C65">
        <v>4.4162895927601804</v>
      </c>
      <c r="E65">
        <f t="shared" si="28"/>
        <v>26078.919439150759</v>
      </c>
      <c r="F65" s="8">
        <f t="shared" si="29"/>
        <v>10.168882582634337</v>
      </c>
      <c r="G65" s="8">
        <f t="shared" si="30"/>
        <v>10.179343174517602</v>
      </c>
      <c r="H65" s="8">
        <f t="shared" si="31"/>
        <v>1.0942398254821525E-4</v>
      </c>
      <c r="J65" t="s">
        <v>17</v>
      </c>
    </row>
    <row r="66" spans="2:10" x14ac:dyDescent="0.25">
      <c r="B66">
        <v>1122.9617403918201</v>
      </c>
      <c r="C66">
        <v>4.7692307692307603</v>
      </c>
      <c r="E66">
        <f t="shared" si="28"/>
        <v>58780.160722747962</v>
      </c>
      <c r="F66" s="8">
        <f t="shared" si="29"/>
        <v>10.981559674279275</v>
      </c>
      <c r="G66" s="8">
        <f t="shared" si="30"/>
        <v>10.973506326675469</v>
      </c>
      <c r="H66" s="8">
        <f t="shared" si="31"/>
        <v>6.4856407627721484E-5</v>
      </c>
    </row>
    <row r="67" spans="2:10" x14ac:dyDescent="0.25">
      <c r="B67">
        <v>1173.0458093283501</v>
      </c>
      <c r="C67">
        <v>5.0769230769230704</v>
      </c>
      <c r="E67">
        <f t="shared" si="28"/>
        <v>119377.66417144207</v>
      </c>
      <c r="F67" s="8">
        <f t="shared" si="29"/>
        <v>11.690047395200526</v>
      </c>
      <c r="G67" s="8">
        <f t="shared" si="30"/>
        <v>11.705440991582567</v>
      </c>
      <c r="H67" s="8">
        <f t="shared" si="31"/>
        <v>2.3696280957316072E-4</v>
      </c>
    </row>
    <row r="68" spans="2:10" x14ac:dyDescent="0.25">
      <c r="H68" s="8">
        <f>SUM(H62:H67)</f>
        <v>2.3513145742734467E-3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D13" sqref="D13"/>
    </sheetView>
  </sheetViews>
  <sheetFormatPr defaultRowHeight="15" x14ac:dyDescent="0.25"/>
  <cols>
    <col min="1" max="1" width="12.42578125" customWidth="1"/>
  </cols>
  <sheetData>
    <row r="1" spans="1:15" x14ac:dyDescent="0.25">
      <c r="A1" s="9" t="s">
        <v>41</v>
      </c>
      <c r="B1" s="9"/>
      <c r="C1" s="9"/>
      <c r="D1" s="9"/>
      <c r="E1" s="9"/>
      <c r="F1" s="10"/>
      <c r="G1" s="10"/>
      <c r="H1" s="10"/>
      <c r="I1" s="9"/>
      <c r="J1" s="9"/>
      <c r="K1" s="9"/>
      <c r="L1" s="9"/>
      <c r="M1" s="9"/>
      <c r="N1" s="9"/>
      <c r="O1" s="9"/>
    </row>
    <row r="2" spans="1:15" x14ac:dyDescent="0.25">
      <c r="E2" s="8"/>
      <c r="F2" s="8"/>
      <c r="G2" s="8"/>
    </row>
    <row r="3" spans="1:15" x14ac:dyDescent="0.25">
      <c r="A3" t="s">
        <v>40</v>
      </c>
      <c r="E3" s="8"/>
      <c r="F3" s="8"/>
      <c r="G3" s="8"/>
    </row>
    <row r="4" spans="1:15" x14ac:dyDescent="0.25">
      <c r="A4" t="s">
        <v>48</v>
      </c>
      <c r="B4" s="8" t="s">
        <v>39</v>
      </c>
      <c r="C4" s="8" t="s">
        <v>37</v>
      </c>
      <c r="E4" s="8" t="s">
        <v>11</v>
      </c>
      <c r="F4" s="8" t="s">
        <v>12</v>
      </c>
      <c r="G4" s="8" t="s">
        <v>13</v>
      </c>
    </row>
    <row r="5" spans="1:15" x14ac:dyDescent="0.25">
      <c r="A5" s="8">
        <v>23.102867642166501</v>
      </c>
      <c r="B5" s="8">
        <f t="shared" ref="B5:B11" si="0">A5+273.15</f>
        <v>296.25286764216651</v>
      </c>
      <c r="C5" s="8">
        <v>219.070187201127</v>
      </c>
      <c r="E5" s="8">
        <f t="shared" ref="E5:E11" si="1">-C5*1000/8.314/B5</f>
        <v>-88.942779314849062</v>
      </c>
      <c r="F5" s="8">
        <f>$J$5+$J$6/B5+$J$7*LN(B5)+$J$8*B5</f>
        <v>-86.212728960626265</v>
      </c>
      <c r="G5" s="8">
        <f t="shared" ref="G5:G11" si="2">((F5-E5)/E5)^2</f>
        <v>9.4214971749997716E-4</v>
      </c>
      <c r="I5" t="s">
        <v>14</v>
      </c>
      <c r="J5">
        <v>36.52848111430383</v>
      </c>
    </row>
    <row r="6" spans="1:15" x14ac:dyDescent="0.25">
      <c r="A6" s="8">
        <v>497.94305660049002</v>
      </c>
      <c r="B6" s="8">
        <f t="shared" si="0"/>
        <v>771.09305660048994</v>
      </c>
      <c r="C6" s="8">
        <v>66.856034434224995</v>
      </c>
      <c r="E6" s="8">
        <f t="shared" si="1"/>
        <v>-10.428546937602928</v>
      </c>
      <c r="F6" s="8">
        <f>$J$5+$J$6/B6+$J$7*LN(B6)+$J$8*B6</f>
        <v>-10.628519135287725</v>
      </c>
      <c r="G6" s="8">
        <f t="shared" si="2"/>
        <v>3.6769831410974816E-4</v>
      </c>
      <c r="I6" t="s">
        <v>15</v>
      </c>
      <c r="J6">
        <v>-36362.435462567621</v>
      </c>
    </row>
    <row r="7" spans="1:15" x14ac:dyDescent="0.25">
      <c r="A7" s="8">
        <v>699.17241167529005</v>
      </c>
      <c r="B7" s="8">
        <f t="shared" si="0"/>
        <v>972.32241167529003</v>
      </c>
      <c r="C7" s="8">
        <v>6.9202829939210897</v>
      </c>
      <c r="E7" s="8">
        <f t="shared" si="1"/>
        <v>-0.85605868607257174</v>
      </c>
      <c r="F7" s="8">
        <f>$J$5+$J$6/B7+$J$7*LN(B7)+$J$8*B7</f>
        <v>-0.8690271874085056</v>
      </c>
      <c r="G7" s="8">
        <f t="shared" si="2"/>
        <v>2.2949461833152409E-4</v>
      </c>
      <c r="I7" t="s">
        <v>16</v>
      </c>
      <c r="J7">
        <v>0</v>
      </c>
    </row>
    <row r="8" spans="1:15" x14ac:dyDescent="0.25">
      <c r="A8" s="8">
        <v>796.25563625010795</v>
      </c>
      <c r="B8" s="8">
        <f t="shared" si="0"/>
        <v>1069.4056362501078</v>
      </c>
      <c r="C8" s="8">
        <v>-20.734235133351099</v>
      </c>
      <c r="E8" s="8">
        <f t="shared" si="1"/>
        <v>2.3320375035084737</v>
      </c>
      <c r="F8" s="8">
        <f>$J$5+$J$6/B8+$J$7*LN(B8)+$J$8*B8</f>
        <v>2.5260088718035689</v>
      </c>
      <c r="G8" s="8">
        <f t="shared" si="2"/>
        <v>6.9183765823672243E-3</v>
      </c>
      <c r="I8" t="s">
        <v>17</v>
      </c>
      <c r="J8">
        <v>0</v>
      </c>
    </row>
    <row r="9" spans="1:15" x14ac:dyDescent="0.25">
      <c r="A9" s="8">
        <v>896.87645544483496</v>
      </c>
      <c r="B9" s="8">
        <f t="shared" si="0"/>
        <v>1170.0264554448349</v>
      </c>
      <c r="C9" s="8">
        <v>-57.662655823229898</v>
      </c>
      <c r="E9" s="8">
        <f t="shared" si="1"/>
        <v>5.9277371721953704</v>
      </c>
      <c r="F9" s="8">
        <f>$J$5+$J$6/B9+$J$7*LN(B9)+$J$8*B9</f>
        <v>5.4501791721969681</v>
      </c>
      <c r="G9" s="8">
        <f t="shared" si="2"/>
        <v>6.4904434550936037E-3</v>
      </c>
    </row>
    <row r="10" spans="1:15" x14ac:dyDescent="0.25">
      <c r="A10" s="8">
        <v>995.72438289138995</v>
      </c>
      <c r="B10" s="8">
        <f t="shared" si="0"/>
        <v>1268.8743828913898</v>
      </c>
      <c r="C10" s="8">
        <v>-85.313761918654095</v>
      </c>
      <c r="E10" s="8">
        <f t="shared" si="1"/>
        <v>8.0870558592611985</v>
      </c>
      <c r="F10" s="8">
        <f>$J$5+$J$6/B10+$J$7*LN(B10)+$J$8*B10</f>
        <v>7.8712428936784171</v>
      </c>
      <c r="G10" s="8">
        <f t="shared" si="2"/>
        <v>7.121544287684153E-4</v>
      </c>
    </row>
    <row r="11" spans="1:15" x14ac:dyDescent="0.25">
      <c r="A11" s="8">
        <v>1195.18698787534</v>
      </c>
      <c r="B11" s="8">
        <f t="shared" si="0"/>
        <v>1468.3369878753401</v>
      </c>
      <c r="C11" s="8">
        <v>-142.93274373423</v>
      </c>
      <c r="E11" s="8">
        <f t="shared" si="1"/>
        <v>11.708357413280545</v>
      </c>
      <c r="F11" s="8">
        <f>$J$5+$J$6/B11+$J$7*LN(B11)+$J$8*B11</f>
        <v>11.764114512612839</v>
      </c>
      <c r="G11" s="8">
        <f t="shared" si="2"/>
        <v>2.2678190636939203E-5</v>
      </c>
    </row>
    <row r="12" spans="1:15" x14ac:dyDescent="0.25">
      <c r="E12" s="8"/>
      <c r="F12" s="8"/>
      <c r="G12" s="8"/>
    </row>
    <row r="13" spans="1:15" x14ac:dyDescent="0.25">
      <c r="E13" s="8"/>
      <c r="F13" s="8"/>
      <c r="G13" s="8">
        <f>SUM(G5:G11)</f>
        <v>1.5682995306807432E-2</v>
      </c>
    </row>
    <row r="14" spans="1:15" x14ac:dyDescent="0.25">
      <c r="E14" s="8"/>
      <c r="F14" s="8"/>
      <c r="G14" s="8"/>
    </row>
    <row r="15" spans="1:15" x14ac:dyDescent="0.25">
      <c r="A15" t="s">
        <v>38</v>
      </c>
      <c r="E15" s="8"/>
      <c r="F15" s="8"/>
      <c r="G15" s="8"/>
    </row>
    <row r="16" spans="1:15" x14ac:dyDescent="0.25">
      <c r="A16" t="s">
        <v>48</v>
      </c>
      <c r="B16" t="s">
        <v>39</v>
      </c>
      <c r="C16" s="8" t="s">
        <v>37</v>
      </c>
      <c r="E16" s="8" t="s">
        <v>11</v>
      </c>
      <c r="F16" s="8" t="s">
        <v>12</v>
      </c>
      <c r="G16" s="8" t="s">
        <v>13</v>
      </c>
    </row>
    <row r="17" spans="1:14" x14ac:dyDescent="0.25">
      <c r="A17" s="8">
        <v>24.630359267474599</v>
      </c>
      <c r="B17">
        <f t="shared" ref="B17:B23" si="3">A17+273.15</f>
        <v>297.78035926747458</v>
      </c>
      <c r="C17" s="8">
        <v>182.275181307807</v>
      </c>
      <c r="E17" s="8">
        <f t="shared" ref="E17:E23" si="4">-C17*1000/8.314/B17</f>
        <v>-73.624349250112346</v>
      </c>
      <c r="F17" s="8">
        <f>$J$17+$J$18/B17+$J$19*LN(B17)+$J$20*B17</f>
        <v>-72.292294212751884</v>
      </c>
      <c r="G17" s="8">
        <f t="shared" ref="G17:G23" si="5">((F17-E17)/E17)^2</f>
        <v>3.2734175017577619E-4</v>
      </c>
      <c r="I17" t="s">
        <v>14</v>
      </c>
      <c r="J17">
        <v>30.856804381883794</v>
      </c>
    </row>
    <row r="18" spans="1:14" x14ac:dyDescent="0.25">
      <c r="A18" s="8">
        <v>498.394686022109</v>
      </c>
      <c r="B18">
        <f t="shared" si="3"/>
        <v>771.54468602210898</v>
      </c>
      <c r="C18" s="8">
        <v>55.603851159193603</v>
      </c>
      <c r="E18" s="8">
        <f t="shared" si="4"/>
        <v>-8.6682966907874341</v>
      </c>
      <c r="F18" s="8">
        <f>$J$17+$J$18/B18+$J$19*LN(B18)+$J$20*B18</f>
        <v>-8.9539495434521577</v>
      </c>
      <c r="G18" s="8">
        <f t="shared" si="5"/>
        <v>1.0859494154552263E-3</v>
      </c>
      <c r="I18" t="s">
        <v>15</v>
      </c>
      <c r="J18">
        <v>-30715.775637626768</v>
      </c>
    </row>
    <row r="19" spans="1:14" x14ac:dyDescent="0.25">
      <c r="A19" s="8">
        <v>698.98419797078702</v>
      </c>
      <c r="B19">
        <f t="shared" si="3"/>
        <v>972.134197970787</v>
      </c>
      <c r="C19" s="8">
        <v>5.9596907752734802</v>
      </c>
      <c r="E19" s="8">
        <f t="shared" si="4"/>
        <v>-0.7373734312452157</v>
      </c>
      <c r="F19" s="8">
        <f>$J$17+$J$18/B19+$J$19*LN(B19)+$J$20*B19</f>
        <v>-0.73942554371932445</v>
      </c>
      <c r="G19" s="8">
        <f t="shared" si="5"/>
        <v>7.7451057193938151E-6</v>
      </c>
      <c r="I19" t="s">
        <v>16</v>
      </c>
      <c r="J19">
        <v>0</v>
      </c>
    </row>
    <row r="20" spans="1:14" x14ac:dyDescent="0.25">
      <c r="A20" s="8">
        <v>798.32353802830301</v>
      </c>
      <c r="B20">
        <f t="shared" si="3"/>
        <v>1071.473538028303</v>
      </c>
      <c r="C20" s="8">
        <v>-18.864382357689401</v>
      </c>
      <c r="E20" s="8">
        <f t="shared" si="4"/>
        <v>2.1176350689517673</v>
      </c>
      <c r="F20" s="8">
        <f>$J$17+$J$18/B20+$J$19*LN(B20)+$J$20*B20</f>
        <v>2.1899502343244244</v>
      </c>
      <c r="G20" s="8">
        <f t="shared" si="5"/>
        <v>1.1661556653394852E-3</v>
      </c>
      <c r="I20" t="s">
        <v>17</v>
      </c>
      <c r="J20">
        <v>0</v>
      </c>
    </row>
    <row r="21" spans="1:14" x14ac:dyDescent="0.25">
      <c r="A21" s="8">
        <v>899.57131839026101</v>
      </c>
      <c r="B21">
        <f t="shared" si="3"/>
        <v>1172.7213183902609</v>
      </c>
      <c r="C21" s="8">
        <v>-46.187603508373797</v>
      </c>
      <c r="E21" s="8">
        <f t="shared" si="4"/>
        <v>4.7371876541285207</v>
      </c>
      <c r="F21" s="8">
        <f>$J$17+$J$18/B21+$J$19*LN(B21)+$J$20*B21</f>
        <v>4.6649247290188995</v>
      </c>
      <c r="G21" s="8">
        <f t="shared" si="5"/>
        <v>2.3269652459629927E-4</v>
      </c>
    </row>
    <row r="22" spans="1:14" x14ac:dyDescent="0.25">
      <c r="A22" s="8">
        <v>998.90826691857399</v>
      </c>
      <c r="B22">
        <f t="shared" si="3"/>
        <v>1272.058266918574</v>
      </c>
      <c r="C22" s="8">
        <v>-73.514810541064094</v>
      </c>
      <c r="E22" s="8">
        <f t="shared" si="4"/>
        <v>6.9511685202525859</v>
      </c>
      <c r="F22" s="8">
        <f>$J$17+$J$18/B22+$J$19*LN(B22)+$J$20*B22</f>
        <v>6.7102881125996277</v>
      </c>
      <c r="G22" s="8">
        <f t="shared" si="5"/>
        <v>1.2008460119511076E-3</v>
      </c>
    </row>
    <row r="23" spans="1:14" x14ac:dyDescent="0.25">
      <c r="A23" s="8">
        <v>1199.49777886725</v>
      </c>
      <c r="B23">
        <f t="shared" si="3"/>
        <v>1472.6477788672501</v>
      </c>
      <c r="C23" s="8">
        <v>-123.158970924984</v>
      </c>
      <c r="E23" s="8">
        <f t="shared" si="4"/>
        <v>10.059054115287067</v>
      </c>
      <c r="F23" s="8">
        <f>$J$17+$J$18/B23+$J$19*LN(B23)+$J$20*B23</f>
        <v>9.9992876841347105</v>
      </c>
      <c r="G23" s="8">
        <f t="shared" si="5"/>
        <v>3.5302085125055295E-5</v>
      </c>
    </row>
    <row r="24" spans="1:14" x14ac:dyDescent="0.25">
      <c r="E24" s="8"/>
      <c r="F24" s="8"/>
      <c r="G24" s="8"/>
    </row>
    <row r="25" spans="1:14" x14ac:dyDescent="0.25">
      <c r="E25" s="8"/>
      <c r="F25" s="8"/>
      <c r="G25" s="8">
        <f>SUM(G17:G23)</f>
        <v>4.0560365583623441E-3</v>
      </c>
    </row>
    <row r="26" spans="1:14" x14ac:dyDescent="0.25">
      <c r="A26" t="s">
        <v>49</v>
      </c>
    </row>
    <row r="27" spans="1:14" x14ac:dyDescent="0.25">
      <c r="A27" t="s">
        <v>50</v>
      </c>
    </row>
    <row r="28" spans="1:14" x14ac:dyDescent="0.25">
      <c r="B28" t="s">
        <v>39</v>
      </c>
      <c r="C28" t="s">
        <v>43</v>
      </c>
      <c r="D28" t="s">
        <v>44</v>
      </c>
      <c r="E28" t="s">
        <v>45</v>
      </c>
      <c r="G28" t="s">
        <v>10</v>
      </c>
      <c r="H28" t="s">
        <v>46</v>
      </c>
      <c r="I28" t="s">
        <v>47</v>
      </c>
      <c r="J28" t="s">
        <v>13</v>
      </c>
    </row>
    <row r="29" spans="1:14" x14ac:dyDescent="0.25">
      <c r="A29">
        <v>599.24433097337601</v>
      </c>
      <c r="B29">
        <f>A29+273.15</f>
        <v>872.39433097337599</v>
      </c>
      <c r="C29">
        <v>2.3633564650591299</v>
      </c>
      <c r="D29">
        <v>0.91858040245397399</v>
      </c>
      <c r="E29">
        <v>1.4239773521105299</v>
      </c>
      <c r="F29">
        <f>C29+D29+E29*3</f>
        <v>7.5538689238446937</v>
      </c>
      <c r="G29">
        <f>(C29)^4/E29/D29</f>
        <v>23.850454919514313</v>
      </c>
      <c r="H29">
        <f>LN(G29)</f>
        <v>3.1718032913459124</v>
      </c>
      <c r="I29">
        <f t="shared" ref="I29:I37" si="6">$N$29+$N$30/B29</f>
        <v>3.0305882874228329</v>
      </c>
      <c r="J29">
        <f>(H29-I29)^2</f>
        <v>1.9941677332995362E-2</v>
      </c>
      <c r="M29" t="s">
        <v>14</v>
      </c>
      <c r="N29">
        <v>8.2726525159006368</v>
      </c>
    </row>
    <row r="30" spans="1:14" x14ac:dyDescent="0.25">
      <c r="A30">
        <v>700.98200759290398</v>
      </c>
      <c r="B30">
        <f t="shared" ref="B30:B37" si="7">A30+273.15</f>
        <v>974.13200759290396</v>
      </c>
      <c r="C30">
        <v>2.8193124087710202</v>
      </c>
      <c r="D30">
        <v>1.9403611919770101</v>
      </c>
      <c r="E30">
        <v>0.935060737768862</v>
      </c>
      <c r="F30">
        <f t="shared" ref="F30:F37" si="8">C30+D30+E30*3</f>
        <v>7.5648558140546163</v>
      </c>
      <c r="G30">
        <f t="shared" ref="G30:G37" si="9">(C30)^4/E30/D30</f>
        <v>34.821735272715507</v>
      </c>
      <c r="H30">
        <f t="shared" ref="H30:H37" si="10">LN(G30)</f>
        <v>3.5502417686156846</v>
      </c>
      <c r="I30">
        <f t="shared" si="6"/>
        <v>3.5780658686322848</v>
      </c>
      <c r="J30">
        <f t="shared" ref="J30:J37" si="11">(H30-I30)^2</f>
        <v>7.7418054173377033E-4</v>
      </c>
      <c r="M30" t="s">
        <v>15</v>
      </c>
      <c r="N30">
        <v>-4573.1471155223599</v>
      </c>
    </row>
    <row r="31" spans="1:14" x14ac:dyDescent="0.25">
      <c r="A31">
        <v>800.64340509774797</v>
      </c>
      <c r="B31">
        <f t="shared" si="7"/>
        <v>1073.7934050977478</v>
      </c>
      <c r="C31">
        <v>3.0720108835993001</v>
      </c>
      <c r="D31">
        <v>2.3743433552690498</v>
      </c>
      <c r="E31">
        <v>0.71532293357035803</v>
      </c>
      <c r="F31">
        <f t="shared" si="8"/>
        <v>7.5923230395794246</v>
      </c>
      <c r="G31">
        <f t="shared" si="9"/>
        <v>52.437904498485665</v>
      </c>
      <c r="H31">
        <f t="shared" si="10"/>
        <v>3.9596296981139667</v>
      </c>
      <c r="I31">
        <f t="shared" si="6"/>
        <v>4.0137819605296396</v>
      </c>
      <c r="J31">
        <f t="shared" si="11"/>
        <v>2.9324675247359047E-3</v>
      </c>
      <c r="M31" t="s">
        <v>16</v>
      </c>
      <c r="N31">
        <v>0</v>
      </c>
    </row>
    <row r="32" spans="1:14" x14ac:dyDescent="0.25">
      <c r="A32">
        <v>900.30480260259105</v>
      </c>
      <c r="B32">
        <f t="shared" si="7"/>
        <v>1173.4548026025909</v>
      </c>
      <c r="C32">
        <v>3.2587880171680301</v>
      </c>
      <c r="D32">
        <v>2.5391467084179302</v>
      </c>
      <c r="E32">
        <v>0.59446714126118105</v>
      </c>
      <c r="F32">
        <f t="shared" si="8"/>
        <v>7.5813361493695037</v>
      </c>
      <c r="G32">
        <f t="shared" si="9"/>
        <v>74.715170865648176</v>
      </c>
      <c r="H32">
        <f t="shared" si="10"/>
        <v>4.3136831620895997</v>
      </c>
      <c r="I32">
        <f t="shared" si="6"/>
        <v>4.3754874053402357</v>
      </c>
      <c r="J32">
        <f t="shared" si="11"/>
        <v>3.8197644837837915E-3</v>
      </c>
      <c r="M32" t="s">
        <v>17</v>
      </c>
      <c r="N32">
        <v>0</v>
      </c>
    </row>
    <row r="33" spans="1:14" x14ac:dyDescent="0.25">
      <c r="A33">
        <v>998.92806055009305</v>
      </c>
      <c r="B33">
        <f t="shared" si="7"/>
        <v>1272.0780605500931</v>
      </c>
      <c r="C33">
        <v>3.3961241447921</v>
      </c>
      <c r="D33">
        <v>2.65450905562215</v>
      </c>
      <c r="E33">
        <v>0.50657201958178</v>
      </c>
      <c r="F33">
        <f t="shared" si="8"/>
        <v>7.57034925915959</v>
      </c>
      <c r="G33">
        <f t="shared" si="9"/>
        <v>98.925629049864412</v>
      </c>
      <c r="H33">
        <f t="shared" si="10"/>
        <v>4.5943683461076201</v>
      </c>
      <c r="I33">
        <f t="shared" si="6"/>
        <v>4.6776316934011408</v>
      </c>
      <c r="J33">
        <f t="shared" si="11"/>
        <v>6.93278500252144E-3</v>
      </c>
    </row>
    <row r="34" spans="1:14" x14ac:dyDescent="0.25">
      <c r="A34">
        <v>1104.8182953989799</v>
      </c>
      <c r="B34">
        <f t="shared" si="7"/>
        <v>1377.96829539898</v>
      </c>
      <c r="C34">
        <v>3.5334602724161601</v>
      </c>
      <c r="D34">
        <v>2.73691073219659</v>
      </c>
      <c r="E34">
        <v>0.44065067832222898</v>
      </c>
      <c r="F34">
        <f t="shared" si="8"/>
        <v>7.592323039579437</v>
      </c>
      <c r="G34">
        <f t="shared" si="9"/>
        <v>129.2545308342273</v>
      </c>
      <c r="H34">
        <f t="shared" si="10"/>
        <v>4.8617835675844026</v>
      </c>
      <c r="I34">
        <f t="shared" si="6"/>
        <v>4.9538917499294275</v>
      </c>
      <c r="J34">
        <f t="shared" si="11"/>
        <v>8.4839172549043638E-3</v>
      </c>
    </row>
    <row r="35" spans="1:14" x14ac:dyDescent="0.25">
      <c r="A35">
        <v>1201.3652742318</v>
      </c>
      <c r="B35">
        <f t="shared" si="7"/>
        <v>1474.5152742318</v>
      </c>
      <c r="C35">
        <v>3.6378357294104502</v>
      </c>
      <c r="D35">
        <v>2.7918451832462101</v>
      </c>
      <c r="E35">
        <v>0.37472933706267803</v>
      </c>
      <c r="F35">
        <f t="shared" si="8"/>
        <v>7.5538689238446945</v>
      </c>
      <c r="G35">
        <f t="shared" si="9"/>
        <v>167.40302830807155</v>
      </c>
      <c r="H35">
        <f t="shared" si="10"/>
        <v>5.120404248143072</v>
      </c>
      <c r="I35">
        <f t="shared" si="6"/>
        <v>5.1711945687085334</v>
      </c>
      <c r="J35">
        <f t="shared" si="11"/>
        <v>2.579656663142331E-3</v>
      </c>
    </row>
    <row r="36" spans="1:14" x14ac:dyDescent="0.25">
      <c r="A36">
        <v>1299.9885321792999</v>
      </c>
      <c r="B36">
        <f t="shared" si="7"/>
        <v>1573.1385321793</v>
      </c>
      <c r="C36">
        <v>3.7531980766146602</v>
      </c>
      <c r="D36">
        <v>2.8248058538759899</v>
      </c>
      <c r="E36">
        <v>0.330781776222977</v>
      </c>
      <c r="F36">
        <f t="shared" si="8"/>
        <v>7.5703492591595811</v>
      </c>
      <c r="G36">
        <f t="shared" si="9"/>
        <v>212.36148855907783</v>
      </c>
      <c r="H36">
        <f t="shared" si="10"/>
        <v>5.3582899572928904</v>
      </c>
      <c r="I36">
        <f t="shared" si="6"/>
        <v>5.3656312828836761</v>
      </c>
      <c r="J36">
        <f t="shared" si="11"/>
        <v>5.3895061429925123E-5</v>
      </c>
    </row>
    <row r="37" spans="1:14" x14ac:dyDescent="0.25">
      <c r="A37">
        <v>1398.6117901268001</v>
      </c>
      <c r="B37">
        <f t="shared" si="7"/>
        <v>1671.7617901268</v>
      </c>
      <c r="C37">
        <v>3.95096210039332</v>
      </c>
      <c r="D37">
        <v>2.8028320734561398</v>
      </c>
      <c r="E37">
        <v>0.27035388006838801</v>
      </c>
      <c r="F37">
        <f t="shared" si="8"/>
        <v>7.5648558140546243</v>
      </c>
      <c r="G37">
        <f t="shared" si="9"/>
        <v>321.57462323016949</v>
      </c>
      <c r="H37">
        <f t="shared" si="10"/>
        <v>5.7732296263250333</v>
      </c>
      <c r="I37">
        <f t="shared" si="6"/>
        <v>5.5371269508765106</v>
      </c>
      <c r="J37">
        <f t="shared" si="11"/>
        <v>5.5744473353950448E-2</v>
      </c>
    </row>
    <row r="39" spans="1:14" x14ac:dyDescent="0.25">
      <c r="J39">
        <f>SUM(J29:J37)</f>
        <v>0.10126281721919733</v>
      </c>
    </row>
    <row r="41" spans="1:14" x14ac:dyDescent="0.25">
      <c r="A41" t="s">
        <v>51</v>
      </c>
    </row>
    <row r="42" spans="1:14" x14ac:dyDescent="0.25">
      <c r="A42" t="s">
        <v>52</v>
      </c>
    </row>
    <row r="43" spans="1:14" x14ac:dyDescent="0.25">
      <c r="A43" t="s">
        <v>48</v>
      </c>
      <c r="B43" t="s">
        <v>39</v>
      </c>
      <c r="C43" t="s">
        <v>45</v>
      </c>
      <c r="D43" t="s">
        <v>43</v>
      </c>
      <c r="E43" t="s">
        <v>53</v>
      </c>
      <c r="G43" t="s">
        <v>10</v>
      </c>
      <c r="H43" t="s">
        <v>46</v>
      </c>
      <c r="I43" t="s">
        <v>47</v>
      </c>
      <c r="J43" t="s">
        <v>13</v>
      </c>
    </row>
    <row r="44" spans="1:14" x14ac:dyDescent="0.25">
      <c r="A44">
        <v>599.28635147190005</v>
      </c>
      <c r="B44">
        <f>A44+273.15</f>
        <v>872.43635147190002</v>
      </c>
      <c r="C44">
        <v>7.1409668699120097</v>
      </c>
      <c r="D44">
        <v>0.78089558246142998</v>
      </c>
      <c r="E44">
        <v>0.78089558246142998</v>
      </c>
      <c r="F44">
        <f>C44*3+D44+E44*2</f>
        <v>23.765587357120317</v>
      </c>
      <c r="G44">
        <f>C44/D44/E44</f>
        <v>11.710382644020019</v>
      </c>
      <c r="H44">
        <f>LN(G44)</f>
        <v>2.460475853764057</v>
      </c>
      <c r="I44">
        <f>$N$44+$N$45/B44</f>
        <v>2.4522929849554957</v>
      </c>
      <c r="J44">
        <f>(H44-I44)^2</f>
        <v>6.6959341938124253E-5</v>
      </c>
      <c r="M44" t="s">
        <v>14</v>
      </c>
      <c r="N44">
        <v>-0.63963066879655006</v>
      </c>
    </row>
    <row r="45" spans="1:14" x14ac:dyDescent="0.25">
      <c r="A45">
        <v>702.05173951828704</v>
      </c>
      <c r="B45">
        <f t="shared" ref="B45:B52" si="12">A45+273.15</f>
        <v>975.20173951828701</v>
      </c>
      <c r="C45">
        <v>7.0043674206288502</v>
      </c>
      <c r="D45">
        <v>0.92192243909896199</v>
      </c>
      <c r="E45">
        <v>0.92192243909896199</v>
      </c>
      <c r="F45">
        <f t="shared" ref="F45:F52" si="13">C45*3+D45+E45*2</f>
        <v>23.778869579183439</v>
      </c>
      <c r="G45">
        <f t="shared" ref="G45:G52" si="14">C45/D45/E45</f>
        <v>8.2410044401203972</v>
      </c>
      <c r="H45">
        <f t="shared" ref="H45:H52" si="15">LN(G45)</f>
        <v>2.1091222345652776</v>
      </c>
      <c r="I45">
        <f t="shared" ref="I45:I52" si="16">$N$44+$N$45/B45</f>
        <v>2.1264704179812157</v>
      </c>
      <c r="J45">
        <f t="shared" ref="J45:J52" si="17">(H45-I45)^2</f>
        <v>3.0095946783303089E-4</v>
      </c>
      <c r="M45" t="s">
        <v>15</v>
      </c>
      <c r="N45">
        <v>2697.5065915091013</v>
      </c>
    </row>
    <row r="46" spans="1:14" x14ac:dyDescent="0.25">
      <c r="A46">
        <v>800.53523639607499</v>
      </c>
      <c r="B46">
        <f t="shared" si="12"/>
        <v>1073.685236396075</v>
      </c>
      <c r="C46">
        <v>6.9110590366131799</v>
      </c>
      <c r="D46">
        <v>1.0455647556701899</v>
      </c>
      <c r="E46">
        <v>1.0455647556701899</v>
      </c>
      <c r="F46">
        <f t="shared" si="13"/>
        <v>23.869871376850107</v>
      </c>
      <c r="G46">
        <f t="shared" si="14"/>
        <v>6.321828819805428</v>
      </c>
      <c r="H46">
        <f t="shared" si="15"/>
        <v>1.8440085365216561</v>
      </c>
      <c r="I46">
        <f t="shared" si="16"/>
        <v>1.872750520837327</v>
      </c>
      <c r="J46">
        <f t="shared" si="17"/>
        <v>8.2610166240227071E-4</v>
      </c>
      <c r="M46" t="s">
        <v>16</v>
      </c>
      <c r="N46">
        <v>0</v>
      </c>
    </row>
    <row r="47" spans="1:14" x14ac:dyDescent="0.25">
      <c r="A47">
        <v>902.58697591436203</v>
      </c>
      <c r="B47">
        <f t="shared" si="12"/>
        <v>1175.7369759143621</v>
      </c>
      <c r="C47">
        <v>6.8178280548239902</v>
      </c>
      <c r="D47">
        <v>1.12586956563805</v>
      </c>
      <c r="E47">
        <v>1.12586956563805</v>
      </c>
      <c r="F47">
        <f t="shared" si="13"/>
        <v>23.831092861386121</v>
      </c>
      <c r="G47">
        <f t="shared" si="14"/>
        <v>5.3786078968513982</v>
      </c>
      <c r="H47">
        <f t="shared" si="15"/>
        <v>1.6824295854586999</v>
      </c>
      <c r="I47">
        <f t="shared" si="16"/>
        <v>1.6546805987480213</v>
      </c>
      <c r="J47">
        <f t="shared" si="17"/>
        <v>7.7000626346941767E-4</v>
      </c>
      <c r="M47" t="s">
        <v>17</v>
      </c>
      <c r="N47">
        <v>0</v>
      </c>
    </row>
    <row r="48" spans="1:14" x14ac:dyDescent="0.25">
      <c r="A48">
        <v>1000.35682426404</v>
      </c>
      <c r="B48">
        <f t="shared" si="12"/>
        <v>1273.50682426404</v>
      </c>
      <c r="C48">
        <v>6.7331809799508804</v>
      </c>
      <c r="D48">
        <v>1.2407731708402601</v>
      </c>
      <c r="E48">
        <v>1.2407731708402601</v>
      </c>
      <c r="F48">
        <f t="shared" si="13"/>
        <v>23.921862452373421</v>
      </c>
      <c r="G48">
        <f t="shared" si="14"/>
        <v>4.3735641357082589</v>
      </c>
      <c r="H48">
        <f t="shared" si="15"/>
        <v>1.4755782683885763</v>
      </c>
      <c r="I48">
        <f t="shared" si="16"/>
        <v>1.4785414054426211</v>
      </c>
      <c r="J48">
        <f t="shared" si="17"/>
        <v>8.7801812010534657E-6</v>
      </c>
    </row>
    <row r="49" spans="1:10" x14ac:dyDescent="0.25">
      <c r="A49">
        <v>1100.26761819803</v>
      </c>
      <c r="B49">
        <f t="shared" si="12"/>
        <v>1373.4176181980301</v>
      </c>
      <c r="C49">
        <v>6.6485803464136604</v>
      </c>
      <c r="D49">
        <v>1.3210315394722301</v>
      </c>
      <c r="E49">
        <v>1.3210315394722301</v>
      </c>
      <c r="F49">
        <f t="shared" si="13"/>
        <v>23.908835657657672</v>
      </c>
      <c r="G49">
        <f t="shared" si="14"/>
        <v>3.809803255086766</v>
      </c>
      <c r="H49">
        <f t="shared" si="15"/>
        <v>1.3375775487204278</v>
      </c>
      <c r="I49">
        <f t="shared" si="16"/>
        <v>1.3244526193211021</v>
      </c>
      <c r="J49">
        <f t="shared" si="17"/>
        <v>1.722637717372824E-4</v>
      </c>
    </row>
    <row r="50" spans="1:10" x14ac:dyDescent="0.25">
      <c r="A50">
        <v>1201.6057091882201</v>
      </c>
      <c r="B50">
        <f t="shared" si="12"/>
        <v>1474.75570918822</v>
      </c>
      <c r="C50">
        <v>6.5640106737670303</v>
      </c>
      <c r="D50">
        <v>1.37527501978594</v>
      </c>
      <c r="E50">
        <v>1.37527501978594</v>
      </c>
      <c r="F50">
        <f t="shared" si="13"/>
        <v>23.817857080658911</v>
      </c>
      <c r="G50">
        <f t="shared" si="14"/>
        <v>3.4704849815129095</v>
      </c>
      <c r="H50">
        <f t="shared" si="15"/>
        <v>1.2442943483174302</v>
      </c>
      <c r="I50">
        <f t="shared" si="16"/>
        <v>1.1894902999867782</v>
      </c>
      <c r="J50">
        <f t="shared" si="17"/>
        <v>3.0034837134284404E-3</v>
      </c>
    </row>
    <row r="51" spans="1:10" x14ac:dyDescent="0.25">
      <c r="A51">
        <v>1301.51650312221</v>
      </c>
      <c r="B51">
        <f t="shared" si="12"/>
        <v>1574.6665031222101</v>
      </c>
      <c r="C51">
        <v>6.4880868298176599</v>
      </c>
      <c r="D51">
        <v>1.4902560272146199</v>
      </c>
      <c r="E51">
        <v>1.4902560272146199</v>
      </c>
      <c r="F51">
        <f t="shared" si="13"/>
        <v>23.93502857109684</v>
      </c>
      <c r="G51">
        <f t="shared" si="14"/>
        <v>2.9214259285526007</v>
      </c>
      <c r="H51">
        <f t="shared" si="15"/>
        <v>1.0720718287811668</v>
      </c>
      <c r="I51">
        <f t="shared" si="16"/>
        <v>1.0734346603766758</v>
      </c>
      <c r="J51">
        <f t="shared" si="17"/>
        <v>1.8573099577175638E-6</v>
      </c>
    </row>
    <row r="52" spans="1:10" x14ac:dyDescent="0.25">
      <c r="A52">
        <v>1399.2863514718999</v>
      </c>
      <c r="B52">
        <f t="shared" si="12"/>
        <v>1672.4363514718998</v>
      </c>
      <c r="C52">
        <v>6.3947629653566898</v>
      </c>
      <c r="D52">
        <v>1.59649832327427</v>
      </c>
      <c r="E52">
        <v>1.59649832327427</v>
      </c>
      <c r="F52">
        <f t="shared" si="13"/>
        <v>23.97378386589288</v>
      </c>
      <c r="G52">
        <f t="shared" si="14"/>
        <v>2.5089240675103928</v>
      </c>
      <c r="H52">
        <f t="shared" si="15"/>
        <v>0.91985400288103991</v>
      </c>
      <c r="I52">
        <f t="shared" si="16"/>
        <v>0.97328966095772973</v>
      </c>
      <c r="J52">
        <f t="shared" si="17"/>
        <v>2.8553695540889058E-3</v>
      </c>
    </row>
    <row r="54" spans="1:10" x14ac:dyDescent="0.25">
      <c r="J54">
        <f>SUM(J44:J52)</f>
        <v>8.005781266056243E-3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/>
  </sheetViews>
  <sheetFormatPr defaultRowHeight="15" x14ac:dyDescent="0.25"/>
  <cols>
    <col min="7" max="7" width="12.7109375" bestFit="1" customWidth="1"/>
    <col min="8" max="8" width="11.5703125" bestFit="1" customWidth="1"/>
    <col min="11" max="11" width="11.85546875" customWidth="1"/>
  </cols>
  <sheetData>
    <row r="1" spans="1:11" x14ac:dyDescent="0.25">
      <c r="A1" s="9" t="s">
        <v>27</v>
      </c>
      <c r="B1" s="9"/>
      <c r="C1" s="9"/>
      <c r="D1" s="9"/>
      <c r="E1" s="9"/>
      <c r="F1" s="9"/>
      <c r="G1" s="9"/>
      <c r="H1" s="9"/>
    </row>
    <row r="2" spans="1:11" x14ac:dyDescent="0.25">
      <c r="B2" s="11" t="s">
        <v>2</v>
      </c>
      <c r="C2" s="11"/>
      <c r="D2" s="11"/>
      <c r="E2" s="11"/>
    </row>
    <row r="3" spans="1:11" x14ac:dyDescent="0.25">
      <c r="B3" s="11" t="s">
        <v>42</v>
      </c>
      <c r="C3" s="11"/>
      <c r="D3" s="11"/>
      <c r="E3" s="11"/>
    </row>
    <row r="5" spans="1:11" x14ac:dyDescent="0.25">
      <c r="B5" t="s">
        <v>33</v>
      </c>
    </row>
    <row r="6" spans="1:11" x14ac:dyDescent="0.25">
      <c r="B6" t="s">
        <v>28</v>
      </c>
      <c r="C6" t="s">
        <v>31</v>
      </c>
      <c r="D6" t="s">
        <v>29</v>
      </c>
      <c r="E6" t="s">
        <v>30</v>
      </c>
      <c r="F6" t="s">
        <v>32</v>
      </c>
      <c r="G6" t="s">
        <v>36</v>
      </c>
      <c r="H6" t="s">
        <v>13</v>
      </c>
      <c r="J6" t="s">
        <v>14</v>
      </c>
      <c r="K6">
        <v>-15.972813393705536</v>
      </c>
    </row>
    <row r="7" spans="1:11" x14ac:dyDescent="0.25">
      <c r="B7">
        <v>400.667352227386</v>
      </c>
      <c r="C7">
        <f t="shared" ref="C7:C12" si="0">B7+273.15</f>
        <v>673.81735222738598</v>
      </c>
      <c r="D7">
        <v>-442.91390728476802</v>
      </c>
      <c r="E7">
        <f t="shared" ref="E7:E12" si="1">D7*1000</f>
        <v>-442913.90728476801</v>
      </c>
      <c r="F7">
        <f t="shared" ref="F7:F12" si="2">-E7/8.314/C7</f>
        <v>79.061874360861836</v>
      </c>
      <c r="G7" s="6">
        <f t="shared" ref="G7:G12" si="3">$K$6+$K$7/C7</f>
        <v>78.99149975201361</v>
      </c>
      <c r="H7" s="7">
        <f t="shared" ref="H7:H12" si="4">(F7-G7)^2/F7</f>
        <v>6.2641894219908961E-5</v>
      </c>
      <c r="J7" t="s">
        <v>15</v>
      </c>
      <c r="K7" s="4">
        <v>63988.602039940815</v>
      </c>
    </row>
    <row r="8" spans="1:11" x14ac:dyDescent="0.25">
      <c r="B8">
        <v>631.78248529472205</v>
      </c>
      <c r="C8">
        <f t="shared" si="0"/>
        <v>904.93248529472203</v>
      </c>
      <c r="D8">
        <v>-411.12582781456899</v>
      </c>
      <c r="E8">
        <f t="shared" si="1"/>
        <v>-411125.827814569</v>
      </c>
      <c r="F8">
        <f t="shared" si="2"/>
        <v>54.644764919488729</v>
      </c>
      <c r="G8" s="6">
        <f t="shared" si="3"/>
        <v>54.738099386821673</v>
      </c>
      <c r="H8" s="7">
        <f t="shared" si="4"/>
        <v>1.5941733494799279E-4</v>
      </c>
    </row>
    <row r="9" spans="1:11" x14ac:dyDescent="0.25">
      <c r="B9">
        <v>789.83242153757499</v>
      </c>
      <c r="C9">
        <f t="shared" si="0"/>
        <v>1062.982421537575</v>
      </c>
      <c r="D9">
        <v>-390.993377483443</v>
      </c>
      <c r="E9">
        <f t="shared" si="1"/>
        <v>-390993.37748344301</v>
      </c>
      <c r="F9">
        <f t="shared" si="2"/>
        <v>44.241852006790864</v>
      </c>
      <c r="G9" s="6">
        <f t="shared" si="3"/>
        <v>44.224421051040082</v>
      </c>
      <c r="H9" s="7">
        <f t="shared" si="4"/>
        <v>6.8676649960110775E-6</v>
      </c>
    </row>
    <row r="10" spans="1:11" x14ac:dyDescent="0.25">
      <c r="B10">
        <v>1003.05343260252</v>
      </c>
      <c r="C10">
        <f t="shared" si="0"/>
        <v>1276.20343260252</v>
      </c>
      <c r="D10">
        <v>-362.38410596026398</v>
      </c>
      <c r="E10">
        <f t="shared" si="1"/>
        <v>-362384.10596026399</v>
      </c>
      <c r="F10">
        <f t="shared" si="2"/>
        <v>34.153814306290755</v>
      </c>
      <c r="G10" s="6">
        <f t="shared" si="3"/>
        <v>34.16700006021297</v>
      </c>
      <c r="H10" s="7">
        <f t="shared" si="4"/>
        <v>5.0906204776429027E-6</v>
      </c>
    </row>
    <row r="11" spans="1:11" x14ac:dyDescent="0.25">
      <c r="B11">
        <v>1211.8004195631599</v>
      </c>
      <c r="C11">
        <f t="shared" si="0"/>
        <v>1484.9504195631598</v>
      </c>
      <c r="D11">
        <v>-334.83443708609201</v>
      </c>
      <c r="E11">
        <f t="shared" si="1"/>
        <v>-334834.43708609202</v>
      </c>
      <c r="F11">
        <f t="shared" si="2"/>
        <v>27.121152730413126</v>
      </c>
      <c r="G11" s="6">
        <f t="shared" si="3"/>
        <v>27.118593024270943</v>
      </c>
      <c r="H11" s="7">
        <f t="shared" si="4"/>
        <v>2.4158617443205046E-7</v>
      </c>
    </row>
    <row r="12" spans="1:11" x14ac:dyDescent="0.25">
      <c r="B12">
        <v>1372.83369668051</v>
      </c>
      <c r="C12">
        <f t="shared" si="0"/>
        <v>1645.9836966805101</v>
      </c>
      <c r="D12">
        <v>-313.64238410595999</v>
      </c>
      <c r="E12">
        <f t="shared" si="1"/>
        <v>-313642.38410595997</v>
      </c>
      <c r="F12">
        <f t="shared" si="2"/>
        <v>22.919186415671064</v>
      </c>
      <c r="G12" s="6">
        <f t="shared" si="3"/>
        <v>22.90278553779541</v>
      </c>
      <c r="H12" s="7">
        <f t="shared" si="4"/>
        <v>1.1736402427801375E-5</v>
      </c>
    </row>
    <row r="13" spans="1:11" x14ac:dyDescent="0.25">
      <c r="H13" s="7">
        <f>SUM(H7:H12)</f>
        <v>2.4599550324378913E-4</v>
      </c>
    </row>
    <row r="14" spans="1:11" x14ac:dyDescent="0.25">
      <c r="B14" t="s">
        <v>34</v>
      </c>
    </row>
    <row r="15" spans="1:11" x14ac:dyDescent="0.25">
      <c r="B15" t="s">
        <v>28</v>
      </c>
      <c r="C15" t="s">
        <v>31</v>
      </c>
      <c r="D15" t="s">
        <v>29</v>
      </c>
      <c r="E15" t="s">
        <v>30</v>
      </c>
      <c r="F15" t="s">
        <v>32</v>
      </c>
    </row>
    <row r="16" spans="1:11" x14ac:dyDescent="0.25">
      <c r="B16">
        <v>400.65353132326902</v>
      </c>
      <c r="C16">
        <f t="shared" ref="C16:C23" si="5">B16+273.15</f>
        <v>673.803531323269</v>
      </c>
      <c r="D16">
        <v>-450.33112582781399</v>
      </c>
      <c r="E16">
        <f>D16*1000</f>
        <v>-450331.12582781399</v>
      </c>
      <c r="F16">
        <f t="shared" ref="F16:F23" si="6">-E16/8.314/C16</f>
        <v>80.387525898293319</v>
      </c>
      <c r="G16">
        <f t="shared" ref="G16:G23" si="7">$K$16+$K$17/C16</f>
        <v>80.48646026557843</v>
      </c>
      <c r="H16" s="7">
        <f>(F16-G16)^2/F16</f>
        <v>1.2176029702032381E-4</v>
      </c>
      <c r="J16" t="s">
        <v>14</v>
      </c>
      <c r="K16">
        <v>-24.02251020582742</v>
      </c>
    </row>
    <row r="17" spans="2:11" x14ac:dyDescent="0.25">
      <c r="B17">
        <v>558.72321171486101</v>
      </c>
      <c r="C17">
        <f t="shared" si="5"/>
        <v>831.87321171486099</v>
      </c>
      <c r="D17">
        <v>-419.60264900662202</v>
      </c>
      <c r="E17">
        <f t="shared" ref="E17:E23" si="8">D17*1000</f>
        <v>-419602.64900662203</v>
      </c>
      <c r="F17">
        <f t="shared" si="6"/>
        <v>60.669590262167354</v>
      </c>
      <c r="G17">
        <f t="shared" si="7"/>
        <v>60.628025917854941</v>
      </c>
      <c r="H17" s="7">
        <f t="shared" ref="H17:H23" si="9">(F17-G17)^2/F17</f>
        <v>2.8475463748072825E-5</v>
      </c>
      <c r="J17" t="s">
        <v>15</v>
      </c>
      <c r="K17">
        <v>70418.513358592507</v>
      </c>
    </row>
    <row r="18" spans="2:11" x14ac:dyDescent="0.25">
      <c r="B18">
        <v>716.79486652132698</v>
      </c>
      <c r="C18">
        <f t="shared" si="5"/>
        <v>989.94486652132696</v>
      </c>
      <c r="D18">
        <v>-387.81456953642299</v>
      </c>
      <c r="E18">
        <f t="shared" si="8"/>
        <v>-387814.56953642302</v>
      </c>
      <c r="F18">
        <f t="shared" si="6"/>
        <v>47.119762489093624</v>
      </c>
      <c r="G18">
        <f t="shared" si="7"/>
        <v>47.111262734521929</v>
      </c>
      <c r="H18" s="7">
        <f t="shared" si="9"/>
        <v>1.5332383688428724E-6</v>
      </c>
    </row>
    <row r="19" spans="2:11" x14ac:dyDescent="0.25">
      <c r="B19">
        <v>933.02291143926595</v>
      </c>
      <c r="C19">
        <f t="shared" si="5"/>
        <v>1206.172911439266</v>
      </c>
      <c r="D19">
        <v>-345.43046357615901</v>
      </c>
      <c r="E19">
        <f t="shared" si="8"/>
        <v>-345430.46357615903</v>
      </c>
      <c r="F19">
        <f t="shared" si="6"/>
        <v>34.446178242247356</v>
      </c>
      <c r="G19">
        <f t="shared" si="7"/>
        <v>34.359262996627947</v>
      </c>
      <c r="H19" s="7">
        <f t="shared" si="9"/>
        <v>2.1930618450487582E-4</v>
      </c>
    </row>
    <row r="20" spans="2:11" x14ac:dyDescent="0.25">
      <c r="B20">
        <v>1082.14849245197</v>
      </c>
      <c r="C20">
        <f t="shared" si="5"/>
        <v>1355.2984924519701</v>
      </c>
      <c r="D20">
        <v>-314.70198675496698</v>
      </c>
      <c r="E20">
        <f t="shared" si="8"/>
        <v>-314701.98675496696</v>
      </c>
      <c r="F20">
        <f t="shared" si="6"/>
        <v>27.928943616051306</v>
      </c>
      <c r="G20">
        <f t="shared" si="7"/>
        <v>27.935426551848156</v>
      </c>
      <c r="H20" s="7">
        <f t="shared" si="9"/>
        <v>1.5048351675543898E-6</v>
      </c>
    </row>
    <row r="21" spans="2:11" x14ac:dyDescent="0.25">
      <c r="B21">
        <v>1196.97256385998</v>
      </c>
      <c r="C21">
        <f t="shared" si="5"/>
        <v>1470.1225638599799</v>
      </c>
      <c r="D21">
        <v>-292.45033112582701</v>
      </c>
      <c r="E21">
        <f t="shared" si="8"/>
        <v>-292450.33112582698</v>
      </c>
      <c r="F21">
        <f t="shared" si="6"/>
        <v>23.927016768132958</v>
      </c>
      <c r="G21">
        <f t="shared" si="7"/>
        <v>23.877246650975327</v>
      </c>
      <c r="H21" s="7">
        <f t="shared" si="9"/>
        <v>1.0352584218453203E-4</v>
      </c>
    </row>
    <row r="22" spans="2:11" x14ac:dyDescent="0.25">
      <c r="B22">
        <v>1301.36185265929</v>
      </c>
      <c r="C22">
        <f t="shared" si="5"/>
        <v>1574.5118526592901</v>
      </c>
      <c r="D22">
        <v>-270.198675496688</v>
      </c>
      <c r="E22">
        <f t="shared" si="8"/>
        <v>-270198.675496688</v>
      </c>
      <c r="F22">
        <f t="shared" si="6"/>
        <v>20.64083496092865</v>
      </c>
      <c r="G22">
        <f t="shared" si="7"/>
        <v>20.701518539753845</v>
      </c>
      <c r="H22" s="7">
        <f t="shared" si="9"/>
        <v>1.7840832243483853E-4</v>
      </c>
    </row>
    <row r="23" spans="2:11" x14ac:dyDescent="0.25">
      <c r="B23">
        <v>1372.9403150836999</v>
      </c>
      <c r="C23">
        <f t="shared" si="5"/>
        <v>1646.0903150836998</v>
      </c>
      <c r="D23">
        <v>-256.42384105960201</v>
      </c>
      <c r="E23">
        <f t="shared" si="8"/>
        <v>-256423.84105960201</v>
      </c>
      <c r="F23">
        <f t="shared" si="6"/>
        <v>18.73676981639446</v>
      </c>
      <c r="G23">
        <f t="shared" si="7"/>
        <v>18.756742374254674</v>
      </c>
      <c r="H23" s="7">
        <f t="shared" si="9"/>
        <v>2.1289852594045605E-5</v>
      </c>
    </row>
    <row r="24" spans="2:11" x14ac:dyDescent="0.25">
      <c r="H24" s="7">
        <f>SUM(H16:H23)</f>
        <v>6.7580403602308578E-4</v>
      </c>
    </row>
    <row r="25" spans="2:11" x14ac:dyDescent="0.25">
      <c r="B25" t="s">
        <v>35</v>
      </c>
    </row>
    <row r="26" spans="2:11" x14ac:dyDescent="0.25">
      <c r="B26" t="s">
        <v>28</v>
      </c>
      <c r="C26" t="s">
        <v>31</v>
      </c>
      <c r="D26" t="s">
        <v>29</v>
      </c>
      <c r="E26" t="s">
        <v>30</v>
      </c>
      <c r="F26" t="s">
        <v>32</v>
      </c>
    </row>
    <row r="27" spans="2:11" x14ac:dyDescent="0.25">
      <c r="B27">
        <v>397.96042943523503</v>
      </c>
      <c r="C27">
        <f t="shared" ref="C27:C39" si="10">B27+273.15</f>
        <v>671.11042943523501</v>
      </c>
      <c r="D27">
        <v>-295.62913907284701</v>
      </c>
      <c r="E27">
        <f>D27*1000</f>
        <v>-295629.13907284703</v>
      </c>
      <c r="F27">
        <f>-E27/8.314/C27</f>
        <v>52.983815582056913</v>
      </c>
      <c r="G27">
        <f>$K$27+$K$28/C27</f>
        <v>53.096671825775992</v>
      </c>
      <c r="H27" s="7">
        <f>(F27-G27)^2/F27</f>
        <v>2.4038532533873438E-4</v>
      </c>
      <c r="J27" t="s">
        <v>14</v>
      </c>
      <c r="K27">
        <v>-36.014129125555222</v>
      </c>
    </row>
    <row r="28" spans="2:11" x14ac:dyDescent="0.25">
      <c r="B28">
        <v>477.010077742585</v>
      </c>
      <c r="C28">
        <f t="shared" si="10"/>
        <v>750.16007774258492</v>
      </c>
      <c r="D28">
        <v>-272.31788079470198</v>
      </c>
      <c r="E28">
        <f t="shared" ref="E28:E39" si="11">D28*1000</f>
        <v>-272317.88079470198</v>
      </c>
      <c r="F28">
        <f t="shared" ref="F28:F39" si="12">-E28/8.314/C28</f>
        <v>43.662861115990687</v>
      </c>
      <c r="G28">
        <f t="shared" ref="G28:G39" si="13">$K$27+$K$28/C28</f>
        <v>43.706439414599636</v>
      </c>
      <c r="H28" s="7">
        <f t="shared" ref="H28:H39" si="14">(F28-G28)^2/F28</f>
        <v>4.3493899875362267E-5</v>
      </c>
      <c r="J28" t="s">
        <v>15</v>
      </c>
      <c r="K28">
        <v>59803.187893765637</v>
      </c>
    </row>
    <row r="29" spans="2:11" x14ac:dyDescent="0.25">
      <c r="B29">
        <v>565.01172308831303</v>
      </c>
      <c r="C29">
        <f t="shared" si="10"/>
        <v>838.16172308831301</v>
      </c>
      <c r="D29">
        <v>-244.76821192052901</v>
      </c>
      <c r="E29">
        <f t="shared" si="11"/>
        <v>-244768.21192052902</v>
      </c>
      <c r="F29">
        <f t="shared" si="12"/>
        <v>35.125067812288215</v>
      </c>
      <c r="G29">
        <f t="shared" si="13"/>
        <v>35.336287203901129</v>
      </c>
      <c r="H29" s="7">
        <f t="shared" si="14"/>
        <v>1.2701365199278554E-3</v>
      </c>
    </row>
    <row r="30" spans="2:11" x14ac:dyDescent="0.25">
      <c r="B30">
        <v>651.51873637448</v>
      </c>
      <c r="C30">
        <f t="shared" si="10"/>
        <v>924.66873637447998</v>
      </c>
      <c r="D30">
        <v>-219.33774834437</v>
      </c>
      <c r="E30">
        <f t="shared" si="11"/>
        <v>-219337.74834436999</v>
      </c>
      <c r="F30">
        <f t="shared" si="12"/>
        <v>28.531012664011971</v>
      </c>
      <c r="G30">
        <f t="shared" si="13"/>
        <v>28.661127581238041</v>
      </c>
      <c r="H30" s="7">
        <f t="shared" si="14"/>
        <v>5.9338558655865157E-4</v>
      </c>
    </row>
    <row r="31" spans="2:11" x14ac:dyDescent="0.25">
      <c r="B31">
        <v>724.59972851795396</v>
      </c>
      <c r="C31">
        <f t="shared" si="10"/>
        <v>997.74972851795394</v>
      </c>
      <c r="D31">
        <v>-199.205298013245</v>
      </c>
      <c r="E31">
        <f t="shared" si="11"/>
        <v>-199205.29801324499</v>
      </c>
      <c r="F31">
        <f t="shared" si="12"/>
        <v>24.014262089204863</v>
      </c>
      <c r="G31">
        <f t="shared" si="13"/>
        <v>23.923935686145214</v>
      </c>
      <c r="H31" s="7">
        <f t="shared" si="14"/>
        <v>3.3975056403510323E-4</v>
      </c>
    </row>
    <row r="32" spans="2:11" x14ac:dyDescent="0.25">
      <c r="B32">
        <v>797.68466949117601</v>
      </c>
      <c r="C32">
        <f t="shared" si="10"/>
        <v>1070.8346694911761</v>
      </c>
      <c r="D32">
        <v>-176.95364238410599</v>
      </c>
      <c r="E32">
        <f t="shared" si="11"/>
        <v>-176953.642384106</v>
      </c>
      <c r="F32">
        <f t="shared" si="12"/>
        <v>19.875911888671428</v>
      </c>
      <c r="G32">
        <f t="shared" si="13"/>
        <v>19.83313618775599</v>
      </c>
      <c r="H32" s="7">
        <f t="shared" si="14"/>
        <v>9.2059202066091555E-5</v>
      </c>
    </row>
    <row r="33" spans="2:8" x14ac:dyDescent="0.25">
      <c r="B33">
        <v>864.80292871539598</v>
      </c>
      <c r="C33">
        <f t="shared" si="10"/>
        <v>1137.952928715396</v>
      </c>
      <c r="D33">
        <v>-156.82119205298</v>
      </c>
      <c r="E33">
        <f t="shared" si="11"/>
        <v>-156821.19205297998</v>
      </c>
      <c r="F33">
        <f t="shared" si="12"/>
        <v>16.575644839704516</v>
      </c>
      <c r="G33">
        <f t="shared" si="13"/>
        <v>16.539176362463358</v>
      </c>
      <c r="H33" s="7">
        <f t="shared" si="14"/>
        <v>8.0235179092589547E-5</v>
      </c>
    </row>
    <row r="34" spans="2:8" x14ac:dyDescent="0.25">
      <c r="B34">
        <v>942.36386820780695</v>
      </c>
      <c r="C34">
        <f t="shared" si="10"/>
        <v>1215.5138682078068</v>
      </c>
      <c r="D34">
        <v>-132.45033112582701</v>
      </c>
      <c r="E34">
        <f t="shared" si="11"/>
        <v>-132450.33112582701</v>
      </c>
      <c r="F34">
        <f t="shared" si="12"/>
        <v>13.10639069695387</v>
      </c>
      <c r="G34">
        <f t="shared" si="13"/>
        <v>13.185793193670477</v>
      </c>
      <c r="H34" s="7">
        <f t="shared" si="14"/>
        <v>4.8104444851443108E-4</v>
      </c>
    </row>
    <row r="35" spans="2:8" x14ac:dyDescent="0.25">
      <c r="B35">
        <v>1025.8855662045901</v>
      </c>
      <c r="C35">
        <f t="shared" si="10"/>
        <v>1299.0355662045899</v>
      </c>
      <c r="D35">
        <v>-109.139072847682</v>
      </c>
      <c r="E35">
        <f t="shared" si="11"/>
        <v>-109139.07284768201</v>
      </c>
      <c r="F35">
        <f t="shared" si="12"/>
        <v>10.105299698217443</v>
      </c>
      <c r="G35">
        <f t="shared" si="13"/>
        <v>10.022476375934957</v>
      </c>
      <c r="H35" s="7">
        <f t="shared" si="14"/>
        <v>6.7882229312987501E-4</v>
      </c>
    </row>
    <row r="36" spans="2:8" x14ac:dyDescent="0.25">
      <c r="B36">
        <v>1109.4092386162599</v>
      </c>
      <c r="C36">
        <f t="shared" si="10"/>
        <v>1382.5592386162598</v>
      </c>
      <c r="D36">
        <v>-84.768211920529893</v>
      </c>
      <c r="E36">
        <f t="shared" si="11"/>
        <v>-84768.211920529895</v>
      </c>
      <c r="F36">
        <f t="shared" si="12"/>
        <v>7.3746133214189333</v>
      </c>
      <c r="G36">
        <f t="shared" si="13"/>
        <v>7.2412961925092034</v>
      </c>
      <c r="H36" s="7">
        <f t="shared" si="14"/>
        <v>2.4100866155398358E-3</v>
      </c>
    </row>
    <row r="37" spans="2:8" x14ac:dyDescent="0.25">
      <c r="B37">
        <v>1203.3755912961201</v>
      </c>
      <c r="C37">
        <f t="shared" si="10"/>
        <v>1476.5255912961202</v>
      </c>
      <c r="D37">
        <v>-56.158940397351103</v>
      </c>
      <c r="E37">
        <f t="shared" si="11"/>
        <v>-56158.9403973511</v>
      </c>
      <c r="F37">
        <f t="shared" si="12"/>
        <v>4.5747556921737047</v>
      </c>
      <c r="G37">
        <f t="shared" si="13"/>
        <v>4.4885131898206652</v>
      </c>
      <c r="H37" s="7">
        <f t="shared" si="14"/>
        <v>1.625828724545498E-3</v>
      </c>
    </row>
    <row r="38" spans="2:8" x14ac:dyDescent="0.25">
      <c r="B38">
        <v>1282.42326518859</v>
      </c>
      <c r="C38">
        <f t="shared" si="10"/>
        <v>1555.5732651885901</v>
      </c>
      <c r="D38">
        <v>-33.907284768212001</v>
      </c>
      <c r="E38">
        <f t="shared" si="11"/>
        <v>-33907.284768212005</v>
      </c>
      <c r="F38">
        <f t="shared" si="12"/>
        <v>2.6217575235877324</v>
      </c>
      <c r="G38">
        <f t="shared" si="13"/>
        <v>2.4303396963715898</v>
      </c>
      <c r="H38" s="7">
        <f t="shared" si="14"/>
        <v>1.3975657262921905E-2</v>
      </c>
    </row>
    <row r="39" spans="2:8" x14ac:dyDescent="0.25">
      <c r="B39">
        <v>1359.98815351075</v>
      </c>
      <c r="C39">
        <f t="shared" si="10"/>
        <v>1633.1381535107498</v>
      </c>
      <c r="D39">
        <v>-7.4172185430464701</v>
      </c>
      <c r="E39">
        <f t="shared" si="11"/>
        <v>-7417.2185430464697</v>
      </c>
      <c r="F39">
        <f t="shared" si="12"/>
        <v>0.54627098064106938</v>
      </c>
      <c r="G39">
        <f t="shared" si="13"/>
        <v>0.60444338480282056</v>
      </c>
      <c r="H39" s="7">
        <f t="shared" si="14"/>
        <v>6.1947801107553654E-3</v>
      </c>
    </row>
    <row r="40" spans="2:8" x14ac:dyDescent="0.25">
      <c r="H40" s="7">
        <f>SUM(H27:H39)</f>
        <v>2.8025665732301301E-2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Huang et al</vt:lpstr>
      <vt:lpstr>Xin et al</vt:lpstr>
      <vt:lpstr>Fan et 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Burgard, Anthony P.</dc:creator>
  <cp:lastModifiedBy>Tony Bergard</cp:lastModifiedBy>
  <dcterms:created xsi:type="dcterms:W3CDTF">2017-01-20T19:46:45Z</dcterms:created>
  <dcterms:modified xsi:type="dcterms:W3CDTF">2017-02-08T12:49:11Z</dcterms:modified>
</cp:coreProperties>
</file>