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urgard\Desktop\EQ Reactor Modeling for Chem Looping\"/>
    </mc:Choice>
  </mc:AlternateContent>
  <bookViews>
    <workbookView xWindow="0" yWindow="0" windowWidth="20925" windowHeight="11760"/>
  </bookViews>
  <sheets>
    <sheet name="Data from NIST" sheetId="2" r:id="rId1"/>
    <sheet name="Sheet1" sheetId="1" r:id="rId2"/>
  </sheets>
  <definedNames>
    <definedName name="solver_adj" localSheetId="0" hidden="1">'Data from NIST'!$C$8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'Data from NIST'!$I$40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3" i="2"/>
  <c r="O26" i="2" l="1"/>
  <c r="P26" i="2" s="1"/>
  <c r="N26" i="2"/>
  <c r="O25" i="2"/>
  <c r="Q25" i="2" s="1"/>
  <c r="N25" i="2"/>
  <c r="O24" i="2"/>
  <c r="Q24" i="2" s="1"/>
  <c r="N24" i="2"/>
  <c r="O23" i="2"/>
  <c r="P23" i="2" s="1"/>
  <c r="N23" i="2"/>
  <c r="O22" i="2"/>
  <c r="Q22" i="2" s="1"/>
  <c r="N22" i="2"/>
  <c r="O21" i="2"/>
  <c r="Q21" i="2" s="1"/>
  <c r="N21" i="2"/>
  <c r="O20" i="2"/>
  <c r="Q20" i="2" s="1"/>
  <c r="N20" i="2"/>
  <c r="O19" i="2"/>
  <c r="Q19" i="2" s="1"/>
  <c r="N19" i="2"/>
  <c r="O18" i="2"/>
  <c r="P18" i="2" s="1"/>
  <c r="N18" i="2"/>
  <c r="O17" i="2"/>
  <c r="Q17" i="2" s="1"/>
  <c r="N17" i="2"/>
  <c r="O16" i="2"/>
  <c r="Q16" i="2" s="1"/>
  <c r="N16" i="2"/>
  <c r="O15" i="2"/>
  <c r="Q15" i="2" s="1"/>
  <c r="N15" i="2"/>
  <c r="O14" i="2"/>
  <c r="Q14" i="2" s="1"/>
  <c r="N14" i="2"/>
  <c r="O13" i="2"/>
  <c r="Q13" i="2" s="1"/>
  <c r="N13" i="2"/>
  <c r="O12" i="2"/>
  <c r="Q12" i="2" s="1"/>
  <c r="N12" i="2"/>
  <c r="O11" i="2"/>
  <c r="Q11" i="2" s="1"/>
  <c r="N11" i="2"/>
  <c r="O10" i="2"/>
  <c r="P10" i="2" s="1"/>
  <c r="N10" i="2"/>
  <c r="O9" i="2"/>
  <c r="P9" i="2" s="1"/>
  <c r="N9" i="2"/>
  <c r="P8" i="2"/>
  <c r="O8" i="2"/>
  <c r="Q8" i="2" s="1"/>
  <c r="N8" i="2"/>
  <c r="O7" i="2"/>
  <c r="Q7" i="2" s="1"/>
  <c r="N7" i="2"/>
  <c r="O6" i="2"/>
  <c r="Q6" i="2" s="1"/>
  <c r="N6" i="2"/>
  <c r="O5" i="2"/>
  <c r="P5" i="2" s="1"/>
  <c r="N5" i="2"/>
  <c r="O4" i="2"/>
  <c r="Q4" i="2" s="1"/>
  <c r="N4" i="2"/>
  <c r="O3" i="2"/>
  <c r="Q3" i="2" s="1"/>
  <c r="N3" i="2"/>
  <c r="L12" i="1"/>
  <c r="D12" i="1"/>
  <c r="L11" i="1"/>
  <c r="D11" i="1"/>
  <c r="L10" i="1"/>
  <c r="D10" i="1"/>
  <c r="H8" i="1"/>
  <c r="D8" i="1"/>
  <c r="H7" i="1"/>
  <c r="D7" i="1"/>
  <c r="H6" i="1"/>
  <c r="D6" i="1"/>
  <c r="H5" i="1"/>
  <c r="D5" i="1"/>
  <c r="L3" i="1"/>
  <c r="H3" i="1"/>
  <c r="P24" i="2" l="1"/>
  <c r="Q10" i="2"/>
  <c r="D37" i="2" s="1"/>
  <c r="I37" i="2" s="1"/>
  <c r="Q26" i="2"/>
  <c r="P4" i="2"/>
  <c r="P20" i="2"/>
  <c r="Q18" i="2"/>
  <c r="P12" i="2"/>
  <c r="P16" i="2"/>
  <c r="P6" i="2"/>
  <c r="P14" i="2"/>
  <c r="P22" i="2"/>
  <c r="P7" i="2"/>
  <c r="P13" i="2"/>
  <c r="P17" i="2"/>
  <c r="P19" i="2"/>
  <c r="P25" i="2"/>
  <c r="Q9" i="2"/>
  <c r="D43" i="2" s="1"/>
  <c r="P15" i="2"/>
  <c r="P21" i="2"/>
  <c r="Q5" i="2"/>
  <c r="Q23" i="2"/>
  <c r="P11" i="2"/>
  <c r="D36" i="2"/>
  <c r="I36" i="2" s="1"/>
  <c r="D32" i="2"/>
  <c r="I32" i="2" s="1"/>
  <c r="D42" i="2"/>
  <c r="D33" i="2"/>
  <c r="I33" i="2" s="1"/>
  <c r="D29" i="2"/>
  <c r="I29" i="2" s="1"/>
  <c r="D35" i="2"/>
  <c r="I35" i="2" s="1"/>
  <c r="D31" i="2"/>
  <c r="I31" i="2" s="1"/>
  <c r="D38" i="2"/>
  <c r="I38" i="2" s="1"/>
  <c r="D34" i="2"/>
  <c r="I34" i="2" s="1"/>
  <c r="D30" i="2"/>
  <c r="I30" i="2" s="1"/>
  <c r="P3" i="2"/>
  <c r="I40" i="2" l="1"/>
</calcChain>
</file>

<file path=xl/sharedStrings.xml><?xml version="1.0" encoding="utf-8"?>
<sst xmlns="http://schemas.openxmlformats.org/spreadsheetml/2006/main" count="243" uniqueCount="124">
  <si>
    <t>Air Reactor</t>
  </si>
  <si>
    <t>T</t>
  </si>
  <si>
    <t>F</t>
  </si>
  <si>
    <t>y</t>
  </si>
  <si>
    <t>P</t>
  </si>
  <si>
    <t>GasIn</t>
  </si>
  <si>
    <t>H2O</t>
  </si>
  <si>
    <t>N2</t>
  </si>
  <si>
    <t>O2</t>
  </si>
  <si>
    <t>SolidIn</t>
  </si>
  <si>
    <t>FeO</t>
  </si>
  <si>
    <t>Fe3O4</t>
  </si>
  <si>
    <t>Fuel Reactor</t>
  </si>
  <si>
    <t>CH4</t>
  </si>
  <si>
    <t>CO2</t>
  </si>
  <si>
    <t>Fe2O3</t>
  </si>
  <si>
    <t>Steam Reactor</t>
  </si>
  <si>
    <t>Fe</t>
  </si>
  <si>
    <t>Air GasIn H2O 11.67085</t>
  </si>
  <si>
    <t>Air GasIn O2 243.920765</t>
  </si>
  <si>
    <t>Air GasIn N2 911.493385</t>
  </si>
  <si>
    <t>Air SolidIn C 0.0073616</t>
  </si>
  <si>
    <t>Air SolidIn Fe2O3 0.0073616</t>
  </si>
  <si>
    <t>Air SolidIn Fe3O4 75.82448</t>
  </si>
  <si>
    <t>Air SolidIn FeO 660.3134352</t>
  </si>
  <si>
    <t>Air SolidIn Fe 0.0073616</t>
  </si>
  <si>
    <t>Air GasOut CO 1.07516876387e-11</t>
  </si>
  <si>
    <t>Air GasOut H2 5.87231516704</t>
  </si>
  <si>
    <t>Air GasOut CO2 1.0521989014e-11</t>
  </si>
  <si>
    <t>Air GasOut H2O 5.798534833</t>
  </si>
  <si>
    <t>Air GasOut O2 65.0182097529</t>
  </si>
  <si>
    <t>Air GasOut N2 911.493385</t>
  </si>
  <si>
    <t>Air SolidOut C 0.00736160000009</t>
  </si>
  <si>
    <t>Air SolidOut Fe2O3 430.933989488</t>
  </si>
  <si>
    <t>Air SolidOut Fe3O4 8.56791617341</t>
  </si>
  <si>
    <t>Air SolidOut FeO 0.237232502553</t>
  </si>
  <si>
    <t>Air SolidOut Fe 6.3497035905e-10</t>
  </si>
  <si>
    <t>Fuel GasIn CH4 183.62868672</t>
  </si>
  <si>
    <t>Fuel GasIn CO 0.00188732</t>
  </si>
  <si>
    <t>Fuel GasIn H2 0.00188732</t>
  </si>
  <si>
    <t>Fuel GasIn CO2 2.453516</t>
  </si>
  <si>
    <t>Fuel GasIn H2O 0.00188732</t>
  </si>
  <si>
    <t>Fuel GasIn O2 0.00188732</t>
  </si>
  <si>
    <t>Fuel GasIn N2 2.642248</t>
  </si>
  <si>
    <t>Fuel SolidIn C 0.00426295</t>
  </si>
  <si>
    <t>Fuel SolidIn Fe2O3 426.2779482</t>
  </si>
  <si>
    <t>Fuel SolidIn Fe3O4 0.00426295</t>
  </si>
  <si>
    <t>Fuel SolidIn FeO 0.00426295</t>
  </si>
  <si>
    <t>Fuel SolidIn Fe 0.00426295</t>
  </si>
  <si>
    <t>Fuel GasOut CH4 1.48593872524e-05</t>
  </si>
  <si>
    <t>Fuel GasOut CO 108.869257827</t>
  </si>
  <si>
    <t>Fuel GasOut H2 112.771152266</t>
  </si>
  <si>
    <t>Fuel GasOut CO2 77.0956273586</t>
  </si>
  <si>
    <t>Fuel GasOut H2O 254.489966096</t>
  </si>
  <si>
    <t>Fuel GasOut O2 0.00555873825145</t>
  </si>
  <si>
    <t>Fuel GasOut N2 2.642248</t>
  </si>
  <si>
    <t>Fuel SolidOut C 0.123452944758</t>
  </si>
  <si>
    <t>Fuel SolidOut Fe2O3 4.23679352781</t>
  </si>
  <si>
    <t>Fuel SolidOut Fe3O4 78.0173541476</t>
  </si>
  <si>
    <t>Fuel SolidOut FeO 441.42834734</t>
  </si>
  <si>
    <t>Fuel SolidOut Fe 168.623214312</t>
  </si>
  <si>
    <t>kJ/mol</t>
  </si>
  <si>
    <t>DfHo_solid (kJ/mol)</t>
  </si>
  <si>
    <r>
      <t>C</t>
    </r>
    <r>
      <rPr>
        <vertAlign val="subscript"/>
        <sz val="7.7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° = A + B*t + C*t</t>
    </r>
    <r>
      <rPr>
        <vertAlign val="superscript"/>
        <sz val="7.7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D*t</t>
    </r>
    <r>
      <rPr>
        <vertAlign val="superscript"/>
        <sz val="7.7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E/t</t>
    </r>
    <r>
      <rPr>
        <vertAlign val="superscript"/>
        <sz val="7.7"/>
        <color theme="1"/>
        <rFont val="Calibri"/>
        <family val="2"/>
        <scheme val="minor"/>
      </rPr>
      <t>2</t>
    </r>
  </si>
  <si>
    <r>
      <t>H° − H°</t>
    </r>
    <r>
      <rPr>
        <vertAlign val="subscript"/>
        <sz val="7.7"/>
        <color theme="1"/>
        <rFont val="Calibri"/>
        <family val="2"/>
        <scheme val="minor"/>
      </rPr>
      <t>298.15</t>
    </r>
    <r>
      <rPr>
        <sz val="11"/>
        <color theme="1"/>
        <rFont val="Calibri"/>
        <family val="2"/>
        <scheme val="minor"/>
      </rPr>
      <t>= A*t + B*t</t>
    </r>
    <r>
      <rPr>
        <vertAlign val="superscript"/>
        <sz val="7.7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 + C*t</t>
    </r>
    <r>
      <rPr>
        <vertAlign val="superscript"/>
        <sz val="7.7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/3 + D*t</t>
    </r>
    <r>
      <rPr>
        <vertAlign val="superscript"/>
        <sz val="7.7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/4 − E/t + F − H</t>
    </r>
  </si>
  <si>
    <r>
      <t>S° = A*ln(t) + B*t + C*t</t>
    </r>
    <r>
      <rPr>
        <vertAlign val="superscript"/>
        <sz val="7.7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 + D*t</t>
    </r>
    <r>
      <rPr>
        <vertAlign val="superscript"/>
        <sz val="7.7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/3 − E/(2*t</t>
    </r>
    <r>
      <rPr>
        <vertAlign val="superscript"/>
        <sz val="7.7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G</t>
    </r>
  </si>
  <si>
    <r>
      <t>    C</t>
    </r>
    <r>
      <rPr>
        <vertAlign val="subscript"/>
        <sz val="7.7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heat capacity (J/mol*K)</t>
    </r>
  </si>
  <si>
    <t>    H° = standard enthalpy (kJ/mol)</t>
  </si>
  <si>
    <t>    S° = standard entropy (J/mol*K)</t>
  </si>
  <si>
    <t>    t = temperature (K) / 1000.</t>
  </si>
  <si>
    <t>A</t>
  </si>
  <si>
    <t>B</t>
  </si>
  <si>
    <t>C</t>
  </si>
  <si>
    <t>D</t>
  </si>
  <si>
    <t>E</t>
  </si>
  <si>
    <t>G</t>
  </si>
  <si>
    <t>H</t>
  </si>
  <si>
    <t>Temp/1000 K</t>
  </si>
  <si>
    <t>Cpo (J/mol/K)</t>
  </si>
  <si>
    <t>Range (K)</t>
  </si>
  <si>
    <t>1050-2500</t>
  </si>
  <si>
    <t>Ho-Ho298.15 (kJ/mol)</t>
  </si>
  <si>
    <t>Ho-Ho298.15 (J/mol)</t>
  </si>
  <si>
    <t>900-3000</t>
  </si>
  <si>
    <t>298-1650</t>
  </si>
  <si>
    <t>298-1809</t>
  </si>
  <si>
    <t>CO</t>
  </si>
  <si>
    <t>H2</t>
  </si>
  <si>
    <t>Solid</t>
  </si>
  <si>
    <t>Gas</t>
  </si>
  <si>
    <t>298-6000</t>
  </si>
  <si>
    <t>298-1300</t>
  </si>
  <si>
    <t>298-1200</t>
  </si>
  <si>
    <t>298-1000</t>
  </si>
  <si>
    <t>1000-2500</t>
  </si>
  <si>
    <t>1300-6000</t>
  </si>
  <si>
    <t>1200-6000</t>
  </si>
  <si>
    <t>298-950</t>
  </si>
  <si>
    <t>950-1050</t>
  </si>
  <si>
    <t>298-900</t>
  </si>
  <si>
    <t>500-1700</t>
  </si>
  <si>
    <t>1700-6000</t>
  </si>
  <si>
    <t>100-500</t>
  </si>
  <si>
    <t>500-2000</t>
  </si>
  <si>
    <t>2000-6000</t>
  </si>
  <si>
    <t>100-700</t>
  </si>
  <si>
    <t>700-2000</t>
  </si>
  <si>
    <t>Values fro m NIST</t>
  </si>
  <si>
    <t>4 Fe3O4 + O2 --&gt; 6 Fe2O3</t>
  </si>
  <si>
    <t>4 FeO + O2 --&gt; 2 Fe2O3</t>
  </si>
  <si>
    <t>CO + 3Fe2O3 --&gt; CO2 + 2 Fe3O4</t>
  </si>
  <si>
    <t>CO + Fe2O3 --&gt; CO2 + 2 FeO</t>
  </si>
  <si>
    <t>H2 + 3Fe2O3 --&gt; H2O + 2 Fe3O4</t>
  </si>
  <si>
    <t>H2 + Fe2O3 --&gt; H2O + 2 FeO</t>
  </si>
  <si>
    <t>CH4 + 3 Fe2O3 --&gt; 2 H2 + CO + 2 Fe3O4</t>
  </si>
  <si>
    <t>C + 3 Fe2O3 --&gt; CO + 2 Fe3O4</t>
  </si>
  <si>
    <t>C + 2 Fe2O3 --&gt; CO2 + 4 FeO</t>
  </si>
  <si>
    <t>CH4 + 4 Fe2O3 --&gt; 2 H2O + CO2 + 8 FeO</t>
  </si>
  <si>
    <t>4 Fe2O3 + CH4 +-- 8 FeO + CO2 + 2 H2O</t>
  </si>
  <si>
    <t>4 Fe + 3 O2 --&gt; 2 Fe2O3</t>
  </si>
  <si>
    <t>Calculated Values</t>
  </si>
  <si>
    <t>SSE</t>
  </si>
  <si>
    <t>Chosen for CLC reactor unit ops</t>
  </si>
  <si>
    <t>Values from Huang, J Sust Bioenergy Systems, 2013 at 650 or 750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</si>
</sst>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"/>
    <numFmt numFmtId="167" formatCode="0.0000000"/>
    <numFmt numFmtId="168" formatCode="0.000000000000"/>
  </numFmts>
  <fonts count="3" x14ac:knownFonts="1">
    <font>
      <sz val="11"/>
      <color theme="1"/>
      <name val="Calibri"/>
      <family val="2"/>
      <scheme val="minor"/>
    </font>
    <font>
      <vertAlign val="subscript"/>
      <sz val="7.7"/>
      <color theme="1"/>
      <name val="Calibri"/>
      <family val="2"/>
      <scheme val="minor"/>
    </font>
    <font>
      <vertAlign val="superscript"/>
      <sz val="7.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zoomScale="55" zoomScaleNormal="55" workbookViewId="0"/>
  </sheetViews>
  <sheetFormatPr defaultRowHeight="15" x14ac:dyDescent="0.25"/>
  <cols>
    <col min="1" max="1" width="9.140625" style="1"/>
    <col min="2" max="2" width="23" style="1" bestFit="1" customWidth="1"/>
    <col min="3" max="3" width="15.42578125" style="1" customWidth="1"/>
    <col min="4" max="4" width="16.85546875" style="1" bestFit="1" customWidth="1"/>
    <col min="5" max="5" width="15.140625" style="1" bestFit="1" customWidth="1"/>
    <col min="6" max="6" width="35.42578125" style="1" bestFit="1" customWidth="1"/>
    <col min="7" max="7" width="13.42578125" style="1" bestFit="1" customWidth="1"/>
    <col min="8" max="8" width="12.85546875" style="1" bestFit="1" customWidth="1"/>
    <col min="9" max="9" width="16" style="1" bestFit="1" customWidth="1"/>
    <col min="10" max="10" width="13.140625" style="1" bestFit="1" customWidth="1"/>
    <col min="11" max="11" width="14.7109375" style="1" bestFit="1" customWidth="1"/>
    <col min="12" max="12" width="13.7109375" style="1" bestFit="1" customWidth="1"/>
    <col min="13" max="13" width="9.140625" style="1"/>
    <col min="14" max="14" width="13.42578125" style="1" bestFit="1" customWidth="1"/>
    <col min="15" max="15" width="20.28515625" style="1" bestFit="1" customWidth="1"/>
    <col min="16" max="16" width="19.28515625" style="1" bestFit="1" customWidth="1"/>
    <col min="17" max="16384" width="9.140625" style="1"/>
  </cols>
  <sheetData>
    <row r="1" spans="1:22" x14ac:dyDescent="0.25">
      <c r="A1" s="7" t="s">
        <v>107</v>
      </c>
      <c r="M1" s="1">
        <v>0.88714999999999999</v>
      </c>
    </row>
    <row r="2" spans="1:22" ht="30" x14ac:dyDescent="0.25">
      <c r="C2" s="3" t="s">
        <v>62</v>
      </c>
      <c r="D2" s="3" t="s">
        <v>79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2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81</v>
      </c>
      <c r="P2" s="1" t="s">
        <v>82</v>
      </c>
      <c r="Q2" s="1" t="s">
        <v>76</v>
      </c>
    </row>
    <row r="3" spans="1:22" x14ac:dyDescent="0.25">
      <c r="A3" s="1" t="s">
        <v>88</v>
      </c>
      <c r="B3" s="1" t="s">
        <v>15</v>
      </c>
      <c r="C3" s="1">
        <v>-825.5</v>
      </c>
      <c r="D3" s="3" t="s">
        <v>97</v>
      </c>
      <c r="E3" s="1">
        <v>93.438339999999997</v>
      </c>
      <c r="F3" s="1">
        <v>108.35769999999999</v>
      </c>
      <c r="G3" s="1">
        <v>-50.864469999999997</v>
      </c>
      <c r="H3" s="1">
        <v>25.586829999999999</v>
      </c>
      <c r="I3" s="1">
        <v>-1.6113299999999999</v>
      </c>
      <c r="J3" s="1">
        <v>-863.20939999999996</v>
      </c>
      <c r="K3" s="1">
        <v>161.0719</v>
      </c>
      <c r="L3" s="1">
        <v>-825.50319999999999</v>
      </c>
      <c r="M3" s="1">
        <f>(650+273.15)/1000</f>
        <v>0.92315000000000003</v>
      </c>
      <c r="N3" s="5">
        <f t="shared" ref="N3:N26" si="0">E3+F3*M3+G3*M3^2+H3*M3^3+I3/M3^2</f>
        <v>168.3604875194149</v>
      </c>
      <c r="O3" s="4">
        <f t="shared" ref="O3:O26" si="1">E3*M3+F3*M3^2/2+G3*M3^3/3+H3*M3^4/4-I3/M3+J3-L3</f>
        <v>87.7754549741353</v>
      </c>
      <c r="P3" s="4">
        <f t="shared" ref="P3:P16" si="2">O3*1000</f>
        <v>87775.454974135297</v>
      </c>
      <c r="Q3" s="4">
        <f>O3+C3</f>
        <v>-737.7245450258647</v>
      </c>
      <c r="S3" s="7"/>
    </row>
    <row r="4" spans="1:22" x14ac:dyDescent="0.25">
      <c r="A4" s="1" t="s">
        <v>88</v>
      </c>
      <c r="C4" s="1">
        <v>-825.5</v>
      </c>
      <c r="D4" s="3" t="s">
        <v>98</v>
      </c>
      <c r="E4" s="1">
        <v>150.624</v>
      </c>
      <c r="F4" s="1">
        <v>0</v>
      </c>
      <c r="G4" s="1">
        <v>0</v>
      </c>
      <c r="H4" s="1">
        <v>0</v>
      </c>
      <c r="I4" s="1">
        <v>0</v>
      </c>
      <c r="J4" s="1">
        <v>-875.60659999999996</v>
      </c>
      <c r="K4" s="1">
        <v>252.88140000000001</v>
      </c>
      <c r="L4" s="1">
        <v>-825.50319999999999</v>
      </c>
      <c r="M4" s="1">
        <f t="shared" ref="M4:M26" si="3">(650+273.15)/1000</f>
        <v>0.92315000000000003</v>
      </c>
      <c r="N4" s="5">
        <f t="shared" si="0"/>
        <v>150.624</v>
      </c>
      <c r="O4" s="4">
        <f t="shared" si="1"/>
        <v>88.945145600000046</v>
      </c>
      <c r="P4" s="4">
        <f t="shared" si="2"/>
        <v>88945.145600000047</v>
      </c>
      <c r="Q4" s="4">
        <f t="shared" ref="Q4:Q26" si="4">O4+C4</f>
        <v>-736.55485439999995</v>
      </c>
      <c r="S4" s="7"/>
    </row>
    <row r="5" spans="1:22" x14ac:dyDescent="0.25">
      <c r="A5" s="1" t="s">
        <v>88</v>
      </c>
      <c r="C5" s="1">
        <v>-825.5</v>
      </c>
      <c r="D5" s="11" t="s">
        <v>80</v>
      </c>
      <c r="E5" s="1">
        <v>110.9362</v>
      </c>
      <c r="F5" s="1">
        <v>32.047139999999999</v>
      </c>
      <c r="G5" s="1">
        <v>-9.1923329999999996</v>
      </c>
      <c r="H5" s="1">
        <v>0.90150600000000003</v>
      </c>
      <c r="I5" s="1">
        <v>5.4336770000000003</v>
      </c>
      <c r="J5" s="1">
        <v>-843.14710000000002</v>
      </c>
      <c r="K5" s="1">
        <v>228.35480000000001</v>
      </c>
      <c r="L5" s="1">
        <v>-825.50319999999999</v>
      </c>
      <c r="M5" s="1">
        <f t="shared" si="3"/>
        <v>0.92315000000000003</v>
      </c>
      <c r="N5" s="5">
        <f t="shared" si="0"/>
        <v>139.7719980914157</v>
      </c>
      <c r="O5" s="4">
        <f t="shared" si="1"/>
        <v>90.289318931776506</v>
      </c>
      <c r="P5" s="4">
        <f t="shared" si="2"/>
        <v>90289.318931776506</v>
      </c>
      <c r="Q5" s="4">
        <f t="shared" si="4"/>
        <v>-735.21068106822349</v>
      </c>
      <c r="S5" s="7"/>
    </row>
    <row r="6" spans="1:22" x14ac:dyDescent="0.25">
      <c r="A6" s="1" t="s">
        <v>88</v>
      </c>
      <c r="B6" s="1" t="s">
        <v>11</v>
      </c>
      <c r="C6" s="1">
        <v>-1120.8900000000001</v>
      </c>
      <c r="D6" s="1" t="s">
        <v>99</v>
      </c>
      <c r="E6" s="1">
        <v>104.20959999999999</v>
      </c>
      <c r="F6" s="1">
        <v>178.51079999999999</v>
      </c>
      <c r="G6" s="1">
        <v>10.6151</v>
      </c>
      <c r="H6" s="1">
        <v>1.1325339999999999</v>
      </c>
      <c r="I6" s="1">
        <v>-0.99420200000000003</v>
      </c>
      <c r="J6" s="1">
        <v>-1163.336</v>
      </c>
      <c r="K6" s="1">
        <v>212.05850000000001</v>
      </c>
      <c r="L6" s="1">
        <v>-1120.894</v>
      </c>
      <c r="M6" s="1">
        <f t="shared" si="3"/>
        <v>0.92315000000000003</v>
      </c>
      <c r="N6" s="5">
        <f t="shared" si="0"/>
        <v>277.77245455349754</v>
      </c>
      <c r="O6" s="4">
        <f t="shared" si="1"/>
        <v>133.88934897395359</v>
      </c>
      <c r="P6" s="4">
        <f t="shared" si="2"/>
        <v>133889.3489739536</v>
      </c>
      <c r="Q6" s="4">
        <f t="shared" si="4"/>
        <v>-987.00065102604651</v>
      </c>
      <c r="S6" s="7"/>
    </row>
    <row r="7" spans="1:22" x14ac:dyDescent="0.25">
      <c r="A7" s="1" t="s">
        <v>88</v>
      </c>
      <c r="C7" s="1">
        <v>-1120.8900000000001</v>
      </c>
      <c r="D7" s="11" t="s">
        <v>83</v>
      </c>
      <c r="E7" s="1">
        <v>200.83199999999999</v>
      </c>
      <c r="F7" s="6">
        <v>1.5864349999999999E-7</v>
      </c>
      <c r="G7" s="6">
        <v>-6.6616820000000002E-8</v>
      </c>
      <c r="H7" s="6">
        <v>9.4524519999999994E-9</v>
      </c>
      <c r="I7" s="6">
        <v>3.18602E-8</v>
      </c>
      <c r="J7" s="6">
        <v>-1174.135</v>
      </c>
      <c r="K7" s="6">
        <v>388.07900000000001</v>
      </c>
      <c r="L7" s="6">
        <v>-1120.894</v>
      </c>
      <c r="M7" s="1">
        <f t="shared" si="3"/>
        <v>0.92315000000000003</v>
      </c>
      <c r="N7" s="5">
        <f t="shared" si="0"/>
        <v>200.83200013450244</v>
      </c>
      <c r="O7" s="4">
        <f t="shared" si="1"/>
        <v>132.15706081733276</v>
      </c>
      <c r="P7" s="4">
        <f t="shared" si="2"/>
        <v>132157.06081733276</v>
      </c>
      <c r="Q7" s="4">
        <f>O7+C7</f>
        <v>-988.73293918266734</v>
      </c>
      <c r="S7" s="7"/>
    </row>
    <row r="8" spans="1:22" x14ac:dyDescent="0.25">
      <c r="A8" s="1" t="s">
        <v>88</v>
      </c>
      <c r="B8" s="1" t="s">
        <v>10</v>
      </c>
      <c r="C8" s="1">
        <v>-272.04000000000002</v>
      </c>
      <c r="D8" s="11" t="s">
        <v>84</v>
      </c>
      <c r="E8" s="1">
        <v>45.751199999999997</v>
      </c>
      <c r="F8" s="1">
        <v>18.785530000000001</v>
      </c>
      <c r="G8" s="1">
        <v>-5.9522009999999996</v>
      </c>
      <c r="H8" s="1">
        <v>0.85277899999999995</v>
      </c>
      <c r="I8" s="1">
        <v>-8.1265000000000004E-2</v>
      </c>
      <c r="J8" s="1">
        <v>-286.74290000000002</v>
      </c>
      <c r="K8" s="1">
        <v>110.312</v>
      </c>
      <c r="L8" s="1">
        <v>-272.04410000000001</v>
      </c>
      <c r="M8" s="1">
        <f t="shared" si="3"/>
        <v>0.92315000000000003</v>
      </c>
      <c r="N8" s="4">
        <f t="shared" si="0"/>
        <v>58.596095758130609</v>
      </c>
      <c r="O8" s="4">
        <f t="shared" si="1"/>
        <v>34.222961012911895</v>
      </c>
      <c r="P8" s="4">
        <f t="shared" si="2"/>
        <v>34222.961012911896</v>
      </c>
      <c r="Q8" s="4">
        <f t="shared" si="4"/>
        <v>-237.81703898708813</v>
      </c>
      <c r="S8" s="7"/>
    </row>
    <row r="9" spans="1:22" x14ac:dyDescent="0.25">
      <c r="A9" s="1" t="s">
        <v>88</v>
      </c>
      <c r="B9" s="1" t="s">
        <v>17</v>
      </c>
      <c r="D9" s="11" t="s">
        <v>85</v>
      </c>
      <c r="E9" s="1">
        <v>23.974489999999999</v>
      </c>
      <c r="F9" s="1">
        <v>8.3677499999999991</v>
      </c>
      <c r="G9" s="1">
        <v>2.7700000000000001E-4</v>
      </c>
      <c r="H9" s="1">
        <v>-8.6000000000000003E-5</v>
      </c>
      <c r="I9" s="1">
        <v>-5.0000000000000004E-6</v>
      </c>
      <c r="J9" s="1">
        <v>0.26802700000000002</v>
      </c>
      <c r="K9" s="1">
        <v>62.063360000000003</v>
      </c>
      <c r="L9" s="1">
        <v>7.7880149999999997</v>
      </c>
      <c r="M9" s="1">
        <f t="shared" si="3"/>
        <v>0.92315000000000003</v>
      </c>
      <c r="N9" s="4">
        <f t="shared" si="0"/>
        <v>31.699340949018797</v>
      </c>
      <c r="O9" s="4">
        <f t="shared" si="1"/>
        <v>18.177647939172999</v>
      </c>
      <c r="P9" s="4">
        <f t="shared" si="2"/>
        <v>18177.647939172999</v>
      </c>
      <c r="Q9" s="4">
        <f t="shared" si="4"/>
        <v>18.177647939172999</v>
      </c>
      <c r="S9" s="7"/>
    </row>
    <row r="10" spans="1:22" x14ac:dyDescent="0.25">
      <c r="A10" s="1" t="s">
        <v>89</v>
      </c>
      <c r="B10" s="1" t="s">
        <v>72</v>
      </c>
      <c r="D10" s="11" t="s">
        <v>90</v>
      </c>
      <c r="E10" s="1">
        <v>21.1751</v>
      </c>
      <c r="F10" s="1">
        <v>-0.81242800000000004</v>
      </c>
      <c r="G10" s="1">
        <v>0.44853700000000002</v>
      </c>
      <c r="H10" s="1">
        <v>-4.3256000000000003E-2</v>
      </c>
      <c r="I10" s="1">
        <v>-1.3103E-2</v>
      </c>
      <c r="J10" s="1">
        <v>710.34699999999998</v>
      </c>
      <c r="K10" s="1">
        <v>183.8734</v>
      </c>
      <c r="L10" s="1">
        <v>716.66899999999998</v>
      </c>
      <c r="M10" s="1">
        <f t="shared" si="3"/>
        <v>0.92315000000000003</v>
      </c>
      <c r="N10" s="4">
        <f t="shared" si="0"/>
        <v>20.757947491460875</v>
      </c>
      <c r="O10" s="4">
        <f t="shared" si="1"/>
        <v>13.00357909098841</v>
      </c>
      <c r="P10" s="4">
        <f t="shared" si="2"/>
        <v>13003.579090988409</v>
      </c>
      <c r="Q10" s="4">
        <f t="shared" si="4"/>
        <v>13.00357909098841</v>
      </c>
      <c r="S10" s="7"/>
      <c r="V10" s="1">
        <v>0.29815000000000003</v>
      </c>
    </row>
    <row r="11" spans="1:22" x14ac:dyDescent="0.25">
      <c r="A11" s="1" t="s">
        <v>89</v>
      </c>
      <c r="B11" s="1" t="s">
        <v>13</v>
      </c>
      <c r="C11" s="1">
        <v>-74.87</v>
      </c>
      <c r="D11" s="11" t="s">
        <v>91</v>
      </c>
      <c r="E11" s="1">
        <v>-0.70302900000000002</v>
      </c>
      <c r="F11" s="1">
        <v>108.4773</v>
      </c>
      <c r="G11" s="1">
        <v>-42.521569999999997</v>
      </c>
      <c r="H11" s="1">
        <v>5.8627880000000001</v>
      </c>
      <c r="I11" s="1">
        <v>0.67856499999999997</v>
      </c>
      <c r="J11" s="1">
        <v>-76.843760000000003</v>
      </c>
      <c r="K11" s="1">
        <v>158.71629999999999</v>
      </c>
      <c r="L11" s="1">
        <v>-74.873099999999994</v>
      </c>
      <c r="M11" s="1">
        <f t="shared" si="3"/>
        <v>0.92315000000000003</v>
      </c>
      <c r="N11" s="4">
        <f t="shared" si="0"/>
        <v>68.609238850293835</v>
      </c>
      <c r="O11" s="4">
        <f t="shared" si="1"/>
        <v>32.781483305194122</v>
      </c>
      <c r="P11" s="4">
        <f t="shared" si="2"/>
        <v>32781.483305194124</v>
      </c>
      <c r="Q11" s="4">
        <f t="shared" si="4"/>
        <v>-42.088516694805882</v>
      </c>
      <c r="S11" s="7"/>
    </row>
    <row r="12" spans="1:22" x14ac:dyDescent="0.25">
      <c r="A12" s="1" t="s">
        <v>89</v>
      </c>
      <c r="C12" s="1">
        <v>-74.87</v>
      </c>
      <c r="D12" s="1" t="s">
        <v>95</v>
      </c>
      <c r="E12" s="1">
        <v>85.812169999999995</v>
      </c>
      <c r="F12" s="1">
        <v>11.264670000000001</v>
      </c>
      <c r="G12" s="1">
        <v>-2.1141459999999999</v>
      </c>
      <c r="H12" s="1">
        <v>0.13819000000000001</v>
      </c>
      <c r="I12" s="1">
        <v>-26.42221</v>
      </c>
      <c r="J12" s="1">
        <v>-153.53270000000001</v>
      </c>
      <c r="K12" s="1">
        <v>224.4143</v>
      </c>
      <c r="L12" s="1">
        <v>-74.873099999999994</v>
      </c>
      <c r="M12" s="1">
        <f t="shared" si="3"/>
        <v>0.92315000000000003</v>
      </c>
      <c r="N12" s="4">
        <f t="shared" si="0"/>
        <v>63.51368836420076</v>
      </c>
      <c r="O12" s="4">
        <f t="shared" si="1"/>
        <v>33.450289867168976</v>
      </c>
      <c r="P12" s="4">
        <f t="shared" si="2"/>
        <v>33450.289867168976</v>
      </c>
      <c r="Q12" s="4">
        <f t="shared" si="4"/>
        <v>-41.419710132831028</v>
      </c>
      <c r="S12" s="7"/>
    </row>
    <row r="13" spans="1:22" x14ac:dyDescent="0.25">
      <c r="A13" s="1" t="s">
        <v>89</v>
      </c>
      <c r="B13" s="1" t="s">
        <v>86</v>
      </c>
      <c r="C13" s="1">
        <v>-110.53</v>
      </c>
      <c r="D13" s="11" t="s">
        <v>91</v>
      </c>
      <c r="E13" s="1">
        <v>25.567589999999999</v>
      </c>
      <c r="F13" s="1">
        <v>6.0961299999999996</v>
      </c>
      <c r="G13" s="1">
        <v>4.0546559999999996</v>
      </c>
      <c r="H13" s="1">
        <v>-2.6713010000000001</v>
      </c>
      <c r="I13" s="1">
        <v>0.131021</v>
      </c>
      <c r="J13" s="1">
        <v>-118.0089</v>
      </c>
      <c r="K13" s="1">
        <v>227.3665</v>
      </c>
      <c r="L13" s="1">
        <v>-110.5271</v>
      </c>
      <c r="M13" s="1">
        <f t="shared" si="3"/>
        <v>0.92315000000000003</v>
      </c>
      <c r="N13" s="4">
        <f t="shared" si="0"/>
        <v>32.70282800340653</v>
      </c>
      <c r="O13" s="4">
        <f t="shared" si="1"/>
        <v>19.154844931286334</v>
      </c>
      <c r="P13" s="4">
        <f t="shared" si="2"/>
        <v>19154.844931286334</v>
      </c>
      <c r="Q13" s="4">
        <f t="shared" si="4"/>
        <v>-91.375155068713667</v>
      </c>
      <c r="S13" s="7"/>
    </row>
    <row r="14" spans="1:22" x14ac:dyDescent="0.25">
      <c r="A14" s="1" t="s">
        <v>89</v>
      </c>
      <c r="C14" s="1">
        <v>-110.53</v>
      </c>
      <c r="D14" s="1" t="s">
        <v>95</v>
      </c>
      <c r="E14" s="1">
        <v>35.150700000000001</v>
      </c>
      <c r="F14" s="1">
        <v>1.300095</v>
      </c>
      <c r="G14" s="1">
        <v>-0.20592099999999999</v>
      </c>
      <c r="H14" s="1">
        <v>1.355E-2</v>
      </c>
      <c r="I14" s="1">
        <v>-3.2827799999999998</v>
      </c>
      <c r="J14" s="1">
        <v>-127.83750000000001</v>
      </c>
      <c r="K14" s="1">
        <v>231.71199999999999</v>
      </c>
      <c r="L14" s="1">
        <v>-110.5271</v>
      </c>
      <c r="M14" s="1">
        <f t="shared" si="3"/>
        <v>0.92315000000000003</v>
      </c>
      <c r="N14" s="4">
        <f t="shared" si="0"/>
        <v>32.333958432982307</v>
      </c>
      <c r="O14" s="4">
        <f t="shared" si="1"/>
        <v>19.197466397151899</v>
      </c>
      <c r="P14" s="4">
        <f t="shared" si="2"/>
        <v>19197.4663971519</v>
      </c>
      <c r="Q14" s="4">
        <f t="shared" si="4"/>
        <v>-91.332533602848102</v>
      </c>
      <c r="S14" s="7"/>
    </row>
    <row r="15" spans="1:22" x14ac:dyDescent="0.25">
      <c r="A15" s="1" t="s">
        <v>89</v>
      </c>
      <c r="B15" s="1" t="s">
        <v>14</v>
      </c>
      <c r="C15" s="1">
        <v>-393.51</v>
      </c>
      <c r="D15" s="11" t="s">
        <v>92</v>
      </c>
      <c r="E15" s="1">
        <v>24.997350000000001</v>
      </c>
      <c r="F15" s="1">
        <v>55.186959999999999</v>
      </c>
      <c r="G15" s="1">
        <v>-33.691369999999999</v>
      </c>
      <c r="H15" s="1">
        <v>7.9483870000000003</v>
      </c>
      <c r="I15" s="1">
        <v>-0.13663800000000001</v>
      </c>
      <c r="J15" s="1">
        <v>-403.60750000000002</v>
      </c>
      <c r="K15" s="1">
        <v>228.2431</v>
      </c>
      <c r="L15" s="1">
        <v>-393.5224</v>
      </c>
      <c r="M15" s="1">
        <f t="shared" si="3"/>
        <v>0.92315000000000003</v>
      </c>
      <c r="N15" s="4">
        <f t="shared" si="0"/>
        <v>53.323979099622711</v>
      </c>
      <c r="O15" s="4">
        <f t="shared" si="1"/>
        <v>29.262525999593663</v>
      </c>
      <c r="P15" s="4">
        <f t="shared" si="2"/>
        <v>29262.525999593665</v>
      </c>
      <c r="Q15" s="4">
        <f t="shared" si="4"/>
        <v>-364.24747400040633</v>
      </c>
    </row>
    <row r="16" spans="1:22" x14ac:dyDescent="0.25">
      <c r="A16" s="1" t="s">
        <v>89</v>
      </c>
      <c r="C16" s="1">
        <v>-393.51</v>
      </c>
      <c r="D16" s="1" t="s">
        <v>96</v>
      </c>
      <c r="E16" s="1">
        <v>58.16639</v>
      </c>
      <c r="F16" s="1">
        <v>2.7200739999999999</v>
      </c>
      <c r="G16" s="1">
        <v>-0.49228899999999998</v>
      </c>
      <c r="H16" s="1">
        <v>3.8843999999999997E-2</v>
      </c>
      <c r="I16" s="1">
        <v>-6.4472930000000002</v>
      </c>
      <c r="J16" s="1">
        <v>-425.91860000000003</v>
      </c>
      <c r="K16" s="1">
        <v>263.61250000000001</v>
      </c>
      <c r="L16" s="1">
        <v>-393.5224</v>
      </c>
      <c r="M16" s="1">
        <f t="shared" si="3"/>
        <v>0.92315000000000003</v>
      </c>
      <c r="N16" s="4">
        <f t="shared" si="0"/>
        <v>52.723037030033019</v>
      </c>
      <c r="O16" s="4">
        <f t="shared" si="1"/>
        <v>29.321104825965563</v>
      </c>
      <c r="P16" s="4">
        <f t="shared" si="2"/>
        <v>29321.104825965562</v>
      </c>
      <c r="Q16" s="4">
        <f t="shared" si="4"/>
        <v>-364.18889517403443</v>
      </c>
    </row>
    <row r="17" spans="1:17" x14ac:dyDescent="0.25">
      <c r="A17" s="1" t="s">
        <v>89</v>
      </c>
      <c r="B17" s="1" t="s">
        <v>87</v>
      </c>
      <c r="C17" s="1">
        <v>0</v>
      </c>
      <c r="D17" s="11" t="s">
        <v>93</v>
      </c>
      <c r="E17" s="1">
        <v>33.066178000000001</v>
      </c>
      <c r="F17" s="1">
        <v>-11.363417</v>
      </c>
      <c r="G17" s="1">
        <v>11.432816000000001</v>
      </c>
      <c r="H17" s="1">
        <v>-2.7728739999999998</v>
      </c>
      <c r="I17" s="1">
        <v>-0.158558</v>
      </c>
      <c r="J17" s="1">
        <v>-9.9807970000000008</v>
      </c>
      <c r="K17" s="1">
        <v>172.70797400000001</v>
      </c>
      <c r="L17" s="1">
        <v>0</v>
      </c>
      <c r="M17" s="1">
        <f t="shared" si="3"/>
        <v>0.92315000000000003</v>
      </c>
      <c r="N17" s="4">
        <f t="shared" si="0"/>
        <v>29.951638620558516</v>
      </c>
      <c r="O17" s="4">
        <f t="shared" si="1"/>
        <v>18.368682211107782</v>
      </c>
      <c r="P17" s="4">
        <f t="shared" ref="P17:P26" si="5">O17*1000</f>
        <v>18368.682211107782</v>
      </c>
      <c r="Q17" s="4">
        <f t="shared" si="4"/>
        <v>18.368682211107782</v>
      </c>
    </row>
    <row r="18" spans="1:17" x14ac:dyDescent="0.25">
      <c r="A18" s="1" t="s">
        <v>89</v>
      </c>
      <c r="C18" s="1">
        <v>0</v>
      </c>
      <c r="D18" s="1" t="s">
        <v>94</v>
      </c>
      <c r="E18" s="1">
        <v>18.563082999999999</v>
      </c>
      <c r="F18" s="1">
        <v>12.257357000000001</v>
      </c>
      <c r="G18" s="1">
        <v>-2.8597860000000002</v>
      </c>
      <c r="H18" s="1">
        <v>0.26823799999999998</v>
      </c>
      <c r="I18" s="1">
        <v>1.9779899999999999</v>
      </c>
      <c r="J18" s="1">
        <v>-1.147438</v>
      </c>
      <c r="K18" s="1">
        <v>156.28813299999999</v>
      </c>
      <c r="L18" s="1">
        <v>0</v>
      </c>
      <c r="M18" s="1">
        <f t="shared" si="3"/>
        <v>0.92315000000000003</v>
      </c>
      <c r="N18" s="4">
        <f t="shared" si="0"/>
        <v>29.973385642393811</v>
      </c>
      <c r="O18" s="4">
        <f t="shared" si="1"/>
        <v>18.368073142482611</v>
      </c>
      <c r="P18" s="4">
        <f t="shared" si="5"/>
        <v>18368.073142482612</v>
      </c>
      <c r="Q18" s="4">
        <f t="shared" si="4"/>
        <v>18.368073142482611</v>
      </c>
    </row>
    <row r="19" spans="1:17" x14ac:dyDescent="0.25">
      <c r="A19" s="1" t="s">
        <v>89</v>
      </c>
      <c r="B19" s="1" t="s">
        <v>6</v>
      </c>
      <c r="C19" s="1">
        <v>-241.82599999999999</v>
      </c>
      <c r="D19" s="11" t="s">
        <v>100</v>
      </c>
      <c r="E19" s="1">
        <v>30.091999999999999</v>
      </c>
      <c r="F19" s="1">
        <v>6.8325139999999998</v>
      </c>
      <c r="G19" s="1">
        <v>6.7934349999999997</v>
      </c>
      <c r="H19" s="1">
        <v>-2.5344799999999998</v>
      </c>
      <c r="I19" s="1">
        <v>8.2139000000000004E-2</v>
      </c>
      <c r="J19" s="1">
        <v>-250.881</v>
      </c>
      <c r="K19" s="1">
        <v>223.39670000000001</v>
      </c>
      <c r="L19" s="1">
        <v>-241.82640000000001</v>
      </c>
      <c r="M19" s="1">
        <f t="shared" si="3"/>
        <v>0.92315000000000003</v>
      </c>
      <c r="N19" s="4">
        <f t="shared" si="0"/>
        <v>40.291314183302653</v>
      </c>
      <c r="O19" s="4">
        <f t="shared" si="1"/>
        <v>22.86853429911335</v>
      </c>
      <c r="P19" s="4">
        <f t="shared" si="5"/>
        <v>22868.534299113351</v>
      </c>
      <c r="Q19" s="4">
        <f t="shared" si="4"/>
        <v>-218.95746570088664</v>
      </c>
    </row>
    <row r="20" spans="1:17" x14ac:dyDescent="0.25">
      <c r="A20" s="1" t="s">
        <v>89</v>
      </c>
      <c r="C20" s="1">
        <v>-241.82599999999999</v>
      </c>
      <c r="D20" s="1" t="s">
        <v>101</v>
      </c>
      <c r="E20" s="1">
        <v>41.964260000000003</v>
      </c>
      <c r="F20" s="1">
        <v>8.6220529999999993</v>
      </c>
      <c r="G20" s="1">
        <v>-1.4997799999999999</v>
      </c>
      <c r="H20" s="1">
        <v>9.8118999999999998E-2</v>
      </c>
      <c r="I20" s="1">
        <v>-11.157640000000001</v>
      </c>
      <c r="J20" s="1">
        <v>-272.17970000000003</v>
      </c>
      <c r="K20" s="1">
        <v>219.7809</v>
      </c>
      <c r="L20" s="1">
        <v>-241.82640000000001</v>
      </c>
      <c r="M20" s="1">
        <f t="shared" si="3"/>
        <v>0.92315000000000003</v>
      </c>
      <c r="N20" s="4">
        <f t="shared" si="0"/>
        <v>35.630121217731599</v>
      </c>
      <c r="O20" s="4">
        <f t="shared" si="1"/>
        <v>23.770891016491191</v>
      </c>
      <c r="P20" s="4">
        <f t="shared" si="5"/>
        <v>23770.89101649119</v>
      </c>
      <c r="Q20" s="4">
        <f t="shared" si="4"/>
        <v>-218.0551089835088</v>
      </c>
    </row>
    <row r="21" spans="1:17" x14ac:dyDescent="0.25">
      <c r="A21" s="1" t="s">
        <v>89</v>
      </c>
      <c r="B21" s="1" t="s">
        <v>7</v>
      </c>
      <c r="C21" s="1">
        <v>0</v>
      </c>
      <c r="D21" s="1" t="s">
        <v>102</v>
      </c>
      <c r="E21" s="1">
        <v>28.986409999999999</v>
      </c>
      <c r="F21" s="1">
        <v>1.8539779999999999</v>
      </c>
      <c r="G21" s="1">
        <v>-9.6474589999999996</v>
      </c>
      <c r="H21" s="1">
        <v>16.635370000000002</v>
      </c>
      <c r="I21" s="1">
        <v>1.17E-4</v>
      </c>
      <c r="J21" s="1">
        <v>-8.6719139999999992</v>
      </c>
      <c r="K21" s="1">
        <v>226.41679999999999</v>
      </c>
      <c r="L21" s="1">
        <v>0</v>
      </c>
      <c r="M21" s="1">
        <f t="shared" si="3"/>
        <v>0.92315000000000003</v>
      </c>
      <c r="N21" s="4">
        <f t="shared" si="0"/>
        <v>35.563702151242509</v>
      </c>
      <c r="O21" s="4">
        <f t="shared" si="1"/>
        <v>19.367199031053786</v>
      </c>
      <c r="P21" s="4">
        <f t="shared" si="5"/>
        <v>19367.199031053788</v>
      </c>
      <c r="Q21" s="4">
        <f t="shared" si="4"/>
        <v>19.367199031053786</v>
      </c>
    </row>
    <row r="22" spans="1:17" x14ac:dyDescent="0.25">
      <c r="A22" s="1" t="s">
        <v>89</v>
      </c>
      <c r="C22" s="1">
        <v>0</v>
      </c>
      <c r="D22" s="11" t="s">
        <v>103</v>
      </c>
      <c r="E22" s="1">
        <v>19.50583</v>
      </c>
      <c r="F22" s="1">
        <v>19.887049999999999</v>
      </c>
      <c r="G22" s="1">
        <v>-8.598535</v>
      </c>
      <c r="H22" s="1">
        <v>1.3697839999999999</v>
      </c>
      <c r="I22" s="1">
        <v>0.52760099999999999</v>
      </c>
      <c r="J22" s="1">
        <v>-4.9352020000000003</v>
      </c>
      <c r="K22" s="1">
        <v>212.39</v>
      </c>
      <c r="L22" s="1">
        <v>0</v>
      </c>
      <c r="M22" s="1">
        <f t="shared" si="3"/>
        <v>0.92315000000000003</v>
      </c>
      <c r="N22" s="4">
        <f t="shared" si="0"/>
        <v>32.233566232580493</v>
      </c>
      <c r="O22" s="4">
        <f t="shared" si="1"/>
        <v>18.967854125671174</v>
      </c>
      <c r="P22" s="4">
        <f t="shared" si="5"/>
        <v>18967.854125671172</v>
      </c>
      <c r="Q22" s="4">
        <f t="shared" si="4"/>
        <v>18.967854125671174</v>
      </c>
    </row>
    <row r="23" spans="1:17" x14ac:dyDescent="0.25">
      <c r="A23" s="1" t="s">
        <v>89</v>
      </c>
      <c r="C23" s="1">
        <v>0</v>
      </c>
      <c r="D23" s="1" t="s">
        <v>104</v>
      </c>
      <c r="E23" s="1">
        <v>35.518720000000002</v>
      </c>
      <c r="F23" s="1">
        <v>1.128728</v>
      </c>
      <c r="G23" s="1">
        <v>-0.196103</v>
      </c>
      <c r="H23" s="1">
        <v>1.4662E-2</v>
      </c>
      <c r="I23" s="1">
        <v>-4.5537599999999996</v>
      </c>
      <c r="J23" s="1">
        <v>-18.97091</v>
      </c>
      <c r="K23" s="1">
        <v>224.98099999999999</v>
      </c>
      <c r="L23" s="1">
        <v>0</v>
      </c>
      <c r="M23" s="1">
        <f t="shared" si="3"/>
        <v>0.92315000000000003</v>
      </c>
      <c r="N23" s="4">
        <f t="shared" si="0"/>
        <v>31.061622668229941</v>
      </c>
      <c r="O23" s="4">
        <f t="shared" si="1"/>
        <v>19.183236629652523</v>
      </c>
      <c r="P23" s="4">
        <f t="shared" si="5"/>
        <v>19183.236629652522</v>
      </c>
      <c r="Q23" s="4">
        <f t="shared" si="4"/>
        <v>19.183236629652523</v>
      </c>
    </row>
    <row r="24" spans="1:17" x14ac:dyDescent="0.25">
      <c r="A24" s="1" t="s">
        <v>89</v>
      </c>
      <c r="B24" s="1" t="s">
        <v>8</v>
      </c>
      <c r="C24" s="1">
        <v>0</v>
      </c>
      <c r="D24" s="1" t="s">
        <v>105</v>
      </c>
      <c r="E24" s="1">
        <v>31.322340000000001</v>
      </c>
      <c r="F24" s="1">
        <v>-20.235309999999998</v>
      </c>
      <c r="G24" s="1">
        <v>57.866439999999997</v>
      </c>
      <c r="H24" s="1">
        <v>-36.506239999999998</v>
      </c>
      <c r="I24" s="1">
        <v>-7.3740000000000003E-3</v>
      </c>
      <c r="J24" s="1">
        <v>-8.9034709999999997</v>
      </c>
      <c r="K24" s="1">
        <v>246.7945</v>
      </c>
      <c r="L24" s="1">
        <v>0</v>
      </c>
      <c r="M24" s="1">
        <f t="shared" si="3"/>
        <v>0.92315000000000003</v>
      </c>
      <c r="N24" s="4">
        <f t="shared" si="0"/>
        <v>33.227617269035569</v>
      </c>
      <c r="O24" s="4">
        <f t="shared" si="1"/>
        <v>19.943977805064776</v>
      </c>
      <c r="P24" s="4">
        <f t="shared" si="5"/>
        <v>19943.977805064776</v>
      </c>
      <c r="Q24" s="4">
        <f t="shared" si="4"/>
        <v>19.943977805064776</v>
      </c>
    </row>
    <row r="25" spans="1:17" x14ac:dyDescent="0.25">
      <c r="A25" s="1" t="s">
        <v>89</v>
      </c>
      <c r="C25" s="1">
        <v>0</v>
      </c>
      <c r="D25" s="11" t="s">
        <v>106</v>
      </c>
      <c r="E25" s="1">
        <v>30.032350000000001</v>
      </c>
      <c r="F25" s="1">
        <v>8.7729719999999993</v>
      </c>
      <c r="G25" s="1">
        <v>-3.9881329999999999</v>
      </c>
      <c r="H25" s="1">
        <v>0.78831300000000004</v>
      </c>
      <c r="I25" s="1">
        <v>-0.74159900000000001</v>
      </c>
      <c r="J25" s="1">
        <v>-11.324680000000001</v>
      </c>
      <c r="K25" s="1">
        <v>236.16630000000001</v>
      </c>
      <c r="L25" s="1">
        <v>0</v>
      </c>
      <c r="M25" s="1">
        <f t="shared" si="3"/>
        <v>0.92315000000000003</v>
      </c>
      <c r="N25" s="4">
        <f t="shared" si="0"/>
        <v>34.482374294527922</v>
      </c>
      <c r="O25" s="4">
        <f t="shared" si="1"/>
        <v>20.038497736263764</v>
      </c>
      <c r="P25" s="4">
        <f t="shared" si="5"/>
        <v>20038.497736263766</v>
      </c>
      <c r="Q25" s="4">
        <f t="shared" si="4"/>
        <v>20.038497736263764</v>
      </c>
    </row>
    <row r="26" spans="1:17" x14ac:dyDescent="0.25">
      <c r="A26" s="1" t="s">
        <v>89</v>
      </c>
      <c r="C26" s="1">
        <v>0</v>
      </c>
      <c r="D26" s="1" t="s">
        <v>104</v>
      </c>
      <c r="E26" s="1">
        <v>20.911110000000001</v>
      </c>
      <c r="F26" s="1">
        <v>10.72071</v>
      </c>
      <c r="G26" s="1">
        <v>-2.0204979999999999</v>
      </c>
      <c r="H26" s="1">
        <v>0.146449</v>
      </c>
      <c r="I26" s="1">
        <v>9.2457220000000007</v>
      </c>
      <c r="J26" s="1">
        <v>5.3376510000000001</v>
      </c>
      <c r="K26" s="1">
        <v>237.61850000000001</v>
      </c>
      <c r="L26" s="1">
        <v>0</v>
      </c>
      <c r="M26" s="1">
        <f t="shared" si="3"/>
        <v>0.92315000000000003</v>
      </c>
      <c r="N26" s="4">
        <f t="shared" si="0"/>
        <v>40.050430755168904</v>
      </c>
      <c r="O26" s="4">
        <f t="shared" si="1"/>
        <v>18.691201068999984</v>
      </c>
      <c r="P26" s="4">
        <f t="shared" si="5"/>
        <v>18691.201068999984</v>
      </c>
      <c r="Q26" s="4">
        <f t="shared" si="4"/>
        <v>18.691201068999984</v>
      </c>
    </row>
    <row r="27" spans="1:17" x14ac:dyDescent="0.25">
      <c r="N27" s="4"/>
      <c r="O27" s="4"/>
      <c r="P27" s="4"/>
      <c r="Q27" s="4"/>
    </row>
    <row r="28" spans="1:17" ht="60" x14ac:dyDescent="0.25">
      <c r="D28" s="1" t="s">
        <v>120</v>
      </c>
      <c r="F28" s="3" t="s">
        <v>123</v>
      </c>
      <c r="I28" s="1" t="s">
        <v>121</v>
      </c>
    </row>
    <row r="29" spans="1:17" x14ac:dyDescent="0.25">
      <c r="B29" s="7" t="s">
        <v>108</v>
      </c>
      <c r="D29" s="1">
        <f>6*Q3-4*Q6-Q25</f>
        <v>-498.38316378726591</v>
      </c>
      <c r="E29" s="1" t="s">
        <v>61</v>
      </c>
      <c r="F29" s="1">
        <v>-483.07</v>
      </c>
      <c r="G29" s="1" t="s">
        <v>61</v>
      </c>
      <c r="I29" s="1">
        <f>((D29-F29)/2)^2</f>
        <v>58.623246293908096</v>
      </c>
    </row>
    <row r="30" spans="1:17" x14ac:dyDescent="0.25">
      <c r="B30" s="1" t="s">
        <v>109</v>
      </c>
      <c r="D30" s="1">
        <f>2*Q3-4*Q8-Q25</f>
        <v>-544.21943183964072</v>
      </c>
      <c r="E30" s="1" t="s">
        <v>61</v>
      </c>
      <c r="F30" s="1">
        <v>-554.67999999999995</v>
      </c>
      <c r="G30" s="1" t="s">
        <v>61</v>
      </c>
      <c r="I30" s="1">
        <f t="shared" ref="I30:I38" si="6">((D30-F30)/2)^2</f>
        <v>27.355871559380322</v>
      </c>
    </row>
    <row r="31" spans="1:17" x14ac:dyDescent="0.25">
      <c r="B31" s="1" t="s">
        <v>110</v>
      </c>
      <c r="D31" s="1">
        <f>2*Q6+Q15-Q13-3*Q3</f>
        <v>-33.699985906191159</v>
      </c>
      <c r="E31" s="1" t="s">
        <v>61</v>
      </c>
      <c r="F31" s="1">
        <v>-37.67</v>
      </c>
      <c r="G31" s="1" t="s">
        <v>61</v>
      </c>
      <c r="I31" s="1">
        <f t="shared" si="6"/>
        <v>3.940252976260211</v>
      </c>
    </row>
    <row r="32" spans="1:17" x14ac:dyDescent="0.25">
      <c r="B32" s="1" t="s">
        <v>111</v>
      </c>
      <c r="D32" s="1">
        <f>2*Q8+Q15-Q13-Q3</f>
        <v>-10.781851880004297</v>
      </c>
      <c r="E32" s="1" t="s">
        <v>61</v>
      </c>
      <c r="F32" s="1">
        <v>-3.22</v>
      </c>
      <c r="G32" s="1" t="s">
        <v>61</v>
      </c>
      <c r="I32" s="1">
        <f t="shared" si="6"/>
        <v>14.295400963781127</v>
      </c>
    </row>
    <row r="33" spans="1:12" x14ac:dyDescent="0.25">
      <c r="B33" s="1" t="s">
        <v>112</v>
      </c>
      <c r="D33" s="1">
        <f>Q19+2*Q6-Q17-3*Q3</f>
        <v>1.8461851135066354</v>
      </c>
      <c r="E33" s="1" t="s">
        <v>61</v>
      </c>
      <c r="F33" s="1">
        <v>-2.0099999999999998</v>
      </c>
      <c r="G33" s="1" t="s">
        <v>61</v>
      </c>
      <c r="I33" s="1">
        <f t="shared" si="6"/>
        <v>3.7175409074075452</v>
      </c>
    </row>
    <row r="34" spans="1:12" x14ac:dyDescent="0.25">
      <c r="B34" s="1" t="s">
        <v>113</v>
      </c>
      <c r="D34" s="1">
        <f>Q19+2*Q8-Q17-Q3</f>
        <v>24.764319139694067</v>
      </c>
      <c r="E34" s="1" t="s">
        <v>61</v>
      </c>
      <c r="F34" s="1">
        <v>32.44</v>
      </c>
      <c r="G34" s="1" t="s">
        <v>61</v>
      </c>
      <c r="I34" s="1">
        <f t="shared" si="6"/>
        <v>14.7290191673167</v>
      </c>
    </row>
    <row r="35" spans="1:12" x14ac:dyDescent="0.25">
      <c r="B35" s="1" t="s">
        <v>114</v>
      </c>
      <c r="D35" s="1">
        <f>2*Q6+Q13+2*Q17-Q11-3*Q3</f>
        <v>226.62305907380869</v>
      </c>
      <c r="E35" s="1" t="s">
        <v>61</v>
      </c>
      <c r="F35" s="1">
        <v>221.76</v>
      </c>
      <c r="G35" s="1" t="s">
        <v>61</v>
      </c>
      <c r="I35" s="1">
        <f t="shared" si="6"/>
        <v>5.9123358888382809</v>
      </c>
    </row>
    <row r="36" spans="1:12" x14ac:dyDescent="0.25">
      <c r="B36" s="1" t="s">
        <v>117</v>
      </c>
      <c r="D36" s="1">
        <f>8*Q8+2*Q19+Q15-Q11-4*Q3</f>
        <v>288.28797949938007</v>
      </c>
      <c r="E36" s="1" t="s">
        <v>61</v>
      </c>
      <c r="F36" s="1">
        <v>317.87</v>
      </c>
      <c r="G36" s="1" t="s">
        <v>61</v>
      </c>
      <c r="I36" s="1">
        <f t="shared" si="6"/>
        <v>218.77398422477449</v>
      </c>
    </row>
    <row r="37" spans="1:12" x14ac:dyDescent="0.25">
      <c r="B37" s="1" t="s">
        <v>115</v>
      </c>
      <c r="D37" s="1">
        <f>Q13+2*Q6-Q10-3*Q3</f>
        <v>134.79359886579914</v>
      </c>
      <c r="E37" s="1" t="s">
        <v>61</v>
      </c>
      <c r="F37" s="1">
        <v>133.65</v>
      </c>
      <c r="G37" s="1" t="s">
        <v>61</v>
      </c>
      <c r="I37" s="1">
        <f t="shared" si="6"/>
        <v>0.3269545914642667</v>
      </c>
    </row>
    <row r="38" spans="1:12" x14ac:dyDescent="0.25">
      <c r="B38" s="1" t="s">
        <v>116</v>
      </c>
      <c r="D38" s="1">
        <f>Q15+4*Q8-Q10-2*Q3</f>
        <v>146.92988101198216</v>
      </c>
      <c r="E38" s="1" t="s">
        <v>61</v>
      </c>
      <c r="F38" s="1">
        <v>164.88</v>
      </c>
      <c r="G38" s="1" t="s">
        <v>61</v>
      </c>
      <c r="I38" s="1">
        <f t="shared" si="6"/>
        <v>80.551692920999599</v>
      </c>
    </row>
    <row r="40" spans="1:12" x14ac:dyDescent="0.25">
      <c r="I40" s="1">
        <f>SUM(I29:I38)</f>
        <v>428.22629949413061</v>
      </c>
    </row>
    <row r="42" spans="1:12" x14ac:dyDescent="0.25">
      <c r="B42" s="1" t="s">
        <v>118</v>
      </c>
      <c r="D42" s="1">
        <f>8*Q8+Q15+2*Q19-4*Q3-Q11</f>
        <v>288.28797949937996</v>
      </c>
      <c r="E42" s="1" t="s">
        <v>61</v>
      </c>
      <c r="G42" s="1" t="s">
        <v>61</v>
      </c>
    </row>
    <row r="43" spans="1:12" x14ac:dyDescent="0.25">
      <c r="B43" s="1" t="s">
        <v>119</v>
      </c>
      <c r="D43" s="1">
        <f>2*Q3-4*Q9-3*Q25</f>
        <v>-1608.2751750172126</v>
      </c>
      <c r="E43" s="1" t="s">
        <v>61</v>
      </c>
      <c r="G43" s="1" t="s">
        <v>61</v>
      </c>
    </row>
    <row r="47" spans="1:12" ht="30" x14ac:dyDescent="0.25">
      <c r="A47" s="7" t="s">
        <v>122</v>
      </c>
      <c r="C47" s="3" t="s">
        <v>62</v>
      </c>
      <c r="D47" s="1" t="s">
        <v>79</v>
      </c>
      <c r="E47" s="1" t="s">
        <v>70</v>
      </c>
      <c r="F47" s="1" t="s">
        <v>71</v>
      </c>
      <c r="G47" s="1" t="s">
        <v>72</v>
      </c>
      <c r="H47" s="1" t="s">
        <v>73</v>
      </c>
      <c r="I47" s="1" t="s">
        <v>74</v>
      </c>
      <c r="J47" s="1" t="s">
        <v>2</v>
      </c>
      <c r="K47" s="1" t="s">
        <v>75</v>
      </c>
      <c r="L47" s="1" t="s">
        <v>76</v>
      </c>
    </row>
    <row r="48" spans="1:12" x14ac:dyDescent="0.25">
      <c r="A48" s="1" t="s">
        <v>88</v>
      </c>
      <c r="B48" s="1" t="s">
        <v>15</v>
      </c>
      <c r="C48" s="1">
        <v>-825.5</v>
      </c>
      <c r="D48" s="11" t="s">
        <v>80</v>
      </c>
      <c r="E48" s="9">
        <v>110.9362</v>
      </c>
      <c r="F48" s="9">
        <v>32.047139999999999</v>
      </c>
      <c r="G48" s="10">
        <v>-9.1923329999999996</v>
      </c>
      <c r="H48" s="10">
        <v>0.90150600000000003</v>
      </c>
      <c r="I48" s="10">
        <v>5.4336770000000003</v>
      </c>
      <c r="J48" s="10">
        <v>-843.14710000000002</v>
      </c>
      <c r="K48" s="10">
        <v>228.35480000000001</v>
      </c>
      <c r="L48" s="10">
        <v>-825.50319999999999</v>
      </c>
    </row>
    <row r="49" spans="1:12" x14ac:dyDescent="0.25">
      <c r="A49" s="1" t="s">
        <v>88</v>
      </c>
      <c r="B49" s="1" t="s">
        <v>11</v>
      </c>
      <c r="C49" s="1">
        <v>-1120.8900000000001</v>
      </c>
      <c r="D49" s="11" t="s">
        <v>83</v>
      </c>
      <c r="E49" s="9">
        <v>200.83199999999999</v>
      </c>
      <c r="F49" s="12">
        <v>1.5864349999999999E-7</v>
      </c>
      <c r="G49" s="10">
        <v>-6.6616820000000002E-8</v>
      </c>
      <c r="H49" s="10">
        <v>9.4524519999999994E-9</v>
      </c>
      <c r="I49" s="10">
        <v>3.18602E-8</v>
      </c>
      <c r="J49" s="10">
        <v>-1174.135</v>
      </c>
      <c r="K49" s="10">
        <v>388.07900000000001</v>
      </c>
      <c r="L49" s="10">
        <v>-1120.894</v>
      </c>
    </row>
    <row r="50" spans="1:12" x14ac:dyDescent="0.25">
      <c r="A50" s="1" t="s">
        <v>88</v>
      </c>
      <c r="B50" s="1" t="s">
        <v>10</v>
      </c>
      <c r="C50" s="1">
        <v>-272.04000000000002</v>
      </c>
      <c r="D50" s="11" t="s">
        <v>84</v>
      </c>
      <c r="E50" s="9">
        <v>45.751199999999997</v>
      </c>
      <c r="F50" s="9">
        <v>18.785530000000001</v>
      </c>
      <c r="G50" s="10">
        <v>-5.9522009999999996</v>
      </c>
      <c r="H50" s="10">
        <v>0.85277899999999995</v>
      </c>
      <c r="I50" s="10">
        <v>-8.1265000000000004E-2</v>
      </c>
      <c r="J50" s="10">
        <v>-286.74290000000002</v>
      </c>
      <c r="K50" s="10">
        <v>110.312</v>
      </c>
      <c r="L50" s="10">
        <v>-272.04410000000001</v>
      </c>
    </row>
    <row r="51" spans="1:12" x14ac:dyDescent="0.25">
      <c r="A51" s="1" t="s">
        <v>88</v>
      </c>
      <c r="B51" s="1" t="s">
        <v>17</v>
      </c>
      <c r="D51" s="11" t="s">
        <v>85</v>
      </c>
      <c r="E51" s="9">
        <v>23.974489999999999</v>
      </c>
      <c r="F51" s="9">
        <v>8.3677499999999991</v>
      </c>
      <c r="G51" s="10">
        <v>2.7700000000000001E-4</v>
      </c>
      <c r="H51" s="10">
        <v>-8.6000000000000003E-5</v>
      </c>
      <c r="I51" s="10">
        <v>-5.0000000000000004E-6</v>
      </c>
      <c r="J51" s="10">
        <v>0.26802700000000002</v>
      </c>
      <c r="K51" s="10">
        <v>62.063360000000003</v>
      </c>
      <c r="L51" s="10">
        <v>7.7880149999999997</v>
      </c>
    </row>
    <row r="52" spans="1:12" x14ac:dyDescent="0.25">
      <c r="A52" s="1" t="s">
        <v>89</v>
      </c>
      <c r="B52" s="1" t="s">
        <v>72</v>
      </c>
      <c r="D52" s="11" t="s">
        <v>90</v>
      </c>
      <c r="E52" s="9">
        <v>21.1751</v>
      </c>
      <c r="F52" s="9">
        <v>-0.81242800000000004</v>
      </c>
      <c r="G52" s="10">
        <v>0.44853700000000002</v>
      </c>
      <c r="H52" s="10">
        <v>-4.3256000000000003E-2</v>
      </c>
      <c r="I52" s="10">
        <v>-1.3103E-2</v>
      </c>
      <c r="J52" s="10">
        <v>710.34699999999998</v>
      </c>
      <c r="K52" s="10">
        <v>183.8734</v>
      </c>
      <c r="L52" s="10">
        <v>716.66899999999998</v>
      </c>
    </row>
    <row r="53" spans="1:12" x14ac:dyDescent="0.25">
      <c r="A53" s="1" t="s">
        <v>89</v>
      </c>
      <c r="B53" s="1" t="s">
        <v>13</v>
      </c>
      <c r="C53" s="1">
        <v>-74.87</v>
      </c>
      <c r="D53" s="11" t="s">
        <v>91</v>
      </c>
      <c r="E53" s="9">
        <v>-0.70302900000000002</v>
      </c>
      <c r="F53" s="9">
        <v>108.4773</v>
      </c>
      <c r="G53" s="10">
        <v>-42.521569999999997</v>
      </c>
      <c r="H53" s="10">
        <v>5.8627880000000001</v>
      </c>
      <c r="I53" s="10">
        <v>0.67856499999999997</v>
      </c>
      <c r="J53" s="10">
        <v>-76.843760000000003</v>
      </c>
      <c r="K53" s="10">
        <v>158.71629999999999</v>
      </c>
      <c r="L53" s="10">
        <v>-74.873099999999994</v>
      </c>
    </row>
    <row r="54" spans="1:12" x14ac:dyDescent="0.25">
      <c r="A54" s="1" t="s">
        <v>89</v>
      </c>
      <c r="B54" s="1" t="s">
        <v>86</v>
      </c>
      <c r="C54" s="1">
        <v>-110.53</v>
      </c>
      <c r="D54" s="11" t="s">
        <v>91</v>
      </c>
      <c r="E54" s="9">
        <v>25.567589999999999</v>
      </c>
      <c r="F54" s="9">
        <v>6.0961299999999996</v>
      </c>
      <c r="G54" s="10">
        <v>4.0546559999999996</v>
      </c>
      <c r="H54" s="10">
        <v>-2.6713010000000001</v>
      </c>
      <c r="I54" s="10">
        <v>0.131021</v>
      </c>
      <c r="J54" s="10">
        <v>-118.0089</v>
      </c>
      <c r="K54" s="10">
        <v>227.3665</v>
      </c>
      <c r="L54" s="10">
        <v>-110.5271</v>
      </c>
    </row>
    <row r="55" spans="1:12" x14ac:dyDescent="0.25">
      <c r="A55" s="1" t="s">
        <v>89</v>
      </c>
      <c r="B55" s="1" t="s">
        <v>14</v>
      </c>
      <c r="C55" s="1">
        <v>-393.51</v>
      </c>
      <c r="D55" s="11" t="s">
        <v>92</v>
      </c>
      <c r="E55" s="9">
        <v>24.997350000000001</v>
      </c>
      <c r="F55" s="9">
        <v>55.186959999999999</v>
      </c>
      <c r="G55" s="10">
        <v>-33.691369999999999</v>
      </c>
      <c r="H55" s="10">
        <v>7.9483870000000003</v>
      </c>
      <c r="I55" s="10">
        <v>-0.13663800000000001</v>
      </c>
      <c r="J55" s="10">
        <v>-403.60750000000002</v>
      </c>
      <c r="K55" s="10">
        <v>228.2431</v>
      </c>
      <c r="L55" s="10">
        <v>-393.5224</v>
      </c>
    </row>
    <row r="56" spans="1:12" x14ac:dyDescent="0.25">
      <c r="A56" s="1" t="s">
        <v>89</v>
      </c>
      <c r="B56" s="1" t="s">
        <v>87</v>
      </c>
      <c r="C56" s="1">
        <v>0</v>
      </c>
      <c r="D56" s="11" t="s">
        <v>93</v>
      </c>
      <c r="E56" s="9">
        <v>33.066178000000001</v>
      </c>
      <c r="F56" s="9">
        <v>-11.363417</v>
      </c>
      <c r="G56" s="10">
        <v>11.432816000000001</v>
      </c>
      <c r="H56" s="10">
        <v>-2.7728739999999998</v>
      </c>
      <c r="I56" s="10">
        <v>-0.158558</v>
      </c>
      <c r="J56" s="10">
        <v>-9.9807970000000008</v>
      </c>
      <c r="K56" s="10">
        <v>172.70797400000001</v>
      </c>
      <c r="L56" s="10">
        <v>0</v>
      </c>
    </row>
    <row r="57" spans="1:12" x14ac:dyDescent="0.25">
      <c r="A57" s="1" t="s">
        <v>89</v>
      </c>
      <c r="B57" s="1" t="s">
        <v>6</v>
      </c>
      <c r="C57" s="1">
        <v>-241.82599999999999</v>
      </c>
      <c r="D57" s="11" t="s">
        <v>100</v>
      </c>
      <c r="E57" s="9">
        <v>30.091999999999999</v>
      </c>
      <c r="F57" s="9">
        <v>6.8325139999999998</v>
      </c>
      <c r="G57" s="10">
        <v>6.7934349999999997</v>
      </c>
      <c r="H57" s="10">
        <v>-2.5344799999999998</v>
      </c>
      <c r="I57" s="10">
        <v>8.2139000000000004E-2</v>
      </c>
      <c r="J57" s="10">
        <v>-250.881</v>
      </c>
      <c r="K57" s="10">
        <v>223.39670000000001</v>
      </c>
      <c r="L57" s="10">
        <v>-241.82640000000001</v>
      </c>
    </row>
    <row r="58" spans="1:12" x14ac:dyDescent="0.25">
      <c r="A58" s="1" t="s">
        <v>89</v>
      </c>
      <c r="B58" s="1" t="s">
        <v>7</v>
      </c>
      <c r="C58" s="1">
        <v>0</v>
      </c>
      <c r="D58" s="11" t="s">
        <v>103</v>
      </c>
      <c r="E58" s="9">
        <v>19.50583</v>
      </c>
      <c r="F58" s="9">
        <v>19.887049999999999</v>
      </c>
      <c r="G58" s="10">
        <v>-8.598535</v>
      </c>
      <c r="H58" s="10">
        <v>1.3697839999999999</v>
      </c>
      <c r="I58" s="10">
        <v>0.52760099999999999</v>
      </c>
      <c r="J58" s="10">
        <v>-4.9352020000000003</v>
      </c>
      <c r="K58" s="10">
        <v>212.39</v>
      </c>
      <c r="L58" s="10">
        <v>0</v>
      </c>
    </row>
    <row r="59" spans="1:12" x14ac:dyDescent="0.25">
      <c r="A59" s="1" t="s">
        <v>89</v>
      </c>
      <c r="B59" s="1" t="s">
        <v>8</v>
      </c>
      <c r="C59" s="1">
        <v>0</v>
      </c>
      <c r="D59" s="11" t="s">
        <v>106</v>
      </c>
      <c r="E59" s="9">
        <v>30.032350000000001</v>
      </c>
      <c r="F59" s="9">
        <v>8.7729719999999993</v>
      </c>
      <c r="G59" s="10">
        <v>-3.9881329999999999</v>
      </c>
      <c r="H59" s="10">
        <v>0.78831300000000004</v>
      </c>
      <c r="I59" s="10">
        <v>-0.74159900000000001</v>
      </c>
      <c r="J59" s="10">
        <v>-11.324680000000001</v>
      </c>
      <c r="K59" s="10">
        <v>236.16630000000001</v>
      </c>
      <c r="L59" s="10">
        <v>0</v>
      </c>
    </row>
    <row r="61" spans="1:12" x14ac:dyDescent="0.25">
      <c r="A61" s="8" t="s">
        <v>63</v>
      </c>
    </row>
    <row r="62" spans="1:12" x14ac:dyDescent="0.25">
      <c r="A62" s="8" t="s">
        <v>64</v>
      </c>
    </row>
    <row r="63" spans="1:12" x14ac:dyDescent="0.25">
      <c r="A63" s="8" t="s">
        <v>65</v>
      </c>
    </row>
    <row r="64" spans="1:12" x14ac:dyDescent="0.25">
      <c r="A64" s="8" t="s">
        <v>66</v>
      </c>
    </row>
    <row r="65" spans="1:1" x14ac:dyDescent="0.25">
      <c r="A65" s="8" t="s">
        <v>67</v>
      </c>
    </row>
    <row r="66" spans="1:1" x14ac:dyDescent="0.25">
      <c r="A66" s="8" t="s">
        <v>68</v>
      </c>
    </row>
    <row r="67" spans="1:1" x14ac:dyDescent="0.25">
      <c r="A67" s="7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sqref="A1:XFD1"/>
    </sheetView>
  </sheetViews>
  <sheetFormatPr defaultRowHeight="15" x14ac:dyDescent="0.25"/>
  <cols>
    <col min="2" max="2" width="4.28515625" customWidth="1"/>
    <col min="3" max="3" width="7" bestFit="1" customWidth="1"/>
    <col min="4" max="4" width="10.7109375" style="1" bestFit="1" customWidth="1"/>
    <col min="5" max="5" width="9.28515625" style="1" customWidth="1"/>
    <col min="6" max="6" width="4.28515625" style="1" customWidth="1"/>
    <col min="7" max="7" width="6.5703125" style="1" bestFit="1" customWidth="1"/>
    <col min="8" max="8" width="12" bestFit="1" customWidth="1"/>
    <col min="10" max="10" width="4.42578125" style="1" customWidth="1"/>
    <col min="11" max="11" width="6.5703125" style="1" customWidth="1"/>
    <col min="12" max="12" width="13.85546875" bestFit="1" customWidth="1"/>
  </cols>
  <sheetData>
    <row r="1" spans="1:12" x14ac:dyDescent="0.25">
      <c r="B1" s="1"/>
      <c r="C1" s="1"/>
      <c r="D1" s="1" t="s">
        <v>0</v>
      </c>
      <c r="H1" s="1" t="s">
        <v>12</v>
      </c>
      <c r="L1" s="1" t="s">
        <v>16</v>
      </c>
    </row>
    <row r="2" spans="1:12" x14ac:dyDescent="0.25">
      <c r="B2" s="1" t="s">
        <v>4</v>
      </c>
      <c r="C2" s="1"/>
      <c r="D2" s="1">
        <v>100000</v>
      </c>
      <c r="H2" s="1">
        <v>100000</v>
      </c>
      <c r="L2" s="1">
        <v>100000</v>
      </c>
    </row>
    <row r="3" spans="1:12" x14ac:dyDescent="0.25">
      <c r="B3" s="1" t="s">
        <v>1</v>
      </c>
      <c r="C3" s="1"/>
      <c r="D3" s="1">
        <v>1100</v>
      </c>
      <c r="H3" s="1">
        <f>1200+273.15</f>
        <v>1473.15</v>
      </c>
      <c r="L3" s="1">
        <f>803.7+273.15</f>
        <v>1076.8499999999999</v>
      </c>
    </row>
    <row r="4" spans="1:12" x14ac:dyDescent="0.25">
      <c r="B4" s="1"/>
      <c r="C4" s="1"/>
      <c r="H4" s="1"/>
      <c r="L4" s="1"/>
    </row>
    <row r="5" spans="1:12" x14ac:dyDescent="0.25">
      <c r="A5" t="s">
        <v>5</v>
      </c>
      <c r="B5" s="1" t="s">
        <v>2</v>
      </c>
      <c r="C5" s="1"/>
      <c r="D5" s="2">
        <f>911.045+11.665+244.375</f>
        <v>1167.085</v>
      </c>
      <c r="F5" s="1" t="s">
        <v>2</v>
      </c>
      <c r="H5" s="1">
        <f>183.626+2.543+2.563</f>
        <v>188.732</v>
      </c>
      <c r="J5" s="1" t="s">
        <v>2</v>
      </c>
      <c r="L5" s="1">
        <v>736.58399999999995</v>
      </c>
    </row>
    <row r="6" spans="1:12" x14ac:dyDescent="0.25">
      <c r="B6" s="1" t="s">
        <v>3</v>
      </c>
      <c r="C6" s="1" t="s">
        <v>6</v>
      </c>
      <c r="D6" s="2">
        <f>11.665/D5</f>
        <v>9.9949875116208328E-3</v>
      </c>
      <c r="F6" s="1" t="s">
        <v>3</v>
      </c>
      <c r="G6" s="1" t="s">
        <v>13</v>
      </c>
      <c r="H6" s="2">
        <f>183.626/H5</f>
        <v>0.97294576436428382</v>
      </c>
      <c r="J6" s="1" t="s">
        <v>3</v>
      </c>
      <c r="K6" s="1" t="s">
        <v>6</v>
      </c>
      <c r="L6" s="2">
        <v>1</v>
      </c>
    </row>
    <row r="7" spans="1:12" x14ac:dyDescent="0.25">
      <c r="B7" s="1"/>
      <c r="C7" s="1" t="s">
        <v>7</v>
      </c>
      <c r="D7" s="2">
        <f>911.045/D5</f>
        <v>0.7806158077603601</v>
      </c>
      <c r="G7" s="1" t="s">
        <v>14</v>
      </c>
      <c r="H7" s="2">
        <f>2.543/H5</f>
        <v>1.3474132632515949E-2</v>
      </c>
      <c r="L7" s="2"/>
    </row>
    <row r="8" spans="1:12" x14ac:dyDescent="0.25">
      <c r="B8" s="1"/>
      <c r="C8" s="1" t="s">
        <v>8</v>
      </c>
      <c r="D8" s="2">
        <f>244.375/D5</f>
        <v>0.20938920472801895</v>
      </c>
      <c r="G8" s="1" t="s">
        <v>7</v>
      </c>
      <c r="H8" s="2">
        <f>2.563/H5</f>
        <v>1.3580103003200306E-2</v>
      </c>
      <c r="L8" s="2"/>
    </row>
    <row r="9" spans="1:12" x14ac:dyDescent="0.25">
      <c r="B9" s="1"/>
      <c r="C9" s="1"/>
      <c r="H9" s="1"/>
      <c r="L9" s="1"/>
    </row>
    <row r="10" spans="1:12" x14ac:dyDescent="0.25">
      <c r="A10" t="s">
        <v>9</v>
      </c>
      <c r="B10" s="1" t="s">
        <v>2</v>
      </c>
      <c r="C10" s="1"/>
      <c r="D10" s="1">
        <f>660.443+75.717</f>
        <v>736.16</v>
      </c>
      <c r="F10" s="1" t="s">
        <v>2</v>
      </c>
      <c r="H10" s="1">
        <v>426.29500000000002</v>
      </c>
      <c r="J10" s="1" t="s">
        <v>2</v>
      </c>
      <c r="L10" s="1">
        <f>402.331+475.458</f>
        <v>877.78899999999999</v>
      </c>
    </row>
    <row r="11" spans="1:12" x14ac:dyDescent="0.25">
      <c r="B11" s="1" t="s">
        <v>3</v>
      </c>
      <c r="C11" s="1" t="s">
        <v>10</v>
      </c>
      <c r="D11" s="2">
        <f>660.443/D10</f>
        <v>0.89714600086937624</v>
      </c>
      <c r="F11" s="1" t="s">
        <v>3</v>
      </c>
      <c r="G11" s="1" t="s">
        <v>15</v>
      </c>
      <c r="H11" s="1">
        <v>1</v>
      </c>
      <c r="J11" s="1" t="s">
        <v>3</v>
      </c>
      <c r="K11" s="1" t="s">
        <v>17</v>
      </c>
      <c r="L11" s="2">
        <f>402.331/L10</f>
        <v>0.4583459122864379</v>
      </c>
    </row>
    <row r="12" spans="1:12" x14ac:dyDescent="0.25">
      <c r="B12" s="1"/>
      <c r="C12" s="1" t="s">
        <v>11</v>
      </c>
      <c r="D12" s="2">
        <f>75.717/D10</f>
        <v>0.10285399913062378</v>
      </c>
      <c r="H12" s="1"/>
      <c r="K12" s="1" t="s">
        <v>10</v>
      </c>
      <c r="L12" s="2">
        <f>475.458/L10</f>
        <v>0.54165408771356216</v>
      </c>
    </row>
    <row r="13" spans="1:12" x14ac:dyDescent="0.25">
      <c r="B13" s="1"/>
      <c r="C13" s="1"/>
      <c r="H13" s="1"/>
      <c r="L13" s="1"/>
    </row>
    <row r="16" spans="1:12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NIST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Bergard</dc:creator>
  <cp:lastModifiedBy>Tony Bergard</cp:lastModifiedBy>
  <dcterms:created xsi:type="dcterms:W3CDTF">2017-02-10T15:28:22Z</dcterms:created>
  <dcterms:modified xsi:type="dcterms:W3CDTF">2017-02-19T16:37:13Z</dcterms:modified>
</cp:coreProperties>
</file>