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Vload sense" sheetId="1" r:id="rId1"/>
    <sheet name="Temp sense" sheetId="3" r:id="rId2"/>
    <sheet name="DriveMosfetFeedback+Iload sense" sheetId="4" r:id="rId3"/>
    <sheet name="Snubber filter RC" sheetId="5" r:id="rId4"/>
    <sheet name="PowerSupply-Boost" sheetId="6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B16" i="1"/>
  <c r="B15" i="1"/>
  <c r="R22" i="4"/>
  <c r="R21" i="4"/>
  <c r="Q22" i="4"/>
  <c r="Q21" i="4"/>
  <c r="R20" i="4"/>
  <c r="Q20" i="4"/>
  <c r="B8" i="6"/>
  <c r="B4" i="6"/>
  <c r="R6" i="4"/>
  <c r="R12" i="4" s="1"/>
  <c r="Q6" i="4"/>
  <c r="Q12" i="4" s="1"/>
  <c r="R8" i="4" l="1"/>
  <c r="R17" i="4" s="1"/>
  <c r="Q8" i="4"/>
  <c r="Q17" i="4" s="1"/>
  <c r="B4" i="5"/>
  <c r="E17" i="4"/>
  <c r="M16" i="4"/>
  <c r="I16" i="4"/>
  <c r="C8" i="4"/>
  <c r="C9" i="4" s="1"/>
  <c r="B8" i="4"/>
  <c r="E16" i="4" s="1"/>
  <c r="D20" i="3"/>
  <c r="D16" i="3"/>
  <c r="D17" i="3"/>
  <c r="C6" i="3"/>
  <c r="C12" i="3" s="1"/>
  <c r="B6" i="3"/>
  <c r="B12" i="3" s="1"/>
  <c r="C6" i="1"/>
  <c r="C12" i="1" s="1"/>
  <c r="B6" i="1"/>
  <c r="B12" i="1" s="1"/>
  <c r="B9" i="5" l="1"/>
  <c r="B14" i="5"/>
  <c r="B10" i="5"/>
  <c r="B11" i="5"/>
  <c r="C11" i="5" s="1"/>
  <c r="B12" i="5"/>
  <c r="C12" i="5" s="1"/>
  <c r="B13" i="5"/>
  <c r="C13" i="5" s="1"/>
  <c r="B8" i="5"/>
  <c r="C8" i="5" s="1"/>
  <c r="B9" i="4"/>
  <c r="J17" i="4"/>
  <c r="F17" i="4"/>
  <c r="H24" i="4" s="1"/>
  <c r="M17" i="4" s="1"/>
  <c r="C14" i="5"/>
  <c r="C10" i="5"/>
  <c r="C9" i="5"/>
</calcChain>
</file>

<file path=xl/sharedStrings.xml><?xml version="1.0" encoding="utf-8"?>
<sst xmlns="http://schemas.openxmlformats.org/spreadsheetml/2006/main" count="158" uniqueCount="75">
  <si>
    <t>Voltage divider</t>
  </si>
  <si>
    <t>Vin</t>
  </si>
  <si>
    <t>Vout</t>
  </si>
  <si>
    <t>R1</t>
  </si>
  <si>
    <t>R2</t>
  </si>
  <si>
    <t>R1 = (R2*Vin/Vout)-R2</t>
  </si>
  <si>
    <t>Option 1</t>
  </si>
  <si>
    <t>Option 2</t>
  </si>
  <si>
    <t>Vread calculation</t>
  </si>
  <si>
    <t>readV = readAdc * (max Vadc/bitsAdc)*(R1+R2/R2)</t>
  </si>
  <si>
    <t>bitsAdc</t>
  </si>
  <si>
    <t>readV</t>
  </si>
  <si>
    <t>readAdc</t>
  </si>
  <si>
    <t>Ampli opam</t>
  </si>
  <si>
    <t>multi (Vin*n)</t>
  </si>
  <si>
    <t>Rshunt</t>
  </si>
  <si>
    <t>Imax</t>
  </si>
  <si>
    <t>Vout=Vin*(1+R2/R1)</t>
  </si>
  <si>
    <t>R2=(Vout/Vin-1)*R1</t>
  </si>
  <si>
    <t>Opam ampli no negative Resistors</t>
  </si>
  <si>
    <t>Thermistor</t>
  </si>
  <si>
    <t>Thermistor resistance</t>
  </si>
  <si>
    <t>Vcc</t>
  </si>
  <si>
    <t>Thermistor nominal</t>
  </si>
  <si>
    <t>Temperature nominal</t>
  </si>
  <si>
    <t>B_coeficient</t>
  </si>
  <si>
    <t>Tread calculation - Steinhart-Hart</t>
  </si>
  <si>
    <t>TemperatureCelcius = 1/(((log(resistance / THERMISTOR_NOMINAL))/B_COEFFICIENT)+1.0 / (TEMPERATURE_NOMINAL + 273.15))-273.15</t>
  </si>
  <si>
    <t>TemperatureCelciu</t>
  </si>
  <si>
    <t>mosfet</t>
  </si>
  <si>
    <t>gnd</t>
  </si>
  <si>
    <t>opam ampli</t>
  </si>
  <si>
    <t>uC adc</t>
  </si>
  <si>
    <t>max</t>
  </si>
  <si>
    <t>mosfet gate</t>
  </si>
  <si>
    <t>Vload</t>
  </si>
  <si>
    <t>Vload max</t>
  </si>
  <si>
    <t>Iload max</t>
  </si>
  <si>
    <t>Wshunt</t>
  </si>
  <si>
    <t>Vadc max</t>
  </si>
  <si>
    <t>op1</t>
  </si>
  <si>
    <t>op2</t>
  </si>
  <si>
    <t>Vshunt max</t>
  </si>
  <si>
    <t>flowing Amps</t>
  </si>
  <si>
    <t>Vread</t>
  </si>
  <si>
    <t>Low pass</t>
  </si>
  <si>
    <t>Fc</t>
  </si>
  <si>
    <t>R</t>
  </si>
  <si>
    <t>C</t>
  </si>
  <si>
    <t>Hz</t>
  </si>
  <si>
    <t>Freq [Hz]</t>
  </si>
  <si>
    <t>Modul [Vo/Vi]</t>
  </si>
  <si>
    <t>Modul [dB]</t>
  </si>
  <si>
    <t>Vout=Vref(1+R1/R2)</t>
  </si>
  <si>
    <t>opam signal input</t>
  </si>
  <si>
    <t>Vref</t>
  </si>
  <si>
    <t>R2=R1/(Vout/Vref-1)</t>
  </si>
  <si>
    <t>R1=R2(Vout/Vref-1)</t>
  </si>
  <si>
    <t>R2 calculation</t>
  </si>
  <si>
    <t>Vout calculation</t>
  </si>
  <si>
    <t>Vread resolution</t>
  </si>
  <si>
    <t>resolutionADC</t>
  </si>
  <si>
    <t>resolutionVload</t>
  </si>
  <si>
    <t>resolutionVshunt</t>
  </si>
  <si>
    <t>resolutionAmps</t>
  </si>
  <si>
    <t>mA</t>
  </si>
  <si>
    <t>mV</t>
  </si>
  <si>
    <t>V</t>
  </si>
  <si>
    <t>A</t>
  </si>
  <si>
    <t>x</t>
  </si>
  <si>
    <t>bits</t>
  </si>
  <si>
    <t>ºC</t>
  </si>
  <si>
    <t>W</t>
  </si>
  <si>
    <t>F</t>
  </si>
  <si>
    <t>Mosfet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</si>
</sst>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thin">
        <color auto="1"/>
      </left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 diagonalUp="1">
      <left style="thin">
        <color auto="1"/>
      </left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4" xfId="0" applyFont="1" applyBorder="1"/>
    <xf numFmtId="0" fontId="1" fillId="2" borderId="4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2" borderId="6" xfId="0" applyFont="1" applyFill="1" applyBorder="1"/>
    <xf numFmtId="0" fontId="2" fillId="0" borderId="0" xfId="0" applyFont="1"/>
    <xf numFmtId="0" fontId="0" fillId="3" borderId="0" xfId="0" applyFill="1"/>
    <xf numFmtId="0" fontId="1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3" borderId="1" xfId="0" applyFont="1" applyFill="1" applyBorder="1"/>
    <xf numFmtId="0" fontId="0" fillId="4" borderId="0" xfId="0" applyFill="1" applyBorder="1"/>
    <xf numFmtId="0" fontId="0" fillId="4" borderId="5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/>
    <xf numFmtId="0" fontId="0" fillId="0" borderId="14" xfId="0" applyBorder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0" borderId="20" xfId="0" applyFont="1" applyBorder="1" applyAlignment="1">
      <alignment horizontal="left" vertical="top"/>
    </xf>
    <xf numFmtId="0" fontId="3" fillId="0" borderId="21" xfId="0" applyFont="1" applyBorder="1" applyAlignment="1">
      <alignment horizontal="left" vertical="top"/>
    </xf>
    <xf numFmtId="0" fontId="0" fillId="0" borderId="12" xfId="0" applyBorder="1"/>
    <xf numFmtId="0" fontId="0" fillId="0" borderId="17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4" borderId="7" xfId="0" applyFill="1" applyBorder="1"/>
    <xf numFmtId="0" fontId="0" fillId="4" borderId="8" xfId="0" applyFill="1" applyBorder="1"/>
    <xf numFmtId="0" fontId="0" fillId="4" borderId="2" xfId="0" applyFill="1" applyBorder="1"/>
    <xf numFmtId="0" fontId="0" fillId="4" borderId="3" xfId="0" applyFill="1" applyBorder="1"/>
    <xf numFmtId="0" fontId="0" fillId="3" borderId="0" xfId="0" applyFill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4" xfId="0" applyFill="1" applyBorder="1"/>
    <xf numFmtId="2" fontId="0" fillId="0" borderId="0" xfId="0" applyNumberFormat="1"/>
    <xf numFmtId="0" fontId="0" fillId="0" borderId="9" xfId="0" applyBorder="1"/>
    <xf numFmtId="0" fontId="0" fillId="0" borderId="22" xfId="0" applyBorder="1"/>
    <xf numFmtId="0" fontId="0" fillId="2" borderId="1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8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2" xfId="0" applyFill="1" applyBorder="1"/>
    <xf numFmtId="0" fontId="0" fillId="0" borderId="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7" xfId="0" applyFill="1" applyBorder="1"/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'Snubber filter RC'!$C$7</c:f>
              <c:strCache>
                <c:ptCount val="1"/>
                <c:pt idx="0">
                  <c:v>Modul [dB]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'Snubber filter RC'!$A$8:$A$14</c:f>
              <c:numCache>
                <c:formatCode>General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xVal>
          <c:yVal>
            <c:numRef>
              <c:f>'Snubber filter RC'!$C$8:$C$14</c:f>
              <c:numCache>
                <c:formatCode>General</c:formatCode>
                <c:ptCount val="7"/>
                <c:pt idx="0">
                  <c:v>-1.714492049482957E-4</c:v>
                </c:pt>
                <c:pt idx="1">
                  <c:v>-1.7111504344582869E-2</c:v>
                </c:pt>
                <c:pt idx="2">
                  <c:v>-1.445070116205287</c:v>
                </c:pt>
                <c:pt idx="3">
                  <c:v>-16.072235265805517</c:v>
                </c:pt>
                <c:pt idx="4">
                  <c:v>-35.964697308632864</c:v>
                </c:pt>
                <c:pt idx="5">
                  <c:v>-55.963608367956105</c:v>
                </c:pt>
                <c:pt idx="6">
                  <c:v>-75.963597477170367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F6-4CF3-845F-1A8EC64EA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99584"/>
        <c:axId val="339698600"/>
      </c:scatterChart>
      <c:valAx>
        <c:axId val="339699584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8600"/>
        <c:crosses val="autoZero"/>
        <c:crossBetween val="midCat"/>
      </c:valAx>
      <c:valAx>
        <c:axId val="3396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Modul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9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4</xdr:col>
      <xdr:colOff>513951</xdr:colOff>
      <xdr:row>39</xdr:row>
      <xdr:rowOff>37690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76750"/>
          <a:ext cx="3190476" cy="3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24</xdr:row>
      <xdr:rowOff>161925</xdr:rowOff>
    </xdr:from>
    <xdr:to>
      <xdr:col>13</xdr:col>
      <xdr:colOff>208695</xdr:colOff>
      <xdr:row>40</xdr:row>
      <xdr:rowOff>152020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114925"/>
          <a:ext cx="6838095" cy="30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9525</xdr:rowOff>
    </xdr:from>
    <xdr:to>
      <xdr:col>12</xdr:col>
      <xdr:colOff>419099</xdr:colOff>
      <xdr:row>18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21</xdr:row>
      <xdr:rowOff>0</xdr:rowOff>
    </xdr:from>
    <xdr:to>
      <xdr:col>3</xdr:col>
      <xdr:colOff>304480</xdr:colOff>
      <xdr:row>35</xdr:row>
      <xdr:rowOff>152048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19550"/>
          <a:ext cx="2561905" cy="28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0</xdr:rowOff>
    </xdr:from>
    <xdr:to>
      <xdr:col>8</xdr:col>
      <xdr:colOff>466057</xdr:colOff>
      <xdr:row>34</xdr:row>
      <xdr:rowOff>56786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2000"/>
          <a:ext cx="5342857" cy="29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30MCE1/Documents/Welcome/wiki-meva/RC%20calculation%20-%20filtre%20pasa%20baix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Modul [dB]</v>
          </cell>
        </row>
        <row r="2">
          <cell r="A2">
            <v>10</v>
          </cell>
          <cell r="C2">
            <v>-8.2975126166051334E-4</v>
          </cell>
        </row>
        <row r="3">
          <cell r="A3">
            <v>100</v>
          </cell>
          <cell r="C3">
            <v>-8.2200208034019451E-2</v>
          </cell>
        </row>
        <row r="4">
          <cell r="A4">
            <v>1000</v>
          </cell>
          <cell r="C4">
            <v>-4.6400571362863383</v>
          </cell>
        </row>
        <row r="5">
          <cell r="A5">
            <v>10000</v>
          </cell>
          <cell r="C5">
            <v>-22.834720655594815</v>
          </cell>
        </row>
        <row r="6">
          <cell r="A6">
            <v>100000</v>
          </cell>
          <cell r="C6">
            <v>-42.812278267075101</v>
          </cell>
        </row>
        <row r="7">
          <cell r="A7">
            <v>1000000</v>
          </cell>
          <cell r="C7">
            <v>-62.812053256499993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F18" sqref="F18"/>
    </sheetView>
  </sheetViews>
  <sheetFormatPr defaultRowHeight="15" x14ac:dyDescent="0.25"/>
  <cols>
    <col min="1" max="1" width="14.7109375" bestFit="1" customWidth="1"/>
  </cols>
  <sheetData>
    <row r="2" spans="1:5" ht="21.75" thickBot="1" x14ac:dyDescent="0.4">
      <c r="A2" s="22" t="s">
        <v>0</v>
      </c>
    </row>
    <row r="3" spans="1:5" x14ac:dyDescent="0.25">
      <c r="A3" s="2"/>
      <c r="B3" s="33" t="s">
        <v>6</v>
      </c>
      <c r="C3" s="34" t="s">
        <v>7</v>
      </c>
    </row>
    <row r="4" spans="1:5" x14ac:dyDescent="0.25">
      <c r="A4" s="24" t="s">
        <v>1</v>
      </c>
      <c r="B4" s="25">
        <v>26.5</v>
      </c>
      <c r="C4" s="26">
        <v>28.05</v>
      </c>
      <c r="D4" t="s">
        <v>67</v>
      </c>
    </row>
    <row r="5" spans="1:5" x14ac:dyDescent="0.25">
      <c r="A5" s="17" t="s">
        <v>2</v>
      </c>
      <c r="B5" s="31">
        <v>1</v>
      </c>
      <c r="C5" s="32">
        <v>3.3</v>
      </c>
      <c r="D5" t="s">
        <v>67</v>
      </c>
    </row>
    <row r="6" spans="1:5" x14ac:dyDescent="0.25">
      <c r="A6" s="18" t="s">
        <v>3</v>
      </c>
      <c r="B6" s="12">
        <f>(B7*B4/B5)-B7</f>
        <v>25500</v>
      </c>
      <c r="C6" s="13">
        <f>(C7*C4/C5)-C7</f>
        <v>7500</v>
      </c>
      <c r="D6" t="s">
        <v>47</v>
      </c>
      <c r="E6" s="1" t="s">
        <v>5</v>
      </c>
    </row>
    <row r="7" spans="1:5" ht="15.75" thickBot="1" x14ac:dyDescent="0.3">
      <c r="A7" s="19" t="s">
        <v>4</v>
      </c>
      <c r="B7" s="9">
        <v>1000</v>
      </c>
      <c r="C7" s="10">
        <v>1000</v>
      </c>
      <c r="D7" t="s">
        <v>47</v>
      </c>
    </row>
    <row r="9" spans="1:5" ht="21.75" thickBot="1" x14ac:dyDescent="0.4">
      <c r="A9" s="22" t="s">
        <v>8</v>
      </c>
    </row>
    <row r="10" spans="1:5" x14ac:dyDescent="0.25">
      <c r="A10" s="20" t="s">
        <v>10</v>
      </c>
      <c r="B10" s="3">
        <v>4095</v>
      </c>
      <c r="C10" s="4">
        <v>4095</v>
      </c>
      <c r="D10" t="s">
        <v>70</v>
      </c>
    </row>
    <row r="11" spans="1:5" x14ac:dyDescent="0.25">
      <c r="A11" s="24" t="s">
        <v>12</v>
      </c>
      <c r="B11" s="25">
        <v>4095</v>
      </c>
      <c r="C11" s="26">
        <v>4095</v>
      </c>
      <c r="D11" t="s">
        <v>70</v>
      </c>
    </row>
    <row r="12" spans="1:5" ht="15.75" thickBot="1" x14ac:dyDescent="0.3">
      <c r="A12" s="21" t="s">
        <v>11</v>
      </c>
      <c r="B12" s="15">
        <f>B11*(B5/B10)*((B6+B7)/B7)</f>
        <v>26.5</v>
      </c>
      <c r="C12" s="16">
        <f>C11*(C5/C10)*((C6+C7)/C7)</f>
        <v>28.049999999999997</v>
      </c>
      <c r="D12" t="s">
        <v>67</v>
      </c>
      <c r="E12" s="1" t="s">
        <v>9</v>
      </c>
    </row>
    <row r="14" spans="1:5" ht="21.75" thickBot="1" x14ac:dyDescent="0.4">
      <c r="A14" s="22" t="s">
        <v>60</v>
      </c>
    </row>
    <row r="15" spans="1:5" x14ac:dyDescent="0.25">
      <c r="A15" s="64" t="s">
        <v>61</v>
      </c>
      <c r="B15" s="70">
        <f>1000*B5/B10</f>
        <v>0.24420024420024419</v>
      </c>
      <c r="C15" s="65">
        <f>1000*C5/C10</f>
        <v>0.80586080586080588</v>
      </c>
      <c r="D15" t="s">
        <v>66</v>
      </c>
    </row>
    <row r="16" spans="1:5" ht="15.75" thickBot="1" x14ac:dyDescent="0.3">
      <c r="A16" s="14" t="s">
        <v>62</v>
      </c>
      <c r="B16" s="15">
        <f>1000*B4/B10</f>
        <v>6.4713064713064714</v>
      </c>
      <c r="C16" s="16">
        <f>1000*C4/C10</f>
        <v>6.8498168498168495</v>
      </c>
      <c r="D16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E21" sqref="E21"/>
    </sheetView>
  </sheetViews>
  <sheetFormatPr defaultRowHeight="15" x14ac:dyDescent="0.25"/>
  <cols>
    <col min="2" max="2" width="12.7109375" bestFit="1" customWidth="1"/>
  </cols>
  <sheetData>
    <row r="2" spans="1:5" ht="21.75" thickBot="1" x14ac:dyDescent="0.4">
      <c r="A2" s="22" t="s">
        <v>0</v>
      </c>
    </row>
    <row r="3" spans="1:5" x14ac:dyDescent="0.25">
      <c r="A3" s="2"/>
      <c r="B3" s="33" t="s">
        <v>6</v>
      </c>
      <c r="C3" s="34" t="s">
        <v>7</v>
      </c>
    </row>
    <row r="4" spans="1:5" x14ac:dyDescent="0.25">
      <c r="A4" s="17" t="s">
        <v>1</v>
      </c>
      <c r="B4" s="6">
        <v>3.3</v>
      </c>
      <c r="C4" s="7">
        <v>3.3</v>
      </c>
      <c r="D4" t="s">
        <v>67</v>
      </c>
    </row>
    <row r="5" spans="1:5" x14ac:dyDescent="0.25">
      <c r="A5" s="17" t="s">
        <v>2</v>
      </c>
      <c r="B5" s="31">
        <v>1</v>
      </c>
      <c r="C5" s="32">
        <v>3.3</v>
      </c>
      <c r="D5" t="s">
        <v>67</v>
      </c>
    </row>
    <row r="6" spans="1:5" x14ac:dyDescent="0.25">
      <c r="A6" s="18" t="s">
        <v>3</v>
      </c>
      <c r="B6" s="12">
        <f>(B7*B4/B5)-B7</f>
        <v>230000</v>
      </c>
      <c r="C6" s="13">
        <f>(C7*C4/C5)-C7</f>
        <v>0</v>
      </c>
      <c r="D6" t="s">
        <v>47</v>
      </c>
      <c r="E6" s="1" t="s">
        <v>5</v>
      </c>
    </row>
    <row r="7" spans="1:5" ht="15.75" thickBot="1" x14ac:dyDescent="0.3">
      <c r="A7" s="19" t="s">
        <v>4</v>
      </c>
      <c r="B7" s="9">
        <v>100000</v>
      </c>
      <c r="C7" s="10">
        <v>100000</v>
      </c>
      <c r="D7" t="s">
        <v>47</v>
      </c>
      <c r="E7" t="s">
        <v>20</v>
      </c>
    </row>
    <row r="9" spans="1:5" ht="21.75" thickBot="1" x14ac:dyDescent="0.4">
      <c r="A9" s="22" t="s">
        <v>8</v>
      </c>
    </row>
    <row r="10" spans="1:5" x14ac:dyDescent="0.25">
      <c r="A10" s="20" t="s">
        <v>10</v>
      </c>
      <c r="B10" s="3">
        <v>4095</v>
      </c>
      <c r="C10" s="4">
        <v>4095</v>
      </c>
      <c r="D10" t="s">
        <v>70</v>
      </c>
    </row>
    <row r="11" spans="1:5" x14ac:dyDescent="0.25">
      <c r="A11" s="17" t="s">
        <v>12</v>
      </c>
      <c r="B11" s="6">
        <v>4095</v>
      </c>
      <c r="C11" s="7">
        <v>4095</v>
      </c>
      <c r="D11" t="s">
        <v>70</v>
      </c>
    </row>
    <row r="12" spans="1:5" ht="15.75" thickBot="1" x14ac:dyDescent="0.3">
      <c r="A12" s="21" t="s">
        <v>11</v>
      </c>
      <c r="B12" s="15">
        <f>B11*(B5/B10)*((B6+B7)/B7)</f>
        <v>3.3</v>
      </c>
      <c r="C12" s="16">
        <f>C11*(C5/C10)*((C6+C7)/C7)</f>
        <v>3.3</v>
      </c>
      <c r="D12" t="s">
        <v>67</v>
      </c>
      <c r="E12" s="1" t="s">
        <v>9</v>
      </c>
    </row>
    <row r="14" spans="1:5" ht="21.75" thickBot="1" x14ac:dyDescent="0.4">
      <c r="A14" s="22" t="s">
        <v>26</v>
      </c>
    </row>
    <row r="15" spans="1:5" x14ac:dyDescent="0.25">
      <c r="A15" s="27" t="s">
        <v>21</v>
      </c>
      <c r="B15" s="28"/>
      <c r="C15" s="28"/>
      <c r="D15" s="29">
        <v>50000</v>
      </c>
      <c r="E15" t="s">
        <v>47</v>
      </c>
    </row>
    <row r="16" spans="1:5" x14ac:dyDescent="0.25">
      <c r="A16" s="5" t="s">
        <v>22</v>
      </c>
      <c r="B16" s="6"/>
      <c r="C16" s="6"/>
      <c r="D16" s="7">
        <f>B4</f>
        <v>3.3</v>
      </c>
      <c r="E16" t="s">
        <v>67</v>
      </c>
    </row>
    <row r="17" spans="1:6" x14ac:dyDescent="0.25">
      <c r="A17" s="5" t="s">
        <v>23</v>
      </c>
      <c r="B17" s="6"/>
      <c r="C17" s="6"/>
      <c r="D17" s="7">
        <f>B7</f>
        <v>100000</v>
      </c>
      <c r="E17" t="s">
        <v>47</v>
      </c>
    </row>
    <row r="18" spans="1:6" x14ac:dyDescent="0.25">
      <c r="A18" s="5" t="s">
        <v>24</v>
      </c>
      <c r="B18" s="6"/>
      <c r="C18" s="6"/>
      <c r="D18" s="7">
        <v>25</v>
      </c>
      <c r="E18" t="s">
        <v>71</v>
      </c>
    </row>
    <row r="19" spans="1:6" x14ac:dyDescent="0.25">
      <c r="A19" s="5" t="s">
        <v>25</v>
      </c>
      <c r="B19" s="6"/>
      <c r="C19" s="6"/>
      <c r="D19" s="7">
        <v>3950</v>
      </c>
    </row>
    <row r="20" spans="1:6" ht="15.75" thickBot="1" x14ac:dyDescent="0.3">
      <c r="A20" s="14" t="s">
        <v>28</v>
      </c>
      <c r="B20" s="15"/>
      <c r="C20" s="15"/>
      <c r="D20" s="16">
        <f>1/(((LOG((D15/D17))/D19))+(1/(D18+273.15)))-273.15</f>
        <v>31.932090175515214</v>
      </c>
      <c r="E20" t="s">
        <v>71</v>
      </c>
      <c r="F20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>
      <selection activeCell="Q28" sqref="Q28"/>
    </sheetView>
  </sheetViews>
  <sheetFormatPr defaultRowHeight="15" x14ac:dyDescent="0.25"/>
  <cols>
    <col min="1" max="1" width="16.85546875" bestFit="1" customWidth="1"/>
    <col min="2" max="5" width="5.85546875" customWidth="1"/>
    <col min="8" max="9" width="5.85546875" customWidth="1"/>
    <col min="12" max="14" width="5.85546875" customWidth="1"/>
    <col min="16" max="16" width="15.85546875" customWidth="1"/>
    <col min="17" max="18" width="17.7109375" customWidth="1"/>
  </cols>
  <sheetData>
    <row r="2" spans="1:20" ht="21.75" thickBot="1" x14ac:dyDescent="0.4">
      <c r="A2" s="22" t="s">
        <v>74</v>
      </c>
      <c r="P2" s="22" t="s">
        <v>13</v>
      </c>
    </row>
    <row r="3" spans="1:20" x14ac:dyDescent="0.25">
      <c r="A3" s="2"/>
      <c r="B3" s="56" t="s">
        <v>40</v>
      </c>
      <c r="C3" s="57" t="s">
        <v>41</v>
      </c>
      <c r="P3" s="2"/>
      <c r="Q3" s="33" t="s">
        <v>6</v>
      </c>
      <c r="R3" s="34" t="s">
        <v>7</v>
      </c>
    </row>
    <row r="4" spans="1:20" x14ac:dyDescent="0.25">
      <c r="A4" s="5" t="s">
        <v>54</v>
      </c>
      <c r="B4" s="6">
        <v>3.3</v>
      </c>
      <c r="C4" s="7">
        <v>3.3</v>
      </c>
      <c r="D4" t="s">
        <v>67</v>
      </c>
      <c r="P4" s="17" t="s">
        <v>15</v>
      </c>
      <c r="Q4" s="6">
        <v>0.05</v>
      </c>
      <c r="R4" s="7">
        <v>0.05</v>
      </c>
      <c r="S4" t="s">
        <v>47</v>
      </c>
    </row>
    <row r="5" spans="1:20" x14ac:dyDescent="0.25">
      <c r="A5" s="5" t="s">
        <v>36</v>
      </c>
      <c r="B5" s="6">
        <v>25</v>
      </c>
      <c r="C5" s="7">
        <v>25</v>
      </c>
      <c r="D5" t="s">
        <v>67</v>
      </c>
      <c r="P5" s="17" t="s">
        <v>16</v>
      </c>
      <c r="Q5" s="6">
        <v>5</v>
      </c>
      <c r="R5" s="7">
        <v>5</v>
      </c>
      <c r="S5" t="s">
        <v>68</v>
      </c>
    </row>
    <row r="6" spans="1:20" x14ac:dyDescent="0.25">
      <c r="A6" s="5" t="s">
        <v>37</v>
      </c>
      <c r="B6" s="6">
        <v>5</v>
      </c>
      <c r="C6" s="7">
        <v>5</v>
      </c>
      <c r="D6" t="s">
        <v>68</v>
      </c>
      <c r="P6" s="18" t="s">
        <v>1</v>
      </c>
      <c r="Q6" s="12">
        <f>Q4*Q5</f>
        <v>0.25</v>
      </c>
      <c r="R6" s="13">
        <f>R4*R5</f>
        <v>0.25</v>
      </c>
      <c r="S6" t="s">
        <v>67</v>
      </c>
    </row>
    <row r="7" spans="1:20" x14ac:dyDescent="0.25">
      <c r="A7" s="5" t="s">
        <v>15</v>
      </c>
      <c r="B7" s="6">
        <v>0.05</v>
      </c>
      <c r="C7" s="7">
        <v>0.05</v>
      </c>
      <c r="D7" t="s">
        <v>47</v>
      </c>
      <c r="P7" s="17" t="s">
        <v>2</v>
      </c>
      <c r="Q7" s="31">
        <v>1</v>
      </c>
      <c r="R7" s="32">
        <v>3.3</v>
      </c>
      <c r="S7" t="s">
        <v>67</v>
      </c>
      <c r="T7" s="1" t="s">
        <v>17</v>
      </c>
    </row>
    <row r="8" spans="1:20" ht="15.75" thickBot="1" x14ac:dyDescent="0.3">
      <c r="A8" s="11" t="s">
        <v>42</v>
      </c>
      <c r="B8" s="12">
        <f>B6*B7</f>
        <v>0.25</v>
      </c>
      <c r="C8" s="13">
        <f>C6*C7</f>
        <v>0.25</v>
      </c>
      <c r="D8" t="s">
        <v>67</v>
      </c>
      <c r="P8" s="21" t="s">
        <v>14</v>
      </c>
      <c r="Q8" s="15">
        <f>Q7/Q6</f>
        <v>4</v>
      </c>
      <c r="R8" s="16">
        <f>R7/R6</f>
        <v>13.2</v>
      </c>
      <c r="S8" t="s">
        <v>69</v>
      </c>
    </row>
    <row r="9" spans="1:20" x14ac:dyDescent="0.25">
      <c r="A9" s="11" t="s">
        <v>38</v>
      </c>
      <c r="B9" s="12">
        <f>B8*B6</f>
        <v>1.25</v>
      </c>
      <c r="C9" s="13">
        <f>C8*C6</f>
        <v>1.25</v>
      </c>
      <c r="D9" t="s">
        <v>72</v>
      </c>
    </row>
    <row r="10" spans="1:20" ht="21.75" thickBot="1" x14ac:dyDescent="0.4">
      <c r="A10" s="8" t="s">
        <v>39</v>
      </c>
      <c r="B10" s="54">
        <v>1</v>
      </c>
      <c r="C10" s="55">
        <v>3.3</v>
      </c>
      <c r="D10" t="s">
        <v>67</v>
      </c>
      <c r="P10" s="22" t="s">
        <v>19</v>
      </c>
    </row>
    <row r="11" spans="1:20" x14ac:dyDescent="0.25">
      <c r="P11" s="30" t="s">
        <v>3</v>
      </c>
      <c r="Q11" s="28">
        <v>1000</v>
      </c>
      <c r="R11" s="29">
        <v>1000</v>
      </c>
      <c r="S11" t="s">
        <v>47</v>
      </c>
    </row>
    <row r="12" spans="1:20" ht="15.75" thickBot="1" x14ac:dyDescent="0.3">
      <c r="B12" s="41" t="s">
        <v>35</v>
      </c>
      <c r="C12" s="42"/>
      <c r="L12" s="6"/>
      <c r="M12" s="41" t="s">
        <v>34</v>
      </c>
      <c r="N12" s="42"/>
      <c r="P12" s="21" t="s">
        <v>4</v>
      </c>
      <c r="Q12" s="15">
        <f>(Q7/Q6-1)*Q11</f>
        <v>3000</v>
      </c>
      <c r="R12" s="16">
        <f>(R7/R6-1)*R11</f>
        <v>12200</v>
      </c>
      <c r="S12" t="s">
        <v>47</v>
      </c>
      <c r="T12" s="1" t="s">
        <v>18</v>
      </c>
    </row>
    <row r="13" spans="1:20" x14ac:dyDescent="0.25">
      <c r="A13" t="s">
        <v>43</v>
      </c>
      <c r="B13" s="43"/>
      <c r="L13" s="6"/>
      <c r="M13" s="51"/>
    </row>
    <row r="14" spans="1:20" ht="21.75" thickBot="1" x14ac:dyDescent="0.4">
      <c r="A14" s="58">
        <v>0.95</v>
      </c>
      <c r="B14" s="44"/>
      <c r="F14" s="47" t="s">
        <v>31</v>
      </c>
      <c r="G14" s="48"/>
      <c r="J14" s="47" t="s">
        <v>31</v>
      </c>
      <c r="K14" s="48"/>
      <c r="L14" s="6"/>
      <c r="M14" s="51"/>
      <c r="P14" s="22" t="s">
        <v>8</v>
      </c>
    </row>
    <row r="15" spans="1:20" x14ac:dyDescent="0.25">
      <c r="B15" s="41" t="s">
        <v>29</v>
      </c>
      <c r="C15" s="42"/>
      <c r="F15" s="47"/>
      <c r="G15" s="48"/>
      <c r="J15" s="47"/>
      <c r="K15" s="48"/>
      <c r="L15" s="6"/>
      <c r="M15" s="51"/>
      <c r="P15" s="20" t="s">
        <v>10</v>
      </c>
      <c r="Q15" s="3">
        <v>4095</v>
      </c>
      <c r="R15" s="4">
        <v>4095</v>
      </c>
      <c r="S15" t="s">
        <v>70</v>
      </c>
    </row>
    <row r="16" spans="1:20" x14ac:dyDescent="0.25">
      <c r="B16" s="43"/>
      <c r="C16" s="45"/>
      <c r="D16" s="46" t="s">
        <v>33</v>
      </c>
      <c r="E16" s="52">
        <f>B8</f>
        <v>0.25</v>
      </c>
      <c r="F16" s="47"/>
      <c r="G16" s="48"/>
      <c r="H16" s="46" t="s">
        <v>33</v>
      </c>
      <c r="I16" s="53">
        <f>B10</f>
        <v>1</v>
      </c>
      <c r="J16" s="47"/>
      <c r="K16" s="48"/>
      <c r="L16" s="46" t="s">
        <v>33</v>
      </c>
      <c r="M16" s="53">
        <f>B4</f>
        <v>3.3</v>
      </c>
      <c r="P16" s="24" t="s">
        <v>12</v>
      </c>
      <c r="Q16" s="25">
        <v>4095</v>
      </c>
      <c r="R16" s="26">
        <v>4095</v>
      </c>
      <c r="S16" t="s">
        <v>70</v>
      </c>
    </row>
    <row r="17" spans="2:20" ht="15.75" thickBot="1" x14ac:dyDescent="0.3">
      <c r="B17" s="44"/>
      <c r="D17" t="s">
        <v>44</v>
      </c>
      <c r="E17" s="23">
        <f>A14*B7</f>
        <v>4.7500000000000001E-2</v>
      </c>
      <c r="F17" s="49">
        <f>I16/E16</f>
        <v>4</v>
      </c>
      <c r="G17" s="50"/>
      <c r="H17" s="43"/>
      <c r="J17" s="49">
        <f>M16/I16</f>
        <v>3.3</v>
      </c>
      <c r="K17" s="50"/>
      <c r="M17" s="23">
        <f>H24*J17</f>
        <v>0.627</v>
      </c>
      <c r="P17" s="21" t="s">
        <v>11</v>
      </c>
      <c r="Q17" s="15">
        <f>Q16*(Q7/Q15)/(Q8)</f>
        <v>0.25</v>
      </c>
      <c r="R17" s="16">
        <f>R16*(R7/R15)/(R8)</f>
        <v>0.25</v>
      </c>
      <c r="S17" t="s">
        <v>67</v>
      </c>
      <c r="T17" s="1" t="s">
        <v>9</v>
      </c>
    </row>
    <row r="18" spans="2:20" x14ac:dyDescent="0.25">
      <c r="B18" s="35" t="s">
        <v>15</v>
      </c>
      <c r="C18" s="36"/>
      <c r="F18" s="49"/>
      <c r="G18" s="50"/>
      <c r="H18" s="51"/>
      <c r="J18" s="49"/>
      <c r="K18" s="50"/>
    </row>
    <row r="19" spans="2:20" ht="21.75" thickBot="1" x14ac:dyDescent="0.4">
      <c r="B19" s="37"/>
      <c r="C19" s="38"/>
      <c r="F19" s="49"/>
      <c r="G19" s="50"/>
      <c r="H19" s="51"/>
      <c r="J19" s="49"/>
      <c r="K19" s="50"/>
      <c r="P19" s="22" t="s">
        <v>60</v>
      </c>
    </row>
    <row r="20" spans="2:20" x14ac:dyDescent="0.25">
      <c r="B20" s="39"/>
      <c r="C20" s="40"/>
      <c r="H20" s="51"/>
      <c r="P20" s="64" t="s">
        <v>61</v>
      </c>
      <c r="Q20" s="70">
        <f>1000*Q7/Q15</f>
        <v>0.24420024420024419</v>
      </c>
      <c r="R20" s="65">
        <f>1000*R7/R15</f>
        <v>0.80586080586080588</v>
      </c>
      <c r="S20" t="s">
        <v>66</v>
      </c>
    </row>
    <row r="21" spans="2:20" x14ac:dyDescent="0.25">
      <c r="B21" s="43"/>
      <c r="H21" s="51"/>
      <c r="P21" s="11" t="s">
        <v>63</v>
      </c>
      <c r="Q21" s="12">
        <f>1000*Q6/Q15</f>
        <v>6.1050061050061048E-2</v>
      </c>
      <c r="R21" s="13">
        <f>1000*R6/R15</f>
        <v>6.1050061050061048E-2</v>
      </c>
      <c r="S21" t="s">
        <v>66</v>
      </c>
    </row>
    <row r="22" spans="2:20" ht="15.75" thickBot="1" x14ac:dyDescent="0.3">
      <c r="B22" s="44"/>
      <c r="H22" s="51"/>
      <c r="P22" s="14" t="s">
        <v>64</v>
      </c>
      <c r="Q22" s="15">
        <f>1000*Q5/Q15</f>
        <v>1.2210012210012211</v>
      </c>
      <c r="R22" s="16">
        <f>1000*R5/R15</f>
        <v>1.2210012210012211</v>
      </c>
      <c r="S22" t="s">
        <v>65</v>
      </c>
    </row>
    <row r="23" spans="2:20" x14ac:dyDescent="0.25">
      <c r="B23" s="41" t="s">
        <v>30</v>
      </c>
      <c r="C23" s="42"/>
      <c r="H23" s="41" t="s">
        <v>32</v>
      </c>
      <c r="I23" s="42"/>
    </row>
    <row r="24" spans="2:20" x14ac:dyDescent="0.25">
      <c r="H24" s="59">
        <f>E17*F17</f>
        <v>0.19</v>
      </c>
      <c r="I24" s="59"/>
    </row>
  </sheetData>
  <mergeCells count="11">
    <mergeCell ref="J14:K16"/>
    <mergeCell ref="J17:K19"/>
    <mergeCell ref="H23:I23"/>
    <mergeCell ref="M12:N12"/>
    <mergeCell ref="H24:I24"/>
    <mergeCell ref="B18:C20"/>
    <mergeCell ref="B15:C15"/>
    <mergeCell ref="B12:C12"/>
    <mergeCell ref="B23:C23"/>
    <mergeCell ref="F14:G16"/>
    <mergeCell ref="F17:G1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F21" sqref="F21"/>
    </sheetView>
  </sheetViews>
  <sheetFormatPr defaultRowHeight="15" x14ac:dyDescent="0.25"/>
  <cols>
    <col min="2" max="2" width="12" bestFit="1" customWidth="1"/>
    <col min="3" max="3" width="12.7109375" bestFit="1" customWidth="1"/>
  </cols>
  <sheetData>
    <row r="1" spans="1:3" ht="21.75" thickBot="1" x14ac:dyDescent="0.4">
      <c r="A1" s="22" t="s">
        <v>45</v>
      </c>
    </row>
    <row r="2" spans="1:3" x14ac:dyDescent="0.25">
      <c r="A2" s="27" t="s">
        <v>47</v>
      </c>
      <c r="B2" s="29">
        <v>10000</v>
      </c>
      <c r="C2" s="71" t="s">
        <v>47</v>
      </c>
    </row>
    <row r="3" spans="1:3" x14ac:dyDescent="0.25">
      <c r="A3" s="60" t="s">
        <v>48</v>
      </c>
      <c r="B3" s="26">
        <v>9.9999999999999995E-8</v>
      </c>
      <c r="C3" s="71" t="s">
        <v>73</v>
      </c>
    </row>
    <row r="4" spans="1:3" ht="15.75" thickBot="1" x14ac:dyDescent="0.3">
      <c r="A4" s="14" t="s">
        <v>46</v>
      </c>
      <c r="B4" s="16">
        <f>1/(2*PI()*B2*B3)</f>
        <v>159.15494309189535</v>
      </c>
      <c r="C4" s="71" t="s">
        <v>49</v>
      </c>
    </row>
    <row r="7" spans="1:3" x14ac:dyDescent="0.25">
      <c r="A7" s="62" t="s">
        <v>50</v>
      </c>
      <c r="B7" s="63" t="s">
        <v>51</v>
      </c>
      <c r="C7" s="43" t="s">
        <v>52</v>
      </c>
    </row>
    <row r="8" spans="1:3" x14ac:dyDescent="0.25">
      <c r="A8" s="72">
        <v>1</v>
      </c>
      <c r="B8" s="12">
        <f>1/((1+((A8/$B$4)^2))^(1/2))</f>
        <v>0.99998026137563323</v>
      </c>
      <c r="C8" s="73">
        <f>20*LOG(B8)</f>
        <v>-1.714492049482957E-4</v>
      </c>
    </row>
    <row r="9" spans="1:3" x14ac:dyDescent="0.25">
      <c r="A9" s="72">
        <v>10</v>
      </c>
      <c r="B9" s="12">
        <f t="shared" ref="B9:B14" si="0">1/((1+((A9/$B$4)^2))^(1/2))</f>
        <v>0.99803190450364476</v>
      </c>
      <c r="C9" s="73">
        <f>20*LOG(B9)</f>
        <v>-1.7111504344582869E-2</v>
      </c>
    </row>
    <row r="10" spans="1:3" x14ac:dyDescent="0.25">
      <c r="A10" s="72">
        <v>100</v>
      </c>
      <c r="B10" s="12">
        <f t="shared" si="0"/>
        <v>0.84673301596483042</v>
      </c>
      <c r="C10" s="73">
        <f t="shared" ref="C10:C14" si="1">20*LOG(B10)</f>
        <v>-1.445070116205287</v>
      </c>
    </row>
    <row r="11" spans="1:3" x14ac:dyDescent="0.25">
      <c r="A11" s="72">
        <v>1000</v>
      </c>
      <c r="B11" s="12">
        <f t="shared" si="0"/>
        <v>0.15717672547758985</v>
      </c>
      <c r="C11" s="73">
        <f t="shared" si="1"/>
        <v>-16.072235265805517</v>
      </c>
    </row>
    <row r="12" spans="1:3" x14ac:dyDescent="0.25">
      <c r="A12" s="72">
        <v>10000</v>
      </c>
      <c r="B12" s="12">
        <f t="shared" si="0"/>
        <v>1.5913478971147695E-2</v>
      </c>
      <c r="C12" s="73">
        <f t="shared" si="1"/>
        <v>-35.964697308632864</v>
      </c>
    </row>
    <row r="13" spans="1:3" x14ac:dyDescent="0.25">
      <c r="A13" s="72">
        <v>100000</v>
      </c>
      <c r="B13" s="12">
        <f t="shared" si="0"/>
        <v>1.5915474152018807E-3</v>
      </c>
      <c r="C13" s="73">
        <f t="shared" si="1"/>
        <v>-55.963608367956105</v>
      </c>
    </row>
    <row r="14" spans="1:3" x14ac:dyDescent="0.25">
      <c r="A14" s="74">
        <v>1000000</v>
      </c>
      <c r="B14" s="75">
        <f t="shared" si="0"/>
        <v>1.5915494107617448E-4</v>
      </c>
      <c r="C14" s="76">
        <f t="shared" si="1"/>
        <v>-75.963597477170367</v>
      </c>
    </row>
    <row r="21" spans="2:2" x14ac:dyDescent="0.25">
      <c r="B21" s="6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J9" sqref="J9"/>
    </sheetView>
  </sheetViews>
  <sheetFormatPr defaultRowHeight="15" x14ac:dyDescent="0.25"/>
  <sheetData>
    <row r="1" spans="1:4" ht="21.75" thickBot="1" x14ac:dyDescent="0.4">
      <c r="A1" s="22" t="s">
        <v>58</v>
      </c>
    </row>
    <row r="2" spans="1:4" x14ac:dyDescent="0.25">
      <c r="A2" s="27" t="s">
        <v>2</v>
      </c>
      <c r="B2" s="29">
        <v>12</v>
      </c>
      <c r="C2" t="s">
        <v>67</v>
      </c>
      <c r="D2" t="s">
        <v>53</v>
      </c>
    </row>
    <row r="3" spans="1:4" x14ac:dyDescent="0.25">
      <c r="A3" s="5" t="s">
        <v>55</v>
      </c>
      <c r="B3" s="7">
        <v>0.6</v>
      </c>
      <c r="C3" t="s">
        <v>67</v>
      </c>
    </row>
    <row r="4" spans="1:4" x14ac:dyDescent="0.25">
      <c r="A4" s="11" t="s">
        <v>3</v>
      </c>
      <c r="B4" s="13">
        <f>B5*(B2/B3-1)</f>
        <v>19000</v>
      </c>
      <c r="C4" t="s">
        <v>47</v>
      </c>
      <c r="D4" t="s">
        <v>57</v>
      </c>
    </row>
    <row r="5" spans="1:4" ht="15.75" thickBot="1" x14ac:dyDescent="0.3">
      <c r="A5" s="66" t="s">
        <v>4</v>
      </c>
      <c r="B5" s="67">
        <v>1000</v>
      </c>
      <c r="C5" t="s">
        <v>47</v>
      </c>
      <c r="D5" t="s">
        <v>56</v>
      </c>
    </row>
    <row r="7" spans="1:4" ht="21.75" thickBot="1" x14ac:dyDescent="0.4">
      <c r="A7" s="22" t="s">
        <v>59</v>
      </c>
    </row>
    <row r="8" spans="1:4" x14ac:dyDescent="0.25">
      <c r="A8" s="64" t="s">
        <v>2</v>
      </c>
      <c r="B8" s="65">
        <f>B9*(1+B10/B11)</f>
        <v>12.6</v>
      </c>
      <c r="C8" t="s">
        <v>67</v>
      </c>
      <c r="D8" t="s">
        <v>53</v>
      </c>
    </row>
    <row r="9" spans="1:4" x14ac:dyDescent="0.25">
      <c r="A9" s="68" t="s">
        <v>55</v>
      </c>
      <c r="B9" s="69">
        <v>0.6</v>
      </c>
      <c r="C9" t="s">
        <v>67</v>
      </c>
    </row>
    <row r="10" spans="1:4" x14ac:dyDescent="0.25">
      <c r="A10" s="60" t="s">
        <v>3</v>
      </c>
      <c r="B10" s="26">
        <v>20000</v>
      </c>
      <c r="C10" t="s">
        <v>47</v>
      </c>
      <c r="D10" t="s">
        <v>57</v>
      </c>
    </row>
    <row r="11" spans="1:4" ht="15.75" thickBot="1" x14ac:dyDescent="0.3">
      <c r="A11" s="66" t="s">
        <v>4</v>
      </c>
      <c r="B11" s="67">
        <v>1000</v>
      </c>
      <c r="C11" t="s">
        <v>47</v>
      </c>
      <c r="D11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Vload sense</vt:lpstr>
      <vt:lpstr>Temp sense</vt:lpstr>
      <vt:lpstr>DriveMosfetFeedback+Iload sense</vt:lpstr>
      <vt:lpstr>Snubber filter RC</vt:lpstr>
      <vt:lpstr>PowerSupply-Boost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2023-04-19T14:46:03Z</dcterms:modified>
</cp:coreProperties>
</file>