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load sense" sheetId="1" state="visible" r:id="rId2"/>
    <sheet name="Temp sense" sheetId="2" state="visible" r:id="rId3"/>
    <sheet name="DriveMosfetFeedback+Iload sense" sheetId="3" state="visible" r:id="rId4"/>
    <sheet name="Snubber filter RC" sheetId="4" state="visible" r:id="rId5"/>
    <sheet name="PowerSupply-Boo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<sst xmlns="http://schemas.openxmlformats.org/spreadsheetml/2006/main" count="167" uniqueCount="82">
  <si>
    <t xml:space="preserve">Voltage divider</t>
  </si>
  <si>
    <t xml:space="preserve">Resistance worse case</t>
  </si>
  <si>
    <t xml:space="preserve">Option 1</t>
  </si>
  <si>
    <t xml:space="preserve">Option 2</t>
  </si>
  <si>
    <t xml:space="preserve">Vin</t>
  </si>
  <si>
    <t xml:space="preserve">V</t>
  </si>
  <si>
    <t xml:space="preserve">Vout</t>
  </si>
  <si>
    <t xml:space="preserve">resistors error</t>
  </si>
  <si>
    <t xml:space="preserve">R1</t>
  </si>
  <si>
    <t xml:space="preserve">R</t>
  </si>
  <si>
    <t xml:space="preserve">R1 = (R2*Vin/Vout)-R2</t>
  </si>
  <si>
    <t xml:space="preserve">R2</t>
  </si>
  <si>
    <t xml:space="preserve">Vread calculation</t>
  </si>
  <si>
    <t xml:space="preserve">Deviation V</t>
  </si>
  <si>
    <t xml:space="preserve">bitsAdc</t>
  </si>
  <si>
    <t xml:space="preserve">bits</t>
  </si>
  <si>
    <t xml:space="preserve">Deviation %</t>
  </si>
  <si>
    <t xml:space="preserve">readAdc</t>
  </si>
  <si>
    <t xml:space="preserve">readV</t>
  </si>
  <si>
    <t xml:space="preserve">readV = readAdc * (max Vadc/bitsAdc)*(R1+R2/R2)</t>
  </si>
  <si>
    <t xml:space="preserve">Vread resolution</t>
  </si>
  <si>
    <t xml:space="preserve">resolutionADC</t>
  </si>
  <si>
    <t xml:space="preserve">resolutionVload</t>
  </si>
  <si>
    <t xml:space="preserve">ADC ESP32-C3 reality case</t>
  </si>
  <si>
    <t xml:space="preserve">Vreal</t>
  </si>
  <si>
    <t xml:space="preserve">Vread</t>
  </si>
  <si>
    <t xml:space="preserve">Thermistor</t>
  </si>
  <si>
    <t xml:space="preserve">Tread calculation - Steinhart-Hart</t>
  </si>
  <si>
    <t xml:space="preserve">Thermistor resistance</t>
  </si>
  <si>
    <t xml:space="preserve">Vcc</t>
  </si>
  <si>
    <t xml:space="preserve">Thermistor nominal</t>
  </si>
  <si>
    <t xml:space="preserve">Temperature nominal</t>
  </si>
  <si>
    <t xml:space="preserve">ºC</t>
  </si>
  <si>
    <t xml:space="preserve">B_coeficient</t>
  </si>
  <si>
    <t xml:space="preserve">TemperatureCelciu</t>
  </si>
  <si>
    <t xml:space="preserve">TemperatureCelcius = 1/(((log(resistance / THERMISTOR_NOMINAL))/B_COEFFICIENT)+1.0 / (TEMPERATURE_NOMINAL + 273.15))-273.15</t>
  </si>
  <si>
    <t xml:space="preserve">Mosfet Feedback</t>
  </si>
  <si>
    <t xml:space="preserve">Ampli opam</t>
  </si>
  <si>
    <t xml:space="preserve">op1</t>
  </si>
  <si>
    <t xml:space="preserve">op2</t>
  </si>
  <si>
    <t xml:space="preserve">opam signal input</t>
  </si>
  <si>
    <t xml:space="preserve">Rshunt</t>
  </si>
  <si>
    <t xml:space="preserve">Vload max</t>
  </si>
  <si>
    <t xml:space="preserve">Imax</t>
  </si>
  <si>
    <t xml:space="preserve">A</t>
  </si>
  <si>
    <t xml:space="preserve">Iload max</t>
  </si>
  <si>
    <t xml:space="preserve">Vout=Vin*(1+R2/R1)</t>
  </si>
  <si>
    <t xml:space="preserve">Vshunt max</t>
  </si>
  <si>
    <t xml:space="preserve">multi (Vin*n)</t>
  </si>
  <si>
    <t xml:space="preserve">x</t>
  </si>
  <si>
    <t xml:space="preserve">Wshunt</t>
  </si>
  <si>
    <t xml:space="preserve">W</t>
  </si>
  <si>
    <t xml:space="preserve">Vadc max</t>
  </si>
  <si>
    <t xml:space="preserve">Opam ampli no negative Resistors</t>
  </si>
  <si>
    <t xml:space="preserve">Vload</t>
  </si>
  <si>
    <t xml:space="preserve">mosfet gate</t>
  </si>
  <si>
    <t xml:space="preserve">R2=(Vout/Vin-1)*R1</t>
  </si>
  <si>
    <t xml:space="preserve">flowing Amps</t>
  </si>
  <si>
    <t xml:space="preserve">opam ampli</t>
  </si>
  <si>
    <t xml:space="preserve">mosfet</t>
  </si>
  <si>
    <t xml:space="preserve">max</t>
  </si>
  <si>
    <t xml:space="preserve">readAmps</t>
  </si>
  <si>
    <t xml:space="preserve">gnd</t>
  </si>
  <si>
    <t xml:space="preserve">uC adc</t>
  </si>
  <si>
    <t xml:space="preserve">mV</t>
  </si>
  <si>
    <t xml:space="preserve">resolutionVshunt</t>
  </si>
  <si>
    <t xml:space="preserve">resolutionAmps</t>
  </si>
  <si>
    <t xml:space="preserve">mA</t>
  </si>
  <si>
    <t xml:space="preserve">Low pass</t>
  </si>
  <si>
    <t xml:space="preserve">C</t>
  </si>
  <si>
    <t xml:space="preserve">F</t>
  </si>
  <si>
    <t xml:space="preserve">Fc</t>
  </si>
  <si>
    <t xml:space="preserve">Hz</t>
  </si>
  <si>
    <t xml:space="preserve">Freq [Hz]</t>
  </si>
  <si>
    <t xml:space="preserve">Modul [Vo/Vi]</t>
  </si>
  <si>
    <t xml:space="preserve">Modul [dB]</t>
  </si>
  <si>
    <t xml:space="preserve">R2 calculation</t>
  </si>
  <si>
    <t xml:space="preserve">Vout=Vref(1+R1/R2)</t>
  </si>
  <si>
    <t xml:space="preserve">Vref</t>
  </si>
  <si>
    <t xml:space="preserve">R1=R2(Vout/Vref-1)</t>
  </si>
  <si>
    <t xml:space="preserve">R2=R1/(Vout/Vref-1)</t>
  </si>
  <si>
    <t xml:space="preserve">Vout calculation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</si>
</sst>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General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5B9BD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A933"/>
      <name val="Calibri"/>
      <family val="2"/>
      <charset val="1"/>
    </font>
    <font>
      <b val="true"/>
      <sz val="11"/>
      <color rgb="FF00A933"/>
      <name val="Calibri"/>
      <family val="2"/>
    </font>
    <font>
      <b val="true"/>
      <sz val="11"/>
      <color rgb="FFC9211E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99CC00"/>
      </patternFill>
    </fill>
    <fill>
      <patternFill patternType="solid">
        <fgColor rgb="FF5B9BD5"/>
        <bgColor rgb="FF808080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true">
      <left style="thin"/>
      <right/>
      <top/>
      <bottom/>
      <diagonal style="thin"/>
    </border>
    <border diagonalUp="true" diagonalDown="false">
      <left style="thin"/>
      <right/>
      <top/>
      <bottom/>
      <diagonal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Gain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'Snubber filter RC'!$C$7</c:f>
              <c:strCache>
                <c:ptCount val="1"/>
                <c:pt idx="0">
                  <c:v>Modul [dB]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'Snubber filter RC'!$A$8:$A$14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'Snubber filter RC'!$C$8:$C$14</c:f>
              <c:numCache>
                <c:formatCode>General</c:formatCode>
                <c:ptCount val="7"/>
                <c:pt idx="0">
                  <c:v>-0.000171449204948296</c:v>
                </c:pt>
                <c:pt idx="1">
                  <c:v>-0.0171115043445829</c:v>
                </c:pt>
                <c:pt idx="2">
                  <c:v>-1.44507011620529</c:v>
                </c:pt>
                <c:pt idx="3">
                  <c:v>-16.0722352658055</c:v>
                </c:pt>
                <c:pt idx="4">
                  <c:v>-35.9646973086329</c:v>
                </c:pt>
                <c:pt idx="5">
                  <c:v>-55.9636083679561</c:v>
                </c:pt>
                <c:pt idx="6">
                  <c:v>-75.9635974771704</c:v>
                </c:pt>
              </c:numCache>
            </c:numRef>
          </c:yVal>
          <c:smooth val="1"/>
        </c:ser>
        <c:axId val="49951048"/>
        <c:axId val="81621308"/>
      </c:scatterChart>
      <c:valAx>
        <c:axId val="49951048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 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621308"/>
        <c:crosses val="autoZero"/>
        <c:crossBetween val="midCat"/>
      </c:valAx>
      <c:valAx>
        <c:axId val="81621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Modul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510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0</xdr:rowOff>
    </xdr:from>
    <xdr:to>
      <xdr:col>4</xdr:col>
      <xdr:colOff>513720</xdr:colOff>
      <xdr:row>39</xdr:row>
      <xdr:rowOff>37440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4476600"/>
          <a:ext cx="3196440" cy="3276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24</xdr:row>
      <xdr:rowOff>162000</xdr:rowOff>
    </xdr:from>
    <xdr:to>
      <xdr:col>13</xdr:col>
      <xdr:colOff>208440</xdr:colOff>
      <xdr:row>40</xdr:row>
      <xdr:rowOff>152640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57240" y="4958640"/>
          <a:ext cx="7023960" cy="303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28440</xdr:colOff>
      <xdr:row>1</xdr:row>
      <xdr:rowOff>9360</xdr:rowOff>
    </xdr:from>
    <xdr:to>
      <xdr:col>12</xdr:col>
      <xdr:colOff>418680</xdr:colOff>
      <xdr:row>18</xdr:row>
      <xdr:rowOff>151920</xdr:rowOff>
    </xdr:to>
    <xdr:graphicFrame>
      <xdr:nvGraphicFramePr>
        <xdr:cNvPr id="2" name="Chart 1"/>
        <xdr:cNvGraphicFramePr/>
      </xdr:nvGraphicFramePr>
      <xdr:xfrm>
        <a:off x="2961360" y="285480"/>
        <a:ext cx="5155560" cy="33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304200</xdr:colOff>
      <xdr:row>35</xdr:row>
      <xdr:rowOff>151560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0" y="4095720"/>
          <a:ext cx="2641680" cy="2818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0</xdr:rowOff>
    </xdr:from>
    <xdr:to>
      <xdr:col>8</xdr:col>
      <xdr:colOff>465840</xdr:colOff>
      <xdr:row>34</xdr:row>
      <xdr:rowOff>56520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3809880"/>
          <a:ext cx="5230800" cy="2914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28" activeCellId="0" sqref="K28"/>
    </sheetView>
  </sheetViews>
  <sheetFormatPr defaultColWidth="8.453125" defaultRowHeight="13.8" zeroHeight="false" outlineLevelRow="0" outlineLevelCol="0"/>
  <cols>
    <col collapsed="false" customWidth="true" hidden="false" outlineLevel="0" max="1" min="1" style="0" width="2.72"/>
    <col collapsed="false" customWidth="true" hidden="false" outlineLevel="0" max="2" min="2" style="0" width="14.71"/>
    <col collapsed="false" customWidth="true" hidden="false" outlineLevel="0" max="4" min="3" style="0" width="14.46"/>
    <col collapsed="false" customWidth="true" hidden="false" outlineLevel="0" max="9" min="9" style="0" width="12.84"/>
  </cols>
  <sheetData>
    <row r="1" customFormat="false" ht="15" hidden="false" customHeight="false" outlineLevel="0" collapsed="false"/>
    <row r="2" customFormat="false" ht="19.7" hidden="false" customHeight="false" outlineLevel="0" collapsed="false">
      <c r="B2" s="1" t="s">
        <v>0</v>
      </c>
      <c r="I2" s="1" t="s">
        <v>1</v>
      </c>
    </row>
    <row r="3" customFormat="false" ht="13.8" hidden="false" customHeight="false" outlineLevel="0" collapsed="false">
      <c r="B3" s="2"/>
      <c r="C3" s="3" t="s">
        <v>2</v>
      </c>
      <c r="D3" s="4" t="s">
        <v>3</v>
      </c>
    </row>
    <row r="4" customFormat="false" ht="13.8" hidden="false" customHeight="false" outlineLevel="0" collapsed="false">
      <c r="B4" s="5" t="s">
        <v>4</v>
      </c>
      <c r="C4" s="6" t="n">
        <v>26.5</v>
      </c>
      <c r="D4" s="7" t="n">
        <v>68.9</v>
      </c>
      <c r="E4" s="0" t="s">
        <v>5</v>
      </c>
    </row>
    <row r="5" customFormat="false" ht="13.8" hidden="false" customHeight="false" outlineLevel="0" collapsed="false">
      <c r="B5" s="8" t="s">
        <v>6</v>
      </c>
      <c r="C5" s="9" t="n">
        <v>1</v>
      </c>
      <c r="D5" s="10" t="n">
        <v>2.6</v>
      </c>
      <c r="E5" s="0" t="s">
        <v>5</v>
      </c>
      <c r="I5" s="11" t="s">
        <v>7</v>
      </c>
      <c r="J5" s="12" t="n">
        <v>0.01</v>
      </c>
      <c r="K5" s="13"/>
    </row>
    <row r="6" customFormat="false" ht="13.8" hidden="false" customHeight="false" outlineLevel="0" collapsed="false">
      <c r="B6" s="14" t="s">
        <v>8</v>
      </c>
      <c r="C6" s="15" t="n">
        <f aca="false">(C7*C4/C5)-C7</f>
        <v>25500</v>
      </c>
      <c r="D6" s="16" t="n">
        <f aca="false">(D7*D4/D5)-D7</f>
        <v>25500</v>
      </c>
      <c r="E6" s="0" t="s">
        <v>9</v>
      </c>
      <c r="F6" s="17" t="s">
        <v>10</v>
      </c>
      <c r="I6" s="18"/>
      <c r="J6" s="0" t="n">
        <f aca="false">D6*1.01</f>
        <v>25755</v>
      </c>
      <c r="K6" s="19" t="n">
        <f aca="false">C6*0.99</f>
        <v>25245</v>
      </c>
    </row>
    <row r="7" customFormat="false" ht="13.8" hidden="false" customHeight="false" outlineLevel="0" collapsed="false">
      <c r="B7" s="20" t="s">
        <v>11</v>
      </c>
      <c r="C7" s="21" t="n">
        <v>1000</v>
      </c>
      <c r="D7" s="22" t="n">
        <v>1000</v>
      </c>
      <c r="E7" s="0" t="s">
        <v>9</v>
      </c>
      <c r="I7" s="18"/>
      <c r="J7" s="0" t="n">
        <f aca="false">D7*1.01</f>
        <v>1010</v>
      </c>
      <c r="K7" s="19" t="n">
        <f aca="false">C7*0.99</f>
        <v>990</v>
      </c>
    </row>
    <row r="9" customFormat="false" ht="19.7" hidden="false" customHeight="false" outlineLevel="0" collapsed="false">
      <c r="B9" s="1" t="s">
        <v>12</v>
      </c>
      <c r="I9" s="18" t="s">
        <v>13</v>
      </c>
      <c r="J9" s="23" t="n">
        <f aca="false">D11*(D5/D10)*((J6+D7)/K7)</f>
        <v>10.2095398428732</v>
      </c>
      <c r="K9" s="24" t="n">
        <f aca="false">D11*(D5/D10)*((K6+D7)/J7)</f>
        <v>9.81661166116612</v>
      </c>
    </row>
    <row r="10" customFormat="false" ht="13.8" hidden="false" customHeight="false" outlineLevel="0" collapsed="false">
      <c r="B10" s="25" t="s">
        <v>14</v>
      </c>
      <c r="C10" s="26" t="n">
        <v>4095</v>
      </c>
      <c r="D10" s="27" t="n">
        <v>4095</v>
      </c>
      <c r="E10" s="0" t="s">
        <v>15</v>
      </c>
      <c r="I10" s="28" t="s">
        <v>16</v>
      </c>
      <c r="J10" s="29" t="n">
        <f aca="false">100*(D12-J9)/D12</f>
        <v>-1.98208500095293</v>
      </c>
      <c r="K10" s="30" t="n">
        <f aca="false">100*(D12-K9)/D12</f>
        <v>1.94283579301327</v>
      </c>
    </row>
    <row r="11" customFormat="false" ht="13.8" hidden="false" customHeight="false" outlineLevel="0" collapsed="false">
      <c r="B11" s="5" t="s">
        <v>17</v>
      </c>
      <c r="C11" s="6" t="n">
        <v>665</v>
      </c>
      <c r="D11" s="7" t="n">
        <v>595</v>
      </c>
      <c r="E11" s="0" t="s">
        <v>15</v>
      </c>
    </row>
    <row r="12" customFormat="false" ht="13.8" hidden="false" customHeight="false" outlineLevel="0" collapsed="false">
      <c r="B12" s="31" t="s">
        <v>18</v>
      </c>
      <c r="C12" s="32" t="n">
        <f aca="false">C11*(C5/C10)*((C6+C7)/C7)</f>
        <v>4.3034188034188</v>
      </c>
      <c r="D12" s="33" t="n">
        <f aca="false">D11*(D5/D10)*((D6+D7)/D7)</f>
        <v>10.0111111111111</v>
      </c>
      <c r="E12" s="0" t="s">
        <v>5</v>
      </c>
      <c r="F12" s="17" t="s">
        <v>19</v>
      </c>
    </row>
    <row r="14" customFormat="false" ht="21.75" hidden="false" customHeight="false" outlineLevel="0" collapsed="false">
      <c r="B14" s="1" t="s">
        <v>20</v>
      </c>
    </row>
    <row r="15" customFormat="false" ht="13.8" hidden="false" customHeight="false" outlineLevel="0" collapsed="false">
      <c r="B15" s="34" t="s">
        <v>21</v>
      </c>
      <c r="C15" s="35" t="n">
        <f aca="false">C5/C10</f>
        <v>0.000244200244200244</v>
      </c>
      <c r="D15" s="36" t="n">
        <f aca="false">D5/D10</f>
        <v>0.000634920634920635</v>
      </c>
      <c r="E15" s="0" t="s">
        <v>5</v>
      </c>
    </row>
    <row r="16" customFormat="false" ht="19.7" hidden="false" customHeight="false" outlineLevel="0" collapsed="false">
      <c r="B16" s="37" t="s">
        <v>22</v>
      </c>
      <c r="C16" s="32" t="n">
        <f aca="false">C4/C10</f>
        <v>0.00647130647130647</v>
      </c>
      <c r="D16" s="33" t="n">
        <f aca="false">D4/D10</f>
        <v>0.0168253968253968</v>
      </c>
      <c r="E16" s="0" t="s">
        <v>5</v>
      </c>
      <c r="I16" s="1" t="s">
        <v>23</v>
      </c>
    </row>
    <row r="18" customFormat="false" ht="13.8" hidden="false" customHeight="false" outlineLevel="0" collapsed="false">
      <c r="I18" s="38" t="s">
        <v>24</v>
      </c>
      <c r="J18" s="39" t="n">
        <v>0.9</v>
      </c>
      <c r="K18" s="39" t="n">
        <v>0.47</v>
      </c>
      <c r="L18" s="40" t="n">
        <v>0.188</v>
      </c>
    </row>
    <row r="19" customFormat="false" ht="13.8" hidden="false" customHeight="false" outlineLevel="0" collapsed="false">
      <c r="I19" s="41" t="s">
        <v>25</v>
      </c>
      <c r="J19" s="0" t="n">
        <v>0.8</v>
      </c>
      <c r="K19" s="42" t="n">
        <v>0.42</v>
      </c>
      <c r="L19" s="43" t="n">
        <v>0.17</v>
      </c>
    </row>
    <row r="20" customFormat="false" ht="13.8" hidden="false" customHeight="false" outlineLevel="0" collapsed="false">
      <c r="I20" s="44" t="s">
        <v>16</v>
      </c>
      <c r="J20" s="45" t="n">
        <f aca="false">(J18-J19)/J18</f>
        <v>0.111111111111111</v>
      </c>
      <c r="K20" s="45" t="n">
        <f aca="false">(K18-K19)/K18</f>
        <v>0.106382978723404</v>
      </c>
      <c r="L20" s="46" t="n">
        <f aca="false">(L18-L19)/L18</f>
        <v>0.0957446808510638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1" activeCellId="0" sqref="E21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12.71"/>
  </cols>
  <sheetData>
    <row r="2" customFormat="false" ht="21.75" hidden="false" customHeight="false" outlineLevel="0" collapsed="false">
      <c r="A2" s="1" t="s">
        <v>0</v>
      </c>
    </row>
    <row r="3" customFormat="false" ht="15" hidden="false" customHeight="false" outlineLevel="0" collapsed="false">
      <c r="A3" s="2"/>
      <c r="B3" s="3" t="s">
        <v>2</v>
      </c>
      <c r="C3" s="4" t="s">
        <v>3</v>
      </c>
    </row>
    <row r="4" customFormat="false" ht="15" hidden="false" customHeight="false" outlineLevel="0" collapsed="false">
      <c r="A4" s="8" t="s">
        <v>4</v>
      </c>
      <c r="B4" s="48" t="n">
        <v>3.3</v>
      </c>
      <c r="C4" s="49" t="n">
        <v>3.3</v>
      </c>
      <c r="D4" s="0" t="s">
        <v>5</v>
      </c>
    </row>
    <row r="5" customFormat="false" ht="15" hidden="false" customHeight="false" outlineLevel="0" collapsed="false">
      <c r="A5" s="8" t="s">
        <v>6</v>
      </c>
      <c r="B5" s="9" t="n">
        <v>1</v>
      </c>
      <c r="C5" s="10" t="n">
        <v>3.3</v>
      </c>
      <c r="D5" s="0" t="s">
        <v>5</v>
      </c>
    </row>
    <row r="6" customFormat="false" ht="15" hidden="false" customHeight="false" outlineLevel="0" collapsed="false">
      <c r="A6" s="14" t="s">
        <v>8</v>
      </c>
      <c r="B6" s="15" t="n">
        <f aca="false">(B7*B4/B5)-B7</f>
        <v>230000</v>
      </c>
      <c r="C6" s="16" t="n">
        <f aca="false">(C7*C4/C5)-C7</f>
        <v>0</v>
      </c>
      <c r="D6" s="0" t="s">
        <v>9</v>
      </c>
      <c r="E6" s="17" t="s">
        <v>10</v>
      </c>
    </row>
    <row r="7" customFormat="false" ht="15.75" hidden="false" customHeight="false" outlineLevel="0" collapsed="false">
      <c r="A7" s="20" t="s">
        <v>11</v>
      </c>
      <c r="B7" s="21" t="n">
        <v>100000</v>
      </c>
      <c r="C7" s="22" t="n">
        <v>100000</v>
      </c>
      <c r="D7" s="0" t="s">
        <v>9</v>
      </c>
      <c r="E7" s="0" t="s">
        <v>26</v>
      </c>
    </row>
    <row r="9" customFormat="false" ht="21.75" hidden="false" customHeight="false" outlineLevel="0" collapsed="false">
      <c r="A9" s="1" t="s">
        <v>12</v>
      </c>
    </row>
    <row r="10" customFormat="false" ht="15" hidden="false" customHeight="false" outlineLevel="0" collapsed="false">
      <c r="A10" s="25" t="s">
        <v>14</v>
      </c>
      <c r="B10" s="26" t="n">
        <v>4095</v>
      </c>
      <c r="C10" s="27" t="n">
        <v>4095</v>
      </c>
      <c r="D10" s="0" t="s">
        <v>15</v>
      </c>
    </row>
    <row r="11" customFormat="false" ht="15" hidden="false" customHeight="false" outlineLevel="0" collapsed="false">
      <c r="A11" s="8" t="s">
        <v>17</v>
      </c>
      <c r="B11" s="48" t="n">
        <v>4095</v>
      </c>
      <c r="C11" s="49" t="n">
        <v>4095</v>
      </c>
      <c r="D11" s="0" t="s">
        <v>15</v>
      </c>
    </row>
    <row r="12" customFormat="false" ht="15.75" hidden="false" customHeight="false" outlineLevel="0" collapsed="false">
      <c r="A12" s="31" t="s">
        <v>18</v>
      </c>
      <c r="B12" s="32" t="n">
        <f aca="false">B11*(B5/B10)*((B6+B7)/B7)</f>
        <v>3.3</v>
      </c>
      <c r="C12" s="33" t="n">
        <f aca="false">C11*(C5/C10)*((C6+C7)/C7)</f>
        <v>3.3</v>
      </c>
      <c r="D12" s="0" t="s">
        <v>5</v>
      </c>
      <c r="E12" s="17" t="s">
        <v>19</v>
      </c>
    </row>
    <row r="14" customFormat="false" ht="21.75" hidden="false" customHeight="false" outlineLevel="0" collapsed="false">
      <c r="A14" s="1" t="s">
        <v>27</v>
      </c>
    </row>
    <row r="15" customFormat="false" ht="15" hidden="false" customHeight="false" outlineLevel="0" collapsed="false">
      <c r="A15" s="50" t="s">
        <v>28</v>
      </c>
      <c r="B15" s="51"/>
      <c r="C15" s="51"/>
      <c r="D15" s="52" t="n">
        <v>50000</v>
      </c>
      <c r="E15" s="0" t="s">
        <v>9</v>
      </c>
    </row>
    <row r="16" customFormat="false" ht="15" hidden="false" customHeight="false" outlineLevel="0" collapsed="false">
      <c r="A16" s="53" t="s">
        <v>29</v>
      </c>
      <c r="B16" s="48"/>
      <c r="C16" s="48"/>
      <c r="D16" s="49" t="n">
        <f aca="false">B4</f>
        <v>3.3</v>
      </c>
      <c r="E16" s="0" t="s">
        <v>5</v>
      </c>
    </row>
    <row r="17" customFormat="false" ht="15" hidden="false" customHeight="false" outlineLevel="0" collapsed="false">
      <c r="A17" s="53" t="s">
        <v>30</v>
      </c>
      <c r="B17" s="48"/>
      <c r="C17" s="48"/>
      <c r="D17" s="49" t="n">
        <f aca="false">B7</f>
        <v>100000</v>
      </c>
      <c r="E17" s="0" t="s">
        <v>9</v>
      </c>
    </row>
    <row r="18" customFormat="false" ht="15" hidden="false" customHeight="false" outlineLevel="0" collapsed="false">
      <c r="A18" s="53" t="s">
        <v>31</v>
      </c>
      <c r="B18" s="48"/>
      <c r="C18" s="48"/>
      <c r="D18" s="49" t="n">
        <v>25</v>
      </c>
      <c r="E18" s="0" t="s">
        <v>32</v>
      </c>
    </row>
    <row r="19" customFormat="false" ht="15" hidden="false" customHeight="false" outlineLevel="0" collapsed="false">
      <c r="A19" s="53" t="s">
        <v>33</v>
      </c>
      <c r="B19" s="48"/>
      <c r="C19" s="48"/>
      <c r="D19" s="49" t="n">
        <v>3950</v>
      </c>
    </row>
    <row r="20" customFormat="false" ht="15.75" hidden="false" customHeight="false" outlineLevel="0" collapsed="false">
      <c r="A20" s="37" t="s">
        <v>34</v>
      </c>
      <c r="B20" s="32"/>
      <c r="C20" s="32"/>
      <c r="D20" s="33" t="n">
        <f aca="false">1/(((LOG((D15/D17))/D19))+(1/(D18+273.15)))-273.15</f>
        <v>31.9320901755152</v>
      </c>
      <c r="E20" s="0" t="s">
        <v>32</v>
      </c>
      <c r="F20" s="0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9" activeCellId="0" sqref="C59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5" min="2" style="0" width="5.86"/>
    <col collapsed="false" customWidth="true" hidden="false" outlineLevel="0" max="9" min="8" style="0" width="5.86"/>
    <col collapsed="false" customWidth="true" hidden="false" outlineLevel="0" max="14" min="12" style="0" width="5.86"/>
    <col collapsed="false" customWidth="true" hidden="false" outlineLevel="0" max="16" min="16" style="0" width="15.85"/>
    <col collapsed="false" customWidth="true" hidden="false" outlineLevel="0" max="18" min="17" style="0" width="17.71"/>
  </cols>
  <sheetData>
    <row r="2" customFormat="false" ht="21.75" hidden="false" customHeight="false" outlineLevel="0" collapsed="false">
      <c r="A2" s="1" t="s">
        <v>36</v>
      </c>
      <c r="P2" s="1" t="s">
        <v>37</v>
      </c>
    </row>
    <row r="3" customFormat="false" ht="15" hidden="false" customHeight="false" outlineLevel="0" collapsed="false">
      <c r="A3" s="2"/>
      <c r="B3" s="54" t="s">
        <v>38</v>
      </c>
      <c r="C3" s="55" t="s">
        <v>39</v>
      </c>
      <c r="P3" s="2"/>
      <c r="Q3" s="3" t="s">
        <v>2</v>
      </c>
      <c r="R3" s="4" t="s">
        <v>3</v>
      </c>
    </row>
    <row r="4" customFormat="false" ht="15" hidden="false" customHeight="false" outlineLevel="0" collapsed="false">
      <c r="A4" s="53" t="s">
        <v>40</v>
      </c>
      <c r="B4" s="48" t="n">
        <v>3.3</v>
      </c>
      <c r="C4" s="49" t="n">
        <v>3.3</v>
      </c>
      <c r="D4" s="0" t="s">
        <v>5</v>
      </c>
      <c r="P4" s="8" t="s">
        <v>41</v>
      </c>
      <c r="Q4" s="48" t="n">
        <v>0.05</v>
      </c>
      <c r="R4" s="49" t="n">
        <v>0.05</v>
      </c>
      <c r="S4" s="0" t="s">
        <v>9</v>
      </c>
    </row>
    <row r="5" customFormat="false" ht="15" hidden="false" customHeight="false" outlineLevel="0" collapsed="false">
      <c r="A5" s="53" t="s">
        <v>42</v>
      </c>
      <c r="B5" s="48" t="n">
        <v>25</v>
      </c>
      <c r="C5" s="49" t="n">
        <v>25</v>
      </c>
      <c r="D5" s="0" t="s">
        <v>5</v>
      </c>
      <c r="P5" s="8" t="s">
        <v>43</v>
      </c>
      <c r="Q5" s="48" t="n">
        <v>5</v>
      </c>
      <c r="R5" s="49" t="n">
        <v>5</v>
      </c>
      <c r="S5" s="0" t="s">
        <v>44</v>
      </c>
    </row>
    <row r="6" customFormat="false" ht="15" hidden="false" customHeight="false" outlineLevel="0" collapsed="false">
      <c r="A6" s="53" t="s">
        <v>45</v>
      </c>
      <c r="B6" s="48" t="n">
        <v>5</v>
      </c>
      <c r="C6" s="49" t="n">
        <v>5</v>
      </c>
      <c r="D6" s="0" t="s">
        <v>44</v>
      </c>
      <c r="P6" s="14" t="s">
        <v>4</v>
      </c>
      <c r="Q6" s="15" t="n">
        <f aca="false">Q4*Q5</f>
        <v>0.25</v>
      </c>
      <c r="R6" s="16" t="n">
        <f aca="false">R4*R5</f>
        <v>0.25</v>
      </c>
      <c r="S6" s="0" t="s">
        <v>5</v>
      </c>
    </row>
    <row r="7" customFormat="false" ht="15" hidden="false" customHeight="false" outlineLevel="0" collapsed="false">
      <c r="A7" s="53" t="s">
        <v>41</v>
      </c>
      <c r="B7" s="48" t="n">
        <v>0.05</v>
      </c>
      <c r="C7" s="49" t="n">
        <v>0.05</v>
      </c>
      <c r="D7" s="0" t="s">
        <v>9</v>
      </c>
      <c r="P7" s="8" t="s">
        <v>6</v>
      </c>
      <c r="Q7" s="9" t="n">
        <v>1</v>
      </c>
      <c r="R7" s="10" t="n">
        <v>3.3</v>
      </c>
      <c r="S7" s="0" t="s">
        <v>5</v>
      </c>
      <c r="T7" s="17" t="s">
        <v>46</v>
      </c>
    </row>
    <row r="8" customFormat="false" ht="15.75" hidden="false" customHeight="false" outlineLevel="0" collapsed="false">
      <c r="A8" s="56" t="s">
        <v>47</v>
      </c>
      <c r="B8" s="15" t="n">
        <f aca="false">B6*B7</f>
        <v>0.25</v>
      </c>
      <c r="C8" s="16" t="n">
        <f aca="false">C6*C7</f>
        <v>0.25</v>
      </c>
      <c r="D8" s="0" t="s">
        <v>5</v>
      </c>
      <c r="P8" s="31" t="s">
        <v>48</v>
      </c>
      <c r="Q8" s="32" t="n">
        <f aca="false">Q7/Q6</f>
        <v>4</v>
      </c>
      <c r="R8" s="33" t="n">
        <f aca="false">R7/R6</f>
        <v>13.2</v>
      </c>
      <c r="S8" s="0" t="s">
        <v>49</v>
      </c>
    </row>
    <row r="9" customFormat="false" ht="15" hidden="false" customHeight="false" outlineLevel="0" collapsed="false">
      <c r="A9" s="56" t="s">
        <v>50</v>
      </c>
      <c r="B9" s="15" t="n">
        <f aca="false">B8*B6</f>
        <v>1.25</v>
      </c>
      <c r="C9" s="16" t="n">
        <f aca="false">C8*C6</f>
        <v>1.25</v>
      </c>
      <c r="D9" s="0" t="s">
        <v>51</v>
      </c>
    </row>
    <row r="10" customFormat="false" ht="21.75" hidden="false" customHeight="false" outlineLevel="0" collapsed="false">
      <c r="A10" s="57" t="s">
        <v>52</v>
      </c>
      <c r="B10" s="58" t="n">
        <v>1</v>
      </c>
      <c r="C10" s="59" t="n">
        <v>3.3</v>
      </c>
      <c r="D10" s="0" t="s">
        <v>5</v>
      </c>
      <c r="P10" s="1" t="s">
        <v>53</v>
      </c>
    </row>
    <row r="11" customFormat="false" ht="15" hidden="false" customHeight="false" outlineLevel="0" collapsed="false">
      <c r="P11" s="60" t="s">
        <v>8</v>
      </c>
      <c r="Q11" s="51" t="n">
        <v>1000</v>
      </c>
      <c r="R11" s="52" t="n">
        <v>1000</v>
      </c>
      <c r="S11" s="0" t="s">
        <v>9</v>
      </c>
    </row>
    <row r="12" customFormat="false" ht="15.75" hidden="false" customHeight="false" outlineLevel="0" collapsed="false">
      <c r="B12" s="61" t="s">
        <v>54</v>
      </c>
      <c r="C12" s="61"/>
      <c r="L12" s="48"/>
      <c r="M12" s="61" t="s">
        <v>55</v>
      </c>
      <c r="N12" s="61"/>
      <c r="P12" s="31" t="s">
        <v>11</v>
      </c>
      <c r="Q12" s="32" t="n">
        <f aca="false">(Q7/Q6-1)*Q11</f>
        <v>3000</v>
      </c>
      <c r="R12" s="33" t="n">
        <f aca="false">(R7/R6-1)*R11</f>
        <v>12200</v>
      </c>
      <c r="S12" s="0" t="s">
        <v>9</v>
      </c>
      <c r="T12" s="17" t="s">
        <v>56</v>
      </c>
    </row>
    <row r="13" customFormat="false" ht="15" hidden="false" customHeight="false" outlineLevel="0" collapsed="false">
      <c r="A13" s="0" t="s">
        <v>57</v>
      </c>
      <c r="B13" s="62"/>
    </row>
    <row r="14" customFormat="false" ht="21.75" hidden="false" customHeight="false" outlineLevel="0" collapsed="false">
      <c r="A14" s="64" t="n">
        <v>0.95</v>
      </c>
      <c r="B14" s="65"/>
      <c r="F14" s="66" t="s">
        <v>58</v>
      </c>
      <c r="G14" s="66"/>
      <c r="J14" s="66" t="s">
        <v>58</v>
      </c>
      <c r="K14" s="66"/>
      <c r="L14" s="48"/>
      <c r="M14" s="63"/>
      <c r="P14" s="1" t="s">
        <v>12</v>
      </c>
    </row>
    <row r="15" customFormat="false" ht="15" hidden="false" customHeight="false" outlineLevel="0" collapsed="false">
      <c r="B15" s="61" t="s">
        <v>59</v>
      </c>
      <c r="C15" s="61"/>
      <c r="F15" s="66"/>
      <c r="G15" s="66"/>
      <c r="J15" s="66"/>
      <c r="K15" s="66"/>
      <c r="L15" s="48"/>
      <c r="M15" s="63"/>
      <c r="P15" s="25" t="s">
        <v>14</v>
      </c>
      <c r="Q15" s="26" t="n">
        <v>4095</v>
      </c>
      <c r="R15" s="27" t="n">
        <v>4095</v>
      </c>
      <c r="S15" s="0" t="s">
        <v>15</v>
      </c>
    </row>
    <row r="16" customFormat="false" ht="15" hidden="false" customHeight="false" outlineLevel="0" collapsed="false">
      <c r="B16" s="62"/>
      <c r="C16" s="67"/>
      <c r="D16" s="68" t="s">
        <v>60</v>
      </c>
      <c r="E16" s="69" t="n">
        <f aca="false">B8</f>
        <v>0.25</v>
      </c>
      <c r="F16" s="66"/>
      <c r="G16" s="66"/>
      <c r="H16" s="68" t="s">
        <v>60</v>
      </c>
      <c r="I16" s="70" t="n">
        <f aca="false">B10</f>
        <v>1</v>
      </c>
      <c r="J16" s="66"/>
      <c r="K16" s="66"/>
      <c r="L16" s="68" t="s">
        <v>60</v>
      </c>
      <c r="M16" s="70" t="n">
        <f aca="false">B4</f>
        <v>3.3</v>
      </c>
      <c r="P16" s="5" t="s">
        <v>17</v>
      </c>
      <c r="Q16" s="6" t="n">
        <v>20</v>
      </c>
      <c r="R16" s="7" t="n">
        <v>4095</v>
      </c>
      <c r="S16" s="0" t="s">
        <v>15</v>
      </c>
    </row>
    <row r="17" customFormat="false" ht="15.75" hidden="false" customHeight="false" outlineLevel="0" collapsed="false">
      <c r="B17" s="65"/>
      <c r="D17" s="0" t="s">
        <v>25</v>
      </c>
      <c r="E17" s="71" t="n">
        <f aca="false">A14*B7</f>
        <v>0.0475</v>
      </c>
      <c r="F17" s="72" t="n">
        <f aca="false">I16/E16</f>
        <v>4</v>
      </c>
      <c r="G17" s="72"/>
      <c r="H17" s="62"/>
      <c r="J17" s="72" t="n">
        <f aca="false">M16/I16</f>
        <v>3.3</v>
      </c>
      <c r="K17" s="72"/>
      <c r="M17" s="71" t="n">
        <f aca="false">H24*J17</f>
        <v>0.627</v>
      </c>
      <c r="P17" s="31" t="s">
        <v>18</v>
      </c>
      <c r="Q17" s="32" t="n">
        <f aca="false">Q16*(Q7/Q15)/(Q8)</f>
        <v>0.00122100122100122</v>
      </c>
      <c r="R17" s="33" t="n">
        <f aca="false">R16*(R7/R15)/(R8)</f>
        <v>0.25</v>
      </c>
      <c r="S17" s="0" t="s">
        <v>5</v>
      </c>
      <c r="T17" s="17" t="s">
        <v>19</v>
      </c>
    </row>
    <row r="18" customFormat="false" ht="15" hidden="false" customHeight="false" outlineLevel="0" collapsed="false">
      <c r="B18" s="73" t="s">
        <v>41</v>
      </c>
      <c r="C18" s="73"/>
      <c r="F18" s="72"/>
      <c r="G18" s="72"/>
      <c r="H18" s="63"/>
      <c r="J18" s="72"/>
      <c r="K18" s="72"/>
      <c r="P18" s="0" t="s">
        <v>61</v>
      </c>
      <c r="Q18" s="0" t="n">
        <f aca="false">(Q5/Q15)*Q16</f>
        <v>0.0244200244200244</v>
      </c>
    </row>
    <row r="19" customFormat="false" ht="13.8" hidden="false" customHeight="false" outlineLevel="0" collapsed="false">
      <c r="B19" s="73"/>
      <c r="C19" s="73"/>
      <c r="F19" s="72"/>
      <c r="G19" s="72"/>
    </row>
    <row r="20" customFormat="false" ht="13.8" hidden="false" customHeight="false" outlineLevel="0" collapsed="false">
      <c r="B20" s="73"/>
      <c r="C20" s="73"/>
    </row>
    <row r="21" customFormat="false" ht="13.8" hidden="false" customHeight="false" outlineLevel="0" collapsed="false">
      <c r="B21" s="62"/>
    </row>
    <row r="22" customFormat="false" ht="13.8" hidden="false" customHeight="false" outlineLevel="0" collapsed="false">
      <c r="B22" s="65"/>
    </row>
    <row r="23" customFormat="false" ht="15" hidden="false" customHeight="false" outlineLevel="0" collapsed="false">
      <c r="B23" s="61" t="s">
        <v>62</v>
      </c>
      <c r="C23" s="61"/>
      <c r="H23" s="61" t="s">
        <v>63</v>
      </c>
      <c r="I23" s="61"/>
    </row>
    <row r="24" customFormat="false" ht="15" hidden="false" customHeight="false" outlineLevel="0" collapsed="false">
      <c r="H24" s="74" t="n">
        <f aca="false">E17*F17</f>
        <v>0.19</v>
      </c>
      <c r="I24" s="74"/>
    </row>
    <row r="26" customFormat="false" ht="19.7" hidden="false" customHeight="false" outlineLevel="0" collapsed="false">
      <c r="P26" s="1" t="s">
        <v>20</v>
      </c>
    </row>
    <row r="27" customFormat="false" ht="13.8" hidden="false" customHeight="false" outlineLevel="0" collapsed="false">
      <c r="P27" s="34" t="s">
        <v>21</v>
      </c>
      <c r="Q27" s="35" t="n">
        <f aca="false">1000*Q7/Q15</f>
        <v>0.244200244200244</v>
      </c>
      <c r="R27" s="36" t="n">
        <f aca="false">1000*R7/R15</f>
        <v>0.805860805860806</v>
      </c>
      <c r="S27" s="0" t="s">
        <v>64</v>
      </c>
    </row>
    <row r="28" customFormat="false" ht="13.8" hidden="false" customHeight="false" outlineLevel="0" collapsed="false">
      <c r="P28" s="56" t="s">
        <v>65</v>
      </c>
      <c r="Q28" s="15" t="n">
        <f aca="false">1000*Q6/Q15</f>
        <v>0.0610500610500611</v>
      </c>
      <c r="R28" s="16" t="n">
        <f aca="false">1000*R6/R15</f>
        <v>0.0610500610500611</v>
      </c>
      <c r="S28" s="0" t="s">
        <v>64</v>
      </c>
    </row>
    <row r="29" customFormat="false" ht="13.8" hidden="false" customHeight="false" outlineLevel="0" collapsed="false">
      <c r="P29" s="37" t="s">
        <v>66</v>
      </c>
      <c r="Q29" s="32" t="n">
        <f aca="false">1000*Q5/Q15</f>
        <v>1.22100122100122</v>
      </c>
      <c r="R29" s="33" t="n">
        <f aca="false">1000*R5/R15</f>
        <v>1.22100122100122</v>
      </c>
      <c r="S29" s="0" t="s">
        <v>67</v>
      </c>
    </row>
    <row r="30" customFormat="false" ht="13.8" hidden="false" customHeight="false" outlineLevel="0" collapsed="false"/>
  </sheetData>
  <mergeCells count="11">
    <mergeCell ref="B12:C12"/>
    <mergeCell ref="M12:N12"/>
    <mergeCell ref="F14:G16"/>
    <mergeCell ref="J14:K16"/>
    <mergeCell ref="B15:C15"/>
    <mergeCell ref="F17:G19"/>
    <mergeCell ref="J17:K19"/>
    <mergeCell ref="B18:C20"/>
    <mergeCell ref="B23:C23"/>
    <mergeCell ref="H23:I23"/>
    <mergeCell ref="H24:I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1" activeCellId="0" sqref="F21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2.71"/>
  </cols>
  <sheetData>
    <row r="1" customFormat="false" ht="21.75" hidden="false" customHeight="false" outlineLevel="0" collapsed="false">
      <c r="A1" s="1" t="s">
        <v>68</v>
      </c>
    </row>
    <row r="2" customFormat="false" ht="15" hidden="false" customHeight="false" outlineLevel="0" collapsed="false">
      <c r="A2" s="50" t="s">
        <v>9</v>
      </c>
      <c r="B2" s="52" t="n">
        <v>10000</v>
      </c>
      <c r="C2" s="75" t="s">
        <v>9</v>
      </c>
    </row>
    <row r="3" customFormat="false" ht="15" hidden="false" customHeight="false" outlineLevel="0" collapsed="false">
      <c r="A3" s="76" t="s">
        <v>69</v>
      </c>
      <c r="B3" s="7" t="n">
        <v>1E-007</v>
      </c>
      <c r="C3" s="75" t="s">
        <v>70</v>
      </c>
    </row>
    <row r="4" customFormat="false" ht="15.75" hidden="false" customHeight="false" outlineLevel="0" collapsed="false">
      <c r="A4" s="37" t="s">
        <v>71</v>
      </c>
      <c r="B4" s="33" t="n">
        <f aca="false">1/(2*PI()*B2*B3)</f>
        <v>159.154943091895</v>
      </c>
      <c r="C4" s="75" t="s">
        <v>72</v>
      </c>
    </row>
    <row r="7" customFormat="false" ht="15" hidden="false" customHeight="false" outlineLevel="0" collapsed="false">
      <c r="A7" s="77" t="s">
        <v>73</v>
      </c>
      <c r="B7" s="78" t="s">
        <v>74</v>
      </c>
      <c r="C7" s="62" t="s">
        <v>75</v>
      </c>
    </row>
    <row r="8" customFormat="false" ht="15" hidden="false" customHeight="false" outlineLevel="0" collapsed="false">
      <c r="A8" s="79" t="n">
        <v>1</v>
      </c>
      <c r="B8" s="15" t="n">
        <f aca="false">1/((1+((A8/$B$4)^2))^(1/2))</f>
        <v>0.999980261375633</v>
      </c>
      <c r="C8" s="80" t="n">
        <f aca="false">20*LOG(B8)</f>
        <v>-0.000171449204948296</v>
      </c>
    </row>
    <row r="9" customFormat="false" ht="15" hidden="false" customHeight="false" outlineLevel="0" collapsed="false">
      <c r="A9" s="79" t="n">
        <v>10</v>
      </c>
      <c r="B9" s="15" t="n">
        <f aca="false">1/((1+((A9/$B$4)^2))^(1/2))</f>
        <v>0.998031904503645</v>
      </c>
      <c r="C9" s="80" t="n">
        <f aca="false">20*LOG(B9)</f>
        <v>-0.0171115043445829</v>
      </c>
    </row>
    <row r="10" customFormat="false" ht="15" hidden="false" customHeight="false" outlineLevel="0" collapsed="false">
      <c r="A10" s="79" t="n">
        <v>100</v>
      </c>
      <c r="B10" s="15" t="n">
        <f aca="false">1/((1+((A10/$B$4)^2))^(1/2))</f>
        <v>0.84673301596483</v>
      </c>
      <c r="C10" s="80" t="n">
        <f aca="false">20*LOG(B10)</f>
        <v>-1.44507011620529</v>
      </c>
    </row>
    <row r="11" customFormat="false" ht="15" hidden="false" customHeight="false" outlineLevel="0" collapsed="false">
      <c r="A11" s="79" t="n">
        <v>1000</v>
      </c>
      <c r="B11" s="15" t="n">
        <f aca="false">1/((1+((A11/$B$4)^2))^(1/2))</f>
        <v>0.15717672547759</v>
      </c>
      <c r="C11" s="80" t="n">
        <f aca="false">20*LOG(B11)</f>
        <v>-16.0722352658055</v>
      </c>
    </row>
    <row r="12" customFormat="false" ht="15" hidden="false" customHeight="false" outlineLevel="0" collapsed="false">
      <c r="A12" s="79" t="n">
        <v>10000</v>
      </c>
      <c r="B12" s="15" t="n">
        <f aca="false">1/((1+((A12/$B$4)^2))^(1/2))</f>
        <v>0.0159134789711477</v>
      </c>
      <c r="C12" s="80" t="n">
        <f aca="false">20*LOG(B12)</f>
        <v>-35.9646973086329</v>
      </c>
    </row>
    <row r="13" customFormat="false" ht="15" hidden="false" customHeight="false" outlineLevel="0" collapsed="false">
      <c r="A13" s="79" t="n">
        <v>100000</v>
      </c>
      <c r="B13" s="15" t="n">
        <f aca="false">1/((1+((A13/$B$4)^2))^(1/2))</f>
        <v>0.00159154741520188</v>
      </c>
      <c r="C13" s="80" t="n">
        <f aca="false">20*LOG(B13)</f>
        <v>-55.9636083679561</v>
      </c>
    </row>
    <row r="14" customFormat="false" ht="15" hidden="false" customHeight="false" outlineLevel="0" collapsed="false">
      <c r="A14" s="81" t="n">
        <v>1000000</v>
      </c>
      <c r="B14" s="82" t="n">
        <f aca="false">1/((1+((A14/$B$4)^2))^(1/2))</f>
        <v>0.000159154941076174</v>
      </c>
      <c r="C14" s="83" t="n">
        <f aca="false">20*LOG(B14)</f>
        <v>-75.9635974771704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9" activeCellId="0" sqref="J9"/>
    </sheetView>
  </sheetViews>
  <sheetFormatPr defaultColWidth="8.453125" defaultRowHeight="15" zeroHeight="false" outlineLevelRow="0" outlineLevelCol="0"/>
  <sheetData>
    <row r="1" customFormat="false" ht="21.75" hidden="false" customHeight="false" outlineLevel="0" collapsed="false">
      <c r="A1" s="1" t="s">
        <v>76</v>
      </c>
    </row>
    <row r="2" customFormat="false" ht="15" hidden="false" customHeight="false" outlineLevel="0" collapsed="false">
      <c r="A2" s="50" t="s">
        <v>6</v>
      </c>
      <c r="B2" s="52" t="n">
        <v>12</v>
      </c>
      <c r="C2" s="0" t="s">
        <v>5</v>
      </c>
      <c r="D2" s="0" t="s">
        <v>77</v>
      </c>
    </row>
    <row r="3" customFormat="false" ht="15" hidden="false" customHeight="false" outlineLevel="0" collapsed="false">
      <c r="A3" s="53" t="s">
        <v>78</v>
      </c>
      <c r="B3" s="49" t="n">
        <v>0.6</v>
      </c>
      <c r="C3" s="0" t="s">
        <v>5</v>
      </c>
    </row>
    <row r="4" customFormat="false" ht="15" hidden="false" customHeight="false" outlineLevel="0" collapsed="false">
      <c r="A4" s="56" t="s">
        <v>8</v>
      </c>
      <c r="B4" s="16" t="n">
        <f aca="false">B5*(B2/B3-1)</f>
        <v>19000</v>
      </c>
      <c r="C4" s="0" t="s">
        <v>9</v>
      </c>
      <c r="D4" s="0" t="s">
        <v>79</v>
      </c>
    </row>
    <row r="5" customFormat="false" ht="15.75" hidden="false" customHeight="false" outlineLevel="0" collapsed="false">
      <c r="A5" s="85" t="s">
        <v>11</v>
      </c>
      <c r="B5" s="86" t="n">
        <v>1000</v>
      </c>
      <c r="C5" s="0" t="s">
        <v>9</v>
      </c>
      <c r="D5" s="0" t="s">
        <v>80</v>
      </c>
    </row>
    <row r="7" customFormat="false" ht="21.75" hidden="false" customHeight="false" outlineLevel="0" collapsed="false">
      <c r="A7" s="1" t="s">
        <v>81</v>
      </c>
    </row>
    <row r="8" customFormat="false" ht="15" hidden="false" customHeight="false" outlineLevel="0" collapsed="false">
      <c r="A8" s="34" t="s">
        <v>6</v>
      </c>
      <c r="B8" s="36" t="n">
        <f aca="false">B9*(1+B10/B11)</f>
        <v>12.6</v>
      </c>
      <c r="C8" s="0" t="s">
        <v>5</v>
      </c>
      <c r="D8" s="0" t="s">
        <v>77</v>
      </c>
    </row>
    <row r="9" customFormat="false" ht="15" hidden="false" customHeight="false" outlineLevel="0" collapsed="false">
      <c r="A9" s="87" t="s">
        <v>78</v>
      </c>
      <c r="B9" s="88" t="n">
        <v>0.6</v>
      </c>
      <c r="C9" s="0" t="s">
        <v>5</v>
      </c>
    </row>
    <row r="10" customFormat="false" ht="15" hidden="false" customHeight="false" outlineLevel="0" collapsed="false">
      <c r="A10" s="76" t="s">
        <v>8</v>
      </c>
      <c r="B10" s="7" t="n">
        <v>20000</v>
      </c>
      <c r="C10" s="0" t="s">
        <v>9</v>
      </c>
      <c r="D10" s="0" t="s">
        <v>79</v>
      </c>
    </row>
    <row r="11" customFormat="false" ht="15.75" hidden="false" customHeight="false" outlineLevel="0" collapsed="false">
      <c r="A11" s="85" t="s">
        <v>11</v>
      </c>
      <c r="B11" s="86" t="n">
        <v>1000</v>
      </c>
      <c r="C11" s="0" t="s">
        <v>9</v>
      </c>
      <c r="D11" s="0" t="s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es-ES</dc:language>
  <cp:lastModifiedBy/>
  <dcterms:modified xsi:type="dcterms:W3CDTF">2023-04-19T23:43:38Z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