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<sst xmlns="http://schemas.openxmlformats.org/spreadsheetml/2006/main" count="11388" uniqueCount="9037">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</sst>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скачат"&amp;"ь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"&amp;"просмотра этого документа не требуется разрешение; любой желающий может просмотреть его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просмотра этого документа не требуется разрешение; любой желающий может просмотреть его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구매하세요(""What to Drink"" 잠금 해제).
2. 전차 타로 카드(폐허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""What to "&amp;"Drink""와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구매하세요("What to Drink" 잠금 해제).
2. 전차 타로 카드(폐허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"What to Drink"와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"&amp;"lành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Mercy"&amp;"""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17"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16" t="str">
        <f>IFERROR(__xludf.DUMMYFUNCTION("GOOGLETRANSLATE(A4,""zh-tw"",""KO"")"),"게임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4" s="19" t="str">
        <f>IFERROR(__xludf.DUMMYFUNCTION("GOOGLETRANSLATE(A4,""zh-tw"",""RU"")"),"Что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v>
      </c>
      <c r="G15" s="48" t="str">
        <f>IFERROR(__xludf.DUMMYFUNCTION("GOOGLETRANSLATE(A15,""zh-tw"",""RU"")"),"Этот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v>
      </c>
      <c r="H15" s="51"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Nanshan,"&amp;" Luoran")</f>
        <v>편집장(디스코드):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на упрощенный китайский: ShigeLuna
Переводчик на японский: 눈_눈
Переводчик на английский: Ruika
Переводчик на испанский: AndyJango, maxi3002GD, samstagkaiser
Переводчик на немец"&amp;"кий: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f>
        <v>Главный редактор (Discord): RORO#3330
Создание карты: mioakatukaze
Переводчик на упрощенный китайский: ShigeLuna
Переводчик на японский: 눈_눈
Переводчик на английский: Ruika
Переводчик на испанский: AndyJango, maxi3002GD, samstagkaiser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рабочий журнал")</f>
        <v>Редактировать рабочий журнал</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IFERROR(__xludf.DUMMYFUNCTION("GOOGLETRANSLATE(A21,""zh-tw"",""KO"")"),"2025/12/5에 요리 +3 추가됨")</f>
        <v>2025/12/5에 요리 +3 추가됨</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Dish +3 vào ngày 2025/12/5")</f>
        <v>Đã thêm Dish +3 vào ngày 2025/12/5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R90~93/Tips+2/Status+1/Weap+2/Gears+1/Items+2")</f>
        <v>2 декабря 2025 г.: добавлен контент версии 0.9: SLG-A24~26/SLG-F1~8/R34, R90~93/Tips+2/Status+1/Weap+2/Gears+1/Items+2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재설계되었고, 드롭 확률이 추가되었습니다.")</f>
        <v>2025년 12월 1일: 드롭 페이지가 재설계되었고, 드롭 확률이 추가되었습니다.</v>
      </c>
      <c r="G23" s="27" t="str">
        <f>IFERROR(__xludf.DUMMYFUNCTION("GOOGLETRANSLATE(A23,""zh-tw"",""RU"")"),"1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Drops được thiết kế lại và thêm tỷ lệ drop.")</f>
        <v>Ngày 1 tháng 12 năm 2025: Trang Drops được thiết kế lại và thêm tỷ lệ drop.</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IFERROR(__xludf.DUMMYFUNCTION("GOOGLETRANSLATE(A24,""zh-tw"",""KO"")"),"2025/11/26에 포르투갈어 언어 추가됨")</f>
        <v>2025/11/26에 포르투갈어 언어 추가됨</v>
      </c>
      <c r="G24" s="27" t="str">
        <f>IFERROR(__xludf.DUMMYFUNCTION("GOOGLETRANSLATE(A24,""zh-tw"",""RU"")"),"Добавлен португалоязычный язык 26.11.2025")</f>
        <v>Добавлен португалоязычный язык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IFERROR(__xludf.DUMMYFUNCTION("GOOGLETRANSLATE(A25,""zh-tw"",""KO"")"),"2025/11/15에 마이너 버전 업데이트 내용이 추가되었습니다.")</f>
        <v>2025/11/15에 마이너 버전 업데이트 내용이 추가되었습니다.</v>
      </c>
      <c r="G25" s="27" t="str">
        <f>IFERROR(__xludf.DUMMYFUNCTION("GOOGLETRANSLATE(A25,""zh-tw"",""RU"")"),"Добавлен контент обновления второстепенной версии от 15.11.2025")</f>
        <v>Добавлен контент обновления второстепенной версии от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사항과 추가 사항을 포함했습니다.")</f>
        <v>2025년 11월 8일: 버전 0.85C 콘텐츠를 추가하고, 몇 가지 수정 사항과 추가 사항을 포함했습니다.</v>
      </c>
      <c r="G26" s="27" t="str">
        <f>IFERROR(__xludf.DUMMYFUNCTION("GOOGLETRANSLATE(A26,""zh-tw"",""RU"")"),"8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Thêm nội dung phiên bản 0.85C và bao gồm một số chỉnh sửa và bổ sung.")</f>
        <v>Ngày 8 tháng 11 năm 2025: Thêm nội dung phiên bản 0.85C và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Đã thêm phiên bản 0.85: SLG-C-23~SLG-C-29, SLG-A-24")</f>
        <v>Ngày 3 tháng 11 năm 2025: Đã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предметы +3")</f>
        <v>14 октября 2025 г.: добавлено 0.82D: R4, R68, предметы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Thêm 0.82D: R4, R68, Vật phẩm +3")</f>
        <v>Ngày 14 tháng 10 năm 2025: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IFERROR(__xludf.DUMMYFUNCTION("GOOGLETRANSLATE(A29,""zh-tw"",""RU"")"),"Добавлен перевод на вьетнамский язык 6 октября 2025 г.")</f>
        <v>Добавлен перевод на вьетнамский язык 6 октября 2025 г.</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IFERROR(__xludf.DUMMYFUNCTION("GOOGLETRANSLATE(A30,""zh-tw"",""KO"")"),"2025년 10월 1일
0.82 업데이트:
R21, R66~R68, R83~89, 무기-45~49, 드랍-15, 47~49, 장비-75~78, 팁-106~112")</f>
        <v>2025년 10월 1일
0.82 업데이트:
R21, R66~R68, R83~89, 무기-45~49, 드랍-15, 47~49, 장비-75~78, 팁-106~112</v>
      </c>
      <c r="G30" s="27" t="str">
        <f>IFERROR(__xludf.DUMMYFUNCTION("GOOGLETRANSLATE(A30,""zh-tw"",""RU"")"),"1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105~106/드랍 46/무기 45.46/장비 64~74/아이템 42")</f>
        <v>2025년 9월 14일 0.81 업데이트:
R69~R82, R24/팁 105~106/드랍 46/무기 45.46/장비 64~74/아이템 42</v>
      </c>
      <c r="G31" s="27" t="str">
        <f>IFERROR(__xludf.DUMMYFUNCTION("GOOGLETRANSLATE(A31,""zh-tw"",""RU"")"),"Обновление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 매김 기능이 추가되었습니다.")</f>
        <v>2025년 9월 4일에 비디오/오디오 페이지 매김 기능이 추가되었습니다.</v>
      </c>
      <c r="G32" s="27" t="str">
        <f>IFERROR(__xludf.DUMMYFUNCTION("GOOGLETRANSLATE(A32,""zh-tw"",""RU"")"),"Добавлена ​​пагинация видео/аудио 4 сентября 2025 г.")</f>
        <v>Добавлена ​​пагинация видео/аудио 4 сентября 2025 г.</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웹사이트가 imgse에서 postimage로 변경되었습니다.")</f>
        <v>2025년 8월 31일, 지도 섹션의 지도 파일 웹사이트가 imgse에서 postimage로 변경되었습니다.</v>
      </c>
      <c r="G33" s="27" t="str">
        <f>IFERROR(__xludf.DUMMYFUNCTION("GOOGLETRANSLATE(A33,""zh-tw"",""RU"")"),"31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4" s="27" t="str">
        <f>IFERROR(__xludf.DUMMYFUNCTION("GOOGLETRANSLATE(A34,""zh-tw"",""RU"")"),"Версия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IFERROR(__xludf.DUMMYFUNCTION("GOOGLETRANSLATE(A36,""zh-tw"",""KO"")"),"2025년 8월 11일에 버전 0.79H가 추가되었습니다. (팁)")</f>
        <v>2025년 8월 11일에 버전 0.79H가 추가되었습니다. (팁)</v>
      </c>
      <c r="G36" s="27" t="str">
        <f>IFERROR(__xludf.DUMMYFUNCTION("GOOGLETRANSLATE(A36,""zh-tw"",""RU"")"),"Версия 0.79H была добавлена ​​11 августа 2025 г. (СОВЕТЫ)")</f>
        <v>Версия 0.79H была добавлена ​​11 августа 2025 г. (СОВЕТЫ)</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IFERROR(__xludf.DUMMYFUNCTION("GOOGLETRANSLATE(A38,""zh-tw"",""KO"")"),"2025/7/20에 0.79D TIPS 버전이 추가되었습니다.")</f>
        <v>2025/7/20에 0.79D TIPS 버전이 추가되었습니다.</v>
      </c>
      <c r="G38" s="27" t="str">
        <f>IFERROR(__xludf.DUMMYFUNCTION("GOOGLETRANSLATE(A38,""zh-tw"",""RU"")"),"Добавлена ​​версия 0.79D TIPS 20.07.2025")</f>
        <v>Добавлена ​​версия 0.79D TIPS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Weap, Drops에 버전 0.79가 추가되었습니다.")</f>
        <v>2025년 7월 12일, SLG-A, SLG-C, TIPS, Weap, Drops에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10일에 버전 0.77로 업데이트되었습니다.")</f>
        <v>2025년 6월 10일에 버전 0.77로 업데이트되었습니다.</v>
      </c>
      <c r="G41" s="27" t="str">
        <f>IFERROR(__xludf.DUMMYFUNCTION("GOOGLETRANSLATE(A41,""zh-tw"",""RU"")"),"Обновлено до версии 0.77 10 июня 2025 г.")</f>
        <v>Обновлено до версии 0.77 10 июня 2025 г.</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3일에 0.77 버전으로 업데이트되었습니다.")</f>
        <v>2025년 6월 3일에 0.77 버전으로 업데이트되었습니다.</v>
      </c>
      <c r="G42" s="27" t="str">
        <f>IFERROR(__xludf.DUMMYFUNCTION("GOOGLETRANSLATE(A42,""zh-tw"",""RU"")"),"Обновлено до версии 0.77 3 июня 2025 г.")</f>
        <v>Обновлено до версии 0.77 3 июня 2025 г.</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재설계되었습니다.")</f>
        <v>2025년 5월 26일, SLG 페이지의 모든 레이아웃이 재설계되었습니다.</v>
      </c>
      <c r="G43" s="27" t="str">
        <f>IFERROR(__xludf.DUMMYFUNCTION("GOOGLETRANSLATE(A43,""zh-tw"",""RU"")"),"26 мая 2025 года все макеты страницы SLG были переработаны.")</f>
        <v>26 мая 2025 года все макеты страницы SLG были переработаны.</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24일에 전용 그래픽 카드를 설치하는 방법에 대한 튜토리얼이 추가되었습니다.")</f>
        <v>2025년 5월 24일에 전용 그래픽 카드를 설치하는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R33)의 콘텐츠와 방어구 한 개가 추가되었습니다.")</f>
        <v>2025년 5월 15일: 버전 0.75D(R4, R33)의 콘텐츠와 방어구 한 개가 추가되었습니다.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그레이트 소성 용암대의 지도 이미지를 추가했습니다.")</f>
        <v>2025년 5월 6일에 그레이트 소성 용암대의 지도 이미지를 추가했습니다.</v>
      </c>
      <c r="G46" s="27" t="str">
        <f>IFERROR(__xludf.DUMMYFUNCTION("GOOGLETRANSLATE(A46,""zh-tw"",""RU"")"),"Добавлено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7" s="27" t="str">
        <f>IFERROR(__xludf.DUMMYFUNCTION("GOOGLETRANSLATE(A47,""zh-tw"",""RU"")"),"С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러시아어와 독일어 번역이 추가되었습니다.")</f>
        <v>2025년 5월 4일에 러시아어와 독일어 번역이 추가되었습니다.</v>
      </c>
      <c r="G48" s="27" t="str">
        <f>IFERROR(__xludf.DUMMYFUNCTION("GOOGLETRANSLATE(A48,""zh-tw"",""RU"")"),"Добавлены переводы на русский и немецкий языки 4 мая 2025 года.")</f>
        <v>Добавлены переводы на русский и немецкий языки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스페인어와 한국어 번역을 이 양식에 병합했습니다.")</f>
        <v>2025년 4월 29일: 두 번째 양식을 삭제하고 스페인어와 한국어 번역을 이 양식에 병합했습니다.</v>
      </c>
      <c r="G50" s="27" t="str">
        <f>IFERROR(__xludf.DUMMYFUNCTION("GOOGLETRANSLATE(A50,""zh-tw"",""RU"")"),"29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스페인어와 한국어 번역이 포함된 두 번째 양식을 만들었습니다.")</f>
        <v>2025년 4월 19일: 스페인어와 한국어 번역이 포함된 두 번째 양식을 만들었습니다.</v>
      </c>
      <c r="G51" s="27" t="str">
        <f>IFERROR(__xludf.DUMMYFUNCTION("GOOGLETRANSLATE(A51,""zh-tw"",""RU"")"),"19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IFERROR(__xludf.DUMMYFUNCTION("GOOGLETRANSLATE(A52,""zh-tw"",""KO"")"),"2025/4/13에 새로운 ""요리"" 페이지를 만들었습니다.")</f>
        <v>2025/4/13에 새로운 "요리" 페이지를 만들었습니다.</v>
      </c>
      <c r="G52" s="27" t="str">
        <f>IFERROR(__xludf.DUMMYFUNCTION("GOOGLETRANSLATE(A52,""zh-tw"",""RU"")"),"Создал новую страницу «Кулинария» 13.04.2025")</f>
        <v>Создал новую страницу «Кулинария» 13.04.2025</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그레이트 스콜치드 라바 벨트가 추가되었습니다.")</f>
        <v>2025년 4월 4일: 지도에 그레이트 스콜치드 라바 벨트가 추가되었습니다.</v>
      </c>
      <c r="G54" s="27" t="str">
        <f>IFERROR(__xludf.DUMMYFUNCTION("GOOGLETRANSLATE(A54,""zh-tw"",""RU"")"),"4 апреля 2025 г.: На карту добавлен Большой пояс выжженной лавы.")</f>
        <v>4 апреля 2025 г.: На карту добавлен Большой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1일에 만우절을 기념하여 작은 놀라움이 웹사이트에 추가되었습니다.")</f>
        <v>2025년 4월 1일에 만우절을 기념하여 작은 놀라움이 웹사이트에 추가되었습니다.</v>
      </c>
      <c r="G56" s="27" t="str">
        <f>IFERROR(__xludf.DUMMYFUNCTION("GOOGLETRANSLATE(A56,""zh-tw"",""RU"")"),"Небольшой сюрприз ко Дню смеха был добавлен на сайт 1 апреля 2025 года.")</f>
        <v>Небольшой сюрприз ко Дню смеха был добавлен на сайт 1 апреля 2025 года.</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이벤트 내 맵 이름과 일부 콘텐츠가 수정되었습니다.")</f>
        <v>2025년 3월 25일 업데이트: 이벤트 내 맵 이름과 일부 콘텐츠가 수정되었습니다.</v>
      </c>
      <c r="G57" s="27" t="str">
        <f>IFERROR(__xludf.DUMMYFUNCTION("GOOGLETRANSLATE(A57,""zh-tw"",""RU"")"),"Обновление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섹션은 2025년 3월 22일부터 2025년 5월 5일까지 재설계되었습니다.")</f>
        <v>지도 섹션은 2025년 3월 22일부터 2025년 5월 5일까지 재설계되었습니다.</v>
      </c>
      <c r="G58" s="27" t="str">
        <f>IFERROR(__xludf.DUMMYFUNCTION("GOOGLETRANSLATE(A58,""zh-tw"",""RU"")"),"Разделы карты были переработаны с 22 марта 2025 года по 5 мая 2025 года.")</f>
        <v>Разделы карты были переработаны с 22 марта 2025 года по 5 мая 2025 года.</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재설계되어 SLG와 RPG 페이지로 나뉘었습니다.")</f>
        <v>2025년 3월 21일: 이벤트 페이지가 재설계되어 SLG와 RPG 페이지로 나뉘었습니다.</v>
      </c>
      <c r="G59" s="27" t="str">
        <f>IFERROR(__xludf.DUMMYFUNCTION("GOOGLETRANSLATE(A59,""zh-tw"",""RU"")"),"21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IFERROR(__xludf.DUMMYFUNCTION("GOOGLETRANSLATE(A60,""zh-tw"",""KO"")"),"2025/3/16에 버전 0.7 정보가 업데이트되었습니다.")</f>
        <v>2025/3/16에 버전 0.7 정보가 업데이트되었습니다.</v>
      </c>
      <c r="G60" s="27" t="str">
        <f>IFERROR(__xludf.DUMMYFUNCTION("GOOGLETRANSLATE(A60,""zh-tw"",""RU"")"),"Обновленная информация о версии 0.7 от 16.03.2025")</f>
        <v>Обновленная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IFERROR(__xludf.DUMMYFUNCTION("GOOGLETRANSLATE(A61,""zh-tw"",""KO"")"),"2025/3/15에 상태 페이지 매김이 추가되었습니다.")</f>
        <v>2025/3/15에 상태 페이지 매김이 추가되었습니다.</v>
      </c>
      <c r="G61" s="27" t="str">
        <f>IFERROR(__xludf.DUMMYFUNCTION("GOOGLETRANSLATE(A61,""zh-tw"",""RU"")"),"Добавлена ​​пагинация статуса от 15.03.2025")</f>
        <v>Добавлена ​​пагинация статуса от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IFERROR(__xludf.DUMMYFUNCTION("GOOGLETRANSLATE(A62,""zh-tw"",""KO"")"),"업데이트된 TIPS 2025/3/13")</f>
        <v>업데이트된 TIPS 2025/3/13</v>
      </c>
      <c r="G62" s="27" t="str">
        <f>IFERROR(__xludf.DUMMYFUNCTION("GOOGLETRANSLATE(A62,""zh-tw"",""RU"")"),"Обновленные СОВЕТЫ 2025/3/13")</f>
        <v>Обновленные СОВЕТЫ 2025/3/13</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방어구, 아이템 페이지를 재설계했습니다.")</f>
        <v>2025년 3월 12일: 무기, 방어구, 아이템 페이지를 재설계했습니다.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IFERROR(__xludf.DUMMYFUNCTION("GOOGLETRANSLATE(A64,""zh-tw"",""RU"")"),"Объявление об обновлении (10 марта 2025 г.)")</f>
        <v>Объявление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IFERROR(__xludf.DUMMYFUNCTION("GOOGLETRANSLATE(A65,""zh-tw"",""RU"")"),"Объявление об обновлении (10 февраля 2025 г.)")</f>
        <v>Объявление об обновлении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7" s="27" t="str">
        <f>IFERROR(__xludf.DUMMYFUNCTION("GOOGLETRANSLATE(A67,""zh-tw"",""RU"")"),"3–4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이벤트와 방어구를 포함한 버전 0.65A가 추가되었습니다.")</f>
        <v>2025년 2월 2일: 이벤트와 방어구를 포함한 버전 0.65A가 추가되었습니다.</v>
      </c>
      <c r="G68" s="27" t="str">
        <f>IFERROR(__xludf.DUMMYFUNCTION("GOOGLETRANSLATE(A68,""zh-tw"",""RU"")"),"2 февраля 2025 г.: Добавлена ​​версия 0.65A, включая события и броню.")</f>
        <v>2 февраля 2025 г.: Добавлена ​​версия 0.65A, включая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IFERROR(__xludf.DUMMYFUNCTION("GOOGLETRANSLATE(A69,""zh-tw"",""KO"")"),"2025년 1월 15일 지도 도서관 정보 업데이트")</f>
        <v>2025년 1월 15일 지도 도서관 정보 업데이트</v>
      </c>
      <c r="G69" s="27" t="str">
        <f>IFERROR(__xludf.DUMMYFUNCTION("GOOGLETRANSLATE(A69,""zh-tw"",""RU"")"),"Обновление информации о библиотеке карт от 15 января 2025 г.")</f>
        <v>Обновление информации о библиотеке карт от 15 января 2025 г.</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Armor")</f>
        <v>2025년 1월 6일: 0.6C 버전 정보 추가: Armor</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IFERROR(__xludf.DUMMYFUNCTION("GOOGLETRANSLATE(A74,""zh-tw"",""KO"")"),"2025/1/2 버전 0.6 정보 추가")</f>
        <v>2025/1/2 버전 0.6 정보 추가</v>
      </c>
      <c r="G74" s="27" t="str">
        <f>IFERROR(__xludf.DUMMYFUNCTION("GOOGLETRANSLATE(A74,""zh-tw"",""RU"")"),"2025/1/2 Добавлена ​​информация о версии 0.6")</f>
        <v>2025/1/2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5" s="27" t="str">
        <f>IFERROR(__xludf.DUMMYFUNCTION("GOOGLETRANSLATE(A75,""zh-tw"",""RU"")"),"25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IFERROR(__xludf.DUMMYFUNCTION("GOOGLETRANSLATE(A76,""zh-tw"",""KO"")"),"2024/12/2 0.55 정보 추가 - 이벤트")</f>
        <v>2024/12/2 0.55 정보 추가 - 이벤트</v>
      </c>
      <c r="G76" s="27" t="str">
        <f>IFERROR(__xludf.DUMMYFUNCTION("GOOGLETRANSLATE(A76,""zh-tw"",""RU"")"),"2024/12/2 Добавлено 0,55 информации - событие")</f>
        <v>2024/12/2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IFERROR(__xludf.DUMMYFUNCTION("GOOGLETRANSLATE(A77,""zh-tw"",""KO"")"),"2024/11/29에 폐허 관련 맵이 추가되었습니다.")</f>
        <v>2024/11/29에 폐허 관련 맵이 추가되었습니다.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IFERROR(__xludf.DUMMYFUNCTION("GOOGLETRANSLATE(A78,""zh-tw"",""KO"")"),"2024/11/24 0.5C 버전 콘텐츠 추가 - 이벤트, 몬스터 정보, 팁")</f>
        <v>2024/11/24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IFERROR(__xludf.DUMMYFUNCTION("GOOGLETRANSLATE(A79,""zh-tw"",""KO"")"),"2024/11/22에 버전 0.5B 콘텐츠 추가 - 이벤트/알림")</f>
        <v>2024/11/22에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IFERROR(__xludf.DUMMYFUNCTION("GOOGLETRANSLATE(A80,""zh-tw"",""KO"")"),"2024/11/21에 MAP 파일 추가됨")</f>
        <v>2024/11/21에 MAP 파일 추가됨</v>
      </c>
      <c r="G80" s="27" t="str">
        <f>IFERROR(__xludf.DUMMYFUNCTION("GOOGLETRANSLATE(A80,""zh-tw"",""RU"")"),"Добавлен файл MAP 21.11.2024")</f>
        <v>Добавлен файл MAP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IFERROR(__xludf.DUMMYFUNCTION("GOOGLETRANSLATE(A81,""zh-tw"",""KO"")"),"2024/11/20 버전 0.5A 콘텐츠 추가 - 이벤트/프롬프트")</f>
        <v>2024/11/20 버전 0.5A 콘텐츠 추가 - 이벤트/프롬프트</v>
      </c>
      <c r="G81" s="27" t="str">
        <f>IFERROR(__xludf.DUMMYFUNCTION("GOOGLETRANSLATE(A81,""zh-tw"",""RU"")"),"2024/11/20 Добавлен контент версии 0.5A — События/Подсказки")</f>
        <v>2024/11/20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2일에 Bahamut의 개인 창작물에서 다시 게시됨: https://home.gamer.com.tw/artwork.php?sn=6032493")</f>
        <v>2024년 11월 2일에 Bahamut의 개인 창작물에서 다시 게시됨: https://home.gamer.com.tw/artwork.php?sn=6032493</v>
      </c>
      <c r="G82" s="27" t="str">
        <f>IFERROR(__xludf.DUMMYFUNCTION("GOOGLETRANSLATE(A82,""zh-tw"",""RU"")"),"Переопубликовано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(2024/10/31)")</f>
        <v>전용 그래픽 카드 추가 방법 (2024/10/31)</v>
      </c>
      <c r="G84" s="27" t="str">
        <f>IFERROR(__xludf.DUMMYFUNCTION("GOOGLETRANSLATE(A84,""zh-tw"",""RU"")"),"Инструкция по добавлению дискретной видеокарты (31.10.2024)")</f>
        <v>Инструкция по добавлению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IFERROR(__xludf.DUMMYFUNCTION("GOOGLETRANSLATE(A85,""zh-tw"",""KO"")"),"2024/10/28에 일부 공지 내용을 추가했습니다.")</f>
        <v>2024/10/28에 일부 공지 내용을 추가했습니다.</v>
      </c>
      <c r="G85" s="27" t="str">
        <f>IFERROR(__xludf.DUMMYFUNCTION("GOOGLETRANSLATE(A85,""zh-tw"",""RU"")"),"Добавлены некоторые анонсы от 28.10.2024")</f>
        <v>Добавлены некоторые анонсы от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드랍/방어구")</f>
        <v>2024년 10월 24일: 0.4C 버전 콘텐츠 추가 - 이벤트/월드 드랍/방어구</v>
      </c>
      <c r="G86" s="27" t="str">
        <f>IFERROR(__xludf.DUMMYFUNCTION("GOOGLETRANSLATE(A86,""zh-tw"",""RU"")"),"24 октября 2024 г.: добавлен контент версии 0.4C — события/добыча в мире/броня.")</f>
        <v>24 октября 2024 г.: добавлен контент версии 0.4C — события/добыча в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추가(드랍/장비/팁)")</f>
        <v>2024년 10월 21일: 버전 0.4A 콘텐츠 추가(드랍/장비/팁)</v>
      </c>
      <c r="G87" s="27" t="str">
        <f>IFERROR(__xludf.DUMMYFUNCTION("GOOGLETRANSLATE(A87,""zh-tw"",""RU"")"),"21 октября 2024 г.: добавлен контент версии 0.4A (выброс/экипировка/советы).")</f>
        <v>21 октября 2024 г.: добавлен контент версии 0.4A (выброс/экипировка/советы).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IFERROR(__xludf.DUMMYFUNCTION("GOOGLETRANSLATE(A88,""zh-tw"",""KO"")"),"2024/10/15에 지도와 이벤트 번호표가 추가되었습니다.")</f>
        <v>2024/10/15에 지도와 이벤트 번호표가 추가되었습니다.</v>
      </c>
      <c r="G88" s="27" t="str">
        <f>IFERROR(__xludf.DUMMYFUNCTION("GOOGLETRANSLATE(A88,""zh-tw"",""RU"")"),"Добавлена ​​карта и таблица номеров событий на 15.10.2024")</f>
        <v>Добавлена ​​карта и таблица номеров событий на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 가지 이벤트와 새로운 이벤트 번호가 추가되었습니다.")</f>
        <v>2024년 10월 15일에 몇 가지 이벤트와 새로운 이벤트 번호가 추가되었습니다.</v>
      </c>
      <c r="G89" s="27" t="str">
        <f>IFERROR(__xludf.DUMMYFUNCTION("GOOGLETRANSLATE(A89,""zh-tw"",""RU"")"),"Добавлены некоторые события и новые номера событий на 15.10.2024.")</f>
        <v>Добавлены некоторые события и новые номера событий на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IFERROR(__xludf.DUMMYFUNCTION("GOOGLETRANSLATE(A90,""zh-tw"",""KO"")"),"2024/10/14 일부 서식을 조정했습니다.")</f>
        <v>2024/10/14 일부 서식을 조정했습니다.</v>
      </c>
      <c r="G90" s="27" t="str">
        <f>IFERROR(__xludf.DUMMYFUNCTION("GOOGLETRANSLATE(A90,""zh-tw"",""RU"")"),"2024/10/14 Исправлено форматирование.")</f>
        <v>2024/10/14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IFERROR(__xludf.DUMMYFUNCTION("GOOGLETRANSLATE(A91,""zh-tw"",""KO"")"),"2024/10/13에 간체 중국어 번역이 추가되었습니다.")</f>
        <v>2024/10/13에 간체 중국어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양식과 편집 로그를 추가하고, 타로 카드를 수정했습니다.")</f>
        <v>2024년 10월 12일: 공지 양식과 편집 로그를 추가하고, 타로 카드를 수정했습니다.</v>
      </c>
      <c r="G92" s="27" t="str">
        <f>IFERROR(__xludf.DUMMYFUNCTION("GOOGLETRANSLATE(A92,""zh-tw"",""RU"")"),"12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이벤트와 알림 표 콘텐츠가 추가되었습니다.")</f>
        <v>2024년 10월 10일: 새로운 이벤트와 알림 표 콘텐츠가 추가되었습니다.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IFERROR(__xludf.DUMMYFUNCTION("GOOGLETRANSLATE(A94,""zh-tw"",""KO"")"),"2024/10/9 이벤트 및 알림 추가")</f>
        <v>2024/10/9 이벤트 및 알림 추가</v>
      </c>
      <c r="G94" s="27" t="str">
        <f>IFERROR(__xludf.DUMMYFUNCTION("GOOGLETRANSLATE(A94,""zh-tw"",""RU"")"),"Добавлены события и уведомления на 09.10.2024")</f>
        <v>Добавлены события и уведомления на 09.10.2024</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IFERROR(__xludf.DUMMYFUNCTION("GOOGLETRANSLATE(A95,""zh-tw"",""KO"")"),"2024/10/8에 이벤트 및 알림 테이블 내용이 추가되었습니다.")</f>
        <v>2024/10/8에 이벤트 및 알림 테이블 내용이 추가되었습니다.</v>
      </c>
      <c r="G95" s="27" t="str">
        <f>IFERROR(__xludf.DUMMYFUNCTION("GOOGLETRANSLATE(A95,""zh-tw"",""RU"")"),"Добавлено содержимое таблицы событий и уведомлений от 08.10.2024")</f>
        <v>Добавлено содержимое таблицы событий и уведомлений от 08.10.2024</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IFERROR(__xludf.DUMMYFUNCTION("GOOGLETRANSLATE(A96,""zh-tw"",""KO"")"),"2024/10/7에 알림표 추가")</f>
        <v>2024/10/7에 알림표 추가</v>
      </c>
      <c r="G96" s="27" t="str">
        <f>IFERROR(__xludf.DUMMYFUNCTION("GOOGLETRANSLATE(A96,""zh-tw"",""RU"")"),"Добавлена ​​таблица уведомлений на 07.10.2024")</f>
        <v>Добавлена ​​таблица уведомлений на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7" s="27" t="str">
        <f>IFERROR(__xludf.DUMMYFUNCTION("GOOGLETRANSLATE(A97,""zh-tw"",""RU"")"),"6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IFERROR(__xludf.DUMMYFUNCTION("GOOGLETRANSLATE(A98,""zh-tw"",""KO"")"),"전체 페이지는 2024/10/6에 편집 및 조정되었습니다.")</f>
        <v>전체 페이지는 2024/10/6에 편집 및 조정되었습니다.</v>
      </c>
      <c r="G98" s="27" t="str">
        <f>IFERROR(__xludf.DUMMYFUNCTION("GOOGLETRANSLATE(A98,""zh-tw"",""RU"")"),"Полная страница отредактирована и скорректирована 06.10.2024")</f>
        <v>Полная страница отредактирована и скорректирована 06.10.2024</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대중에 공개")</f>
        <v>2024년 10월 5일 대중에 공개</v>
      </c>
      <c r="G99" s="27" t="str">
        <f>IFERROR(__xludf.DUMMYFUNCTION("GOOGLETRANSLATE(A99,""zh-tw"",""RU"")"),"Выпущено для публики 5 октября 2024 г.")</f>
        <v>Выпущено для публики 5 октября 2024 г.</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IFERROR(__xludf.DUMMYFUNCTION("GOOGLETRANSLATE(A100,""zh-tw"",""KO"")"),"2024년 10월 4일 초안 완료")</f>
        <v>2024년 10월 4일 초안 완료</v>
      </c>
      <c r="G100" s="27" t="str">
        <f>IFERROR(__xludf.DUMMYFUNCTION("GOOGLETRANSLATE(A100,""zh-tw"",""RU"")"),"Первый черновик завершён 4 октября 2024 г.")</f>
        <v>Первый черновик завершён 4 октября 2024 г.</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만들어졌습니다.")</f>
        <v>이 양식은 2024년 10월 1일에 만들어졌습니다.</v>
      </c>
      <c r="G101" s="27" t="str">
        <f>IFERROR(__xludf.DUMMYFUNCTION("GOOGLETRANSLATE(A101,""zh-tw"",""RU"")"),"Эта форма была создана 1 октября 2024 года.")</f>
        <v>Эта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IFERROR(__xludf.DUMMYFUNCTION("GOOGLETRANSLATE(B12,""zh-tw"",""KO"")"),"동의: 다치지 마세요")</f>
        <v>동의: 다치지 마세요</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IFERROR(__xludf.DUMMYFUNCTION("GOOGLETRANSLATE(B13,""zh-tw"",""KO"")"),"계약: 딸기우유")</f>
        <v>계약: 딸기우유</v>
      </c>
      <c r="W13" s="104"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72"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IFERROR(__xludf.DUMMYFUNCTION("GOOGLETRANSLATE(B16,""zh-tw"",""KO"")"),"언니가 요리해요")</f>
        <v>언니가 요리해요</v>
      </c>
      <c r="W16" s="104"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2" t="str">
        <f>IFERROR(__xludf.DUMMYFUNCTION("GOOGLETRANSLATE(D16,""zh-tw"",""KO"")"),"음식이 생성됩니다.
추신: ""당신을 먹고 싶어"" 옵션은 아직 구현되지 않았습니다.")</f>
        <v>음식이 생성됩니다.
추신: "당신을 먹고 싶어" 옵션은 아직 구현되지 않았습니다.</v>
      </c>
      <c r="Y16" s="99">
        <v>8.0</v>
      </c>
      <c r="Z16" s="117" t="str">
        <f>IFERROR(__xludf.DUMMYFUNCTION("IF(J16="""", """", GOOGLETRANSLATE(
J16,""en"",""ru""))"),"Кулинария Имото")</f>
        <v>Кулинария Имото</v>
      </c>
      <c r="AA16" s="118"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5"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IFERROR(__xludf.DUMMYFUNCTION("GOOGLETRANSLATE(C17,""zh-tw"",""KO"")"),"언니는 매운맛 때문에 울었어요.")</f>
        <v>언니는 매운맛 때문에 울었어요.</v>
      </c>
      <c r="X17" s="72" t="str">
        <f>IFERROR(__xludf.DUMMYFUNCTION("GOOGLETRANSLATE(D17,""zh-tw"",""KO"")"),"매콤함에 울먹이는 장면이 연출됨")</f>
        <v>매콤함에 울먹이는 장면이 연출됨</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없애다")</f>
        <v>매운맛 위기를 없애다</v>
      </c>
      <c r="W18" s="104" t="str">
        <f>IFERROR(__xludf.DUMMYFUNCTION("GOOGLETRANSLATE(C18,""zh-tw"",""KO"")"),"제 여동생은 너무 매운 음식을 좋아해서 침대에 누워서 식혀야 합니다.")</f>
        <v>제 여동생은 너무 매운 음식을 좋아해서 침대에 누워서 식혀야 합니다.</v>
      </c>
      <c r="X18" s="72" t="str">
        <f>IFERROR(__xludf.DUMMYFUNCTION("GOOGLETRANSLATE(D18,""zh-tw"",""KO"")"),"매운맛을 제거하는 옵션을 활성화합니다.")</f>
        <v>매운맛을 제거하는 옵션을 활성화합니다.</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2" t="str">
        <f>IFERROR(__xludf.DUMMYFUNCTION("GOOGLETRANSLATE(D19,""zh-tw"",""KO"")"),"치과 검진을 거부당하는 스토리를 시작하세요.")</f>
        <v>치과 검진을 거부당하는 스토리를 시작하세요.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2" t="str">
        <f>IFERROR(__xludf.DUMMYFUNCTION("GOOGLETRANSLATE(D20,""zh-tw"",""KO"")"),"구강 검사 플롯을 트리거합니다.")</f>
        <v>구강 검사 플롯을 트리거합니다.</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시간이에요!")</f>
        <v>일어날 시간이에요!</v>
      </c>
      <c r="W27" s="10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2"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102"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72"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IFERROR(__xludf.DUMMYFUNCTION("GOOGLETRANSLATE(B31,""zh-tw"",""KO"")"),"여동생에게 귀엽게 행동하다")</f>
        <v>여동생에게 귀엽게 행동하다</v>
      </c>
      <c r="W31" s="10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72" t="str">
        <f>IFERROR(__xludf.DUMMYFUNCTION("GOOGLETRANSLATE(D31,""zh-tw"",""KO"")"),"새로운 옵션: 여동생에게 애정을 표현하세요!
*아직 업데이트가 없습니다.")</f>
        <v>새로운 옵션: 여동생에게 애정을 표현하세요!
*아직 업데이트가 없습니다.</v>
      </c>
      <c r="Y31" s="122">
        <v>23.0</v>
      </c>
      <c r="Z31" s="117" t="str">
        <f>IFERROR(__xludf.DUMMYFUNCTION("IF(J31="""", """", GOOGLETRANSLATE(
J31,""en"",""ru""))"),"Побалуйте меня!")</f>
        <v>Побалуйте меня!</v>
      </c>
      <c r="AA31" s="118"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5" t="str">
        <f>IFERROR(__xludf.DUMMYFUNCTION("IF(L31="""", """", GOOGLETRANSLATE(L31, ""en"", ""ru""))
"),"Новая опция: Побалуйте меня!
Пока нет продолжения")</f>
        <v>Новая опция: Побалуйте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5"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9">
        <v>24.0</v>
      </c>
      <c r="Z32" s="127" t="str">
        <f>IFERROR(__xludf.DUMMYFUNCTION("IF(J32="""", """", GOOGLETRANSLATE(J32,""en"",""RU""))"),"Соня")</f>
        <v>Соня</v>
      </c>
      <c r="AA32" s="128"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9"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동생이 파산하게 됐어요!")</f>
        <v>내 동생이 파산하게 됐어요!</v>
      </c>
      <c r="W33" s="124"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5"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2">
        <v>25.0</v>
      </c>
      <c r="Z33" s="127" t="str">
        <f>IFERROR(__xludf.DUMMYFUNCTION("IF(J33="""", """", GOOGLETRANSLATE(J33,""en"",""RU""))"),"Онии-чан разорился!")</f>
        <v>Онии-чан разорился!</v>
      </c>
      <c r="AA33" s="128"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9"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IFERROR(__xludf.DUMMYFUNCTION("GOOGLETRANSLATE(B34,""zh-tw"",""KO"")"),"여동생에게 용돈을 주다")</f>
        <v>여동생에게 용돈을 주다</v>
      </c>
      <c r="W34" s="124" t="str">
        <f>IFERROR(__xludf.DUMMYFUNCTION("GOOGLETRANSLATE(C34,""zh-tw"",""KO"")"),"비어 있는 하트 상자는 노란색 하트로 변환할 수 있지만, 이미 빨간색이나 보라색 하트가 들어 있는 경우 금도금 테두리가 제공되며 해당 날짜에만 사용할 수 있습니다.")</f>
        <v>비어 있는 하트 상자는 노란색 하트로 변환할 수 있지만, 이미 빨간색이나 보라색 하트가 들어 있는 경우 금도금 테두리가 제공되며 해당 날짜에만 사용할 수 있습니다.</v>
      </c>
      <c r="X34" s="125"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9">
        <v>26.0</v>
      </c>
      <c r="Z34" s="127" t="str">
        <f>IFERROR(__xludf.DUMMYFUNCTION("IF(J34="""", """", GOOGLETRANSLATE(J34,""en"",""RU""))"),"""Имуто Деньги""")</f>
        <v>"Имуто Деньги"</v>
      </c>
      <c r="AA34" s="128"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9"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2"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2"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- 1")</f>
        <v>Я больше не могу... - 1</v>
      </c>
      <c r="AA41" s="115"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2"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- 2")</f>
        <v>Я больше не могу... - 2</v>
      </c>
      <c r="AA42" s="115"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2"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2">
        <v>6.0</v>
      </c>
      <c r="AD42" s="100" t="s">
        <v>1081</v>
      </c>
      <c r="AE42" s="101" t="s">
        <v>1082</v>
      </c>
      <c r="AF42" s="102" t="s">
        <v>1083</v>
      </c>
      <c r="AG42" s="122">
        <v>6.0</v>
      </c>
      <c r="AH42" s="107" t="s">
        <v>1084</v>
      </c>
      <c r="AI42" s="101" t="s">
        <v>1085</v>
      </c>
      <c r="AJ42" s="102" t="s">
        <v>1086</v>
      </c>
      <c r="AK42" s="99">
        <v>6.0</v>
      </c>
      <c r="AL42" s="108" t="s">
        <v>1087</v>
      </c>
      <c r="AM42" s="109" t="s">
        <v>1088</v>
      </c>
      <c r="AN42" s="68"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GOOGLETRANSLATE(J43,""en"",""RU""))"),"Сокрытие дыхания - 4")</f>
        <v>Сокрытие дыхания - 4</v>
      </c>
      <c r="AA43" s="115"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2" t="str">
        <f>IFERROR(__xludf.DUMMYFUNCTION("IF(L43="""", """", GOOGLETRANSLATE(L43, ""en"", ""ru""))
"),"*Еще не реализовано.")</f>
        <v>*Еще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01"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найти «С», чтобы он следовал за вами домой. Для этого найдите его в Заброшенном лесу. (Прикосновение к нему даст вам ослабление.)
Вернувшись домой после приключения, выберите «Пойти в туалет» -&gt; «Искать, пока не найдёте».
Позже, когда вы"&amp;" позовёте сестру в её комнату, есть вероятность, что произойдёт событие «Туалет».")</f>
        <v>Сначала вам нужно найти «С», чтобы он следовал за вами домой. Для этого найдите его в Заброшенном лесу. (Прикосновение к нему даст вам ослабление.)
Вернувшись домой после приключения, выберите «Пойти в туалет» -&gt; «Искать, пока не найдёте».
Позже, когда вы позовёте сестру в её комнату, есть вероятность, что произойдёт событие «Туалет».</v>
      </c>
      <c r="AB44" s="112"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GOOGLETRANSLATE(J46,""en"",""RU""))"),"Сестра-дрочила - 1")</f>
        <v>Сестра-дрочила - 1</v>
      </c>
      <c r="AA46" s="115"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2" t="str">
        <f>IFERROR(__xludf.DUMMYFUNCTION("IF(L46="""", """", GOOGLETRANSLATE(L46, ""en"", ""ru""))
"),"Запускает событие «заглядывание в туалет».")</f>
        <v>Запускает событие «заглядывание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GOOGLETRANSLATE(J47,""en"",""RU""))"),"Сестра-дрочила - 2")</f>
        <v>Сестра-дрочила - 2</v>
      </c>
      <c r="AA47" s="115"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2"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GOOGLETRANSLATE(J48,""en"",""RU""))"),"Сестра-дрочила - 3")</f>
        <v>Сестра-дрочила - 3</v>
      </c>
      <c r="AA48" s="115"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2"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GOOGLETRANSLATE(J49,""en"",""RU""))"),"Сестра-дрочила - 4")</f>
        <v>Сестра-дрочила - 4</v>
      </c>
      <c r="AA49" s="115"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2"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provocar un resbalón y caída en el baño")</f>
        <v>Posibilidad de provocar un resbalón y caída en el baño</v>
      </c>
      <c r="U52" s="99">
        <v>1.0</v>
      </c>
      <c r="V52" s="103" t="str">
        <f>IFERROR(__xludf.DUMMYFUNCTION("GOOGLETRANSLATE(B52,""zh-tw"",""KO"")"),"샴푸")</f>
        <v>샴푸</v>
      </c>
      <c r="W52" s="104" t="str">
        <f>IFERROR(__xludf.DUMMYFUNCTION("GOOGLETRANSLATE(C52,""zh-tw"",""KO"")"),"목욕 능력은 약 7일 후에 모든 능력을 소모하며, 엿보지 않으면 발동될 확률이 있습니다.
형제가 혼자 목욕을 하면 더 일찍 사용할 수 있습니다.
아니면 속옷을 훔칠 때 발동될 확률이 있습니다.")</f>
        <v>목욕 능력은 약 7일 후에 모든 능력을 소모하며, 엿보지 않으면 발동될 확률이 있습니다.
형제가 혼자 목욕을 하면 더 일찍 사용할 수 있습니다.
아니면 속옷을 훔칠 때 발동될 확률이 있습니다.</v>
      </c>
      <c r="X52" s="72" t="str">
        <f>IFERROR(__xludf.DUMMYFUNCTION("GOOGLETRANSLATE(D52,""zh-tw"",""KO"")"),"욕실 미끄러짐 및 넘어짐 사고가 발생할 가능성")</f>
        <v>욕실 미끄러짐 및 넘어짐 사고가 발생할 가능성</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IFERROR(__xludf.DUMMYFUNCTION("GOOGLETRANSLATE(B53,""zh-tw"",""KO"")"),"언니가 목욕할 때까지 기다려야 하나요?")</f>
        <v>언니가 목욕할 때까지 기다려야 하나요?</v>
      </c>
      <c r="W53" s="104" t="str">
        <f>IFERROR(__xludf.DUMMYFUNCTION("GOOGLETRANSLATE(C53,""zh-tw"",""KO"")"),"형의 성욕이 충분하면, 혼자 목욕을 한 뒤 목욕탕에 갈 수도 있다.")</f>
        <v>형의 성욕이 충분하면, 혼자 목욕을 한 뒤 목욕탕에 갈 수도 있다.</v>
      </c>
      <c r="X53" s="72" t="str">
        <f>IFERROR(__xludf.DUMMYFUNCTION("GOOGLETRANSLATE(D53,""zh-tw"",""KO"")"),"다음 옵션이 나타납니다.
1. 지금 시작
2. 잠시 기다리기
3. 잊어버리기")</f>
        <v>다음 옵션이 나타납니다.
1. 지금 시작
2. 잠시 기다리기
3. 잊어버리기</v>
      </c>
      <c r="Y53" s="122">
        <v>2.0</v>
      </c>
      <c r="Z53" s="117" t="str">
        <f>IFERROR(__xludf.DUMMYFUNCTION("IF(J53="""", """", GOOGLETRANSLATE(
J53,""en"",""ru""))"),"Подождать, пока Имото закончит купаться?")</f>
        <v>Подождать, пока Имото закончит купаться?</v>
      </c>
      <c r="AA53" s="118"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5"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f>
        <v>지금 -1로 이동</v>
      </c>
      <c r="W54" s="104"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2" t="str">
        <f>IFERROR(__xludf.DUMMYFUNCTION("GOOGLETRANSLATE(D54,""zh-tw"",""KO"")"),"1. 얼굴 치료 센터에 성공적으로 침투했습니다.
2. 여동생에게 발각되었습니다.")</f>
        <v>1. 얼굴 치료 센터에 성공적으로 침투했습니다.
2. 여동생에게 발각되었습니다.</v>
      </c>
      <c r="Y54" s="99">
        <v>3.0</v>
      </c>
      <c r="Z54" s="117" t="str">
        <f>IFERROR(__xludf.DUMMYFUNCTION("IF(J54="""", """", GOOGLETRANSLATE(
J54,""en"",""ru""))"),"Иди сейчас! - 1")</f>
        <v>Иди сейчас! - 1</v>
      </c>
      <c r="AA54" s="118"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v>
      </c>
      <c r="AB54" s="65"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가세요")</f>
        <v>지금 -2로 가세요</v>
      </c>
      <c r="W55" s="104"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2" t="str">
        <f>IFERROR(__xludf.DUMMYFUNCTION("GOOGLETRANSLATE(D55,""zh-tw"",""KO"")"),"세 가지 옵션이 나타납니다(""한번 살펴보겠습니다"" 포함).")</f>
        <v>세 가지 옵션이 나타납니다("한번 살펴보겠습니다" 포함).</v>
      </c>
      <c r="Y55" s="99">
        <v>4.0</v>
      </c>
      <c r="Z55" s="117" t="str">
        <f>IFERROR(__xludf.DUMMYFUNCTION("IF(J55="""", """", GOOGLETRANSLATE(
J55,""en"",""ru""))"),"Иди сейчас! - 2")</f>
        <v>Иди сейчас! - 2</v>
      </c>
      <c r="AA55" s="118"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5"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가세요")</f>
        <v>지금 -3으로 가세요</v>
      </c>
      <c r="W56" s="104"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2" t="str">
        <f>IFERROR(__xludf.DUMMYFUNCTION("GOOGLETRANSLATE(D56,""zh-tw"",""KO"")"),"특별 옵션이 나타납니다")</f>
        <v>특별 옵션이 나타납니다</v>
      </c>
      <c r="Y56" s="122">
        <v>5.0</v>
      </c>
      <c r="Z56" s="117" t="str">
        <f>IFERROR(__xludf.DUMMYFUNCTION("IF(J56="""", """", GOOGLETRANSLATE(
J56,""en"",""ru""))"),"Иди сейчас! - 3")</f>
        <v>Иди сейчас! - 3</v>
      </c>
      <c r="AA56" s="118"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5" t="str">
        <f>IFERROR(__xludf.DUMMYFUNCTION("IF(L56="""", """", GOOGLETRANSLATE(L56, ""en"", ""ru""))
"),"Появляется скрытый вариант:
Крайний вариант")</f>
        <v>Появляется скрытый вариант:
Крайний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가세요")</f>
        <v>지금 -4로 가세요</v>
      </c>
      <c r="W57" s="104"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2" t="str">
        <f>IFERROR(__xludf.DUMMYFUNCTION("GOOGLETRANSLATE(D57,""zh-tw"",""KO"")"),"검은색 옵션을 선택합니다(확인해 보겠습니다).")</f>
        <v>검은색 옵션을 선택합니다(확인해 보겠습니다).</v>
      </c>
      <c r="Y57" s="99">
        <v>6.0</v>
      </c>
      <c r="Z57" s="117" t="str">
        <f>IFERROR(__xludf.DUMMYFUNCTION("IF(J57="""", """", GOOGLETRANSLATE(
J57,""en"",""ru""))"),"Иди сейчас! - 4")</f>
        <v>Иди сейчас! - 4</v>
      </c>
      <c r="AA57" s="118"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5" t="str">
        <f>IFERROR(__xludf.DUMMYFUNCTION("IF(L57="""", """", GOOGLETRANSLATE(L57, ""en"", ""ru""))
"),"Появится только один вариант:
Дай посмотреть!")</f>
        <v>Появится только один вариант:
Дай посмотреть!</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가세요")</f>
        <v>지금 -5로 가세요</v>
      </c>
      <c r="W58" s="104" t="str">
        <f>IFERROR(__xludf.DUMMYFUNCTION("GOOGLETRANSLATE(C58,""zh-tw"",""KO"")"),"위와 같이 슬라이딩 도어가 완전히 열린 후 즉시 다시 닫으세요.")</f>
        <v>위와 같이 슬라이딩 도어가 완전히 열린 후 즉시 다시 닫으세요.</v>
      </c>
      <c r="X58" s="72"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9">
        <v>7.0</v>
      </c>
      <c r="Z58" s="117" t="str">
        <f>IFERROR(__xludf.DUMMYFUNCTION("IF(J58="""", """", GOOGLETRANSLATE(
J58,""en"",""ru""))"),"Иди сейчас! - 5")</f>
        <v>Иди сейчас! - 5</v>
      </c>
      <c r="AA58" s="118"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5" t="str">
        <f>IFERROR(__xludf.DUMMYFUNCTION("IF(L58="""", """", GOOGLETRANSLATE(L58, ""en"", ""ru""))
"),"Открывает другой диалог. Появятся три варианта.")</f>
        <v>Открывает другой диалог.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IFERROR(__xludf.DUMMYFUNCTION("GOOGLETRANSLATE(B59,""zh-tw"",""KO"")"),"한번 보자...-1")</f>
        <v>한번 보자...-1</v>
      </c>
      <c r="W59" s="104" t="str">
        <f>IFERROR(__xludf.DUMMYFUNCTION("GOOGLETRANSLATE(C59,""zh-tw"",""KO"")"),"언니에게 거절당함")</f>
        <v>언니에게 거절당함</v>
      </c>
      <c r="X59" s="72" t="str">
        <f>IFERROR(__xludf.DUMMYFUNCTION("GOOGLETRANSLATE(D59,""zh-tw"",""KO"")"),"내 동생은 바보야!")</f>
        <v>내 동생은 바보야!</v>
      </c>
      <c r="Y59" s="122">
        <v>8.0</v>
      </c>
      <c r="Z59" s="117" t="str">
        <f>IFERROR(__xludf.DUMMYFUNCTION("IF(J59="""", """", GOOGLETRANSLATE(
J59,""en"",""ru""))"),"Дай-ка подумать... - 1")</f>
        <v>Дай-ка подумать... - 1</v>
      </c>
      <c r="AA59" s="118" t="str">
        <f>IFERROR(__xludf.DUMMYFUNCTION("IF(K59="""", """", GOOGLETRANSLATE(K59,""en"",""RU""))"),"Если ваша благосклонность ниже 2, вам будет отказано.")</f>
        <v>Если ваша благосклонность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2"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9">
        <v>9.0</v>
      </c>
      <c r="Z60" s="117" t="str">
        <f>IFERROR(__xludf.DUMMYFUNCTION("IF(J60="""", """", GOOGLETRANSLATE(
J60,""en"",""ru""))"),"Дай-ка подумать... - 2")</f>
        <v>Дай-ка подумать... - 2</v>
      </c>
      <c r="AA60" s="118"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5"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거부된 경우 ""무엇이든 허용"" 쿠폰을 사용하세요.")</f>
        <v>마찬가지로, 거부된 경우 "무엇이든 허용" 쿠폰을 사용하세요.</v>
      </c>
      <c r="X61" s="72"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9">
        <v>10.0</v>
      </c>
      <c r="Z61" s="117" t="str">
        <f>IFERROR(__xludf.DUMMYFUNCTION("IF(J61="""", """", GOOGLETRANSLATE(
J61,""en"",""ru""))"),"Дай-ка подумать... - 3")</f>
        <v>Дай-ка подумать... - 3</v>
      </c>
      <c r="AA61" s="118"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5" t="str">
        <f>IFERROR(__xludf.DUMMYFUNCTION("IF(L61="""", """", GOOGLETRANSLATE(L61, ""en"", ""ru""))
"),"Запускает связанные события. (Пока не реализовано)")</f>
        <v>Запускает связанные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2" t="str">
        <f>IFERROR(__xludf.DUMMYFUNCTION("GOOGLETRANSLATE(D62,""zh-tw"",""KO"")"),"""에로티시즘을 원해"" 옵션을 실행하세요.
손을 사용하여 성관계를 하는 장면이 트리거됩니다.")</f>
        <v>"에로티시즘을 원해" 옵션을 실행하세요.
손을 사용하여 성관계를 하는 장면이 트리거됩니다.</v>
      </c>
      <c r="Y62" s="122">
        <v>11.0</v>
      </c>
      <c r="Z62" s="117" t="str">
        <f>IFERROR(__xludf.DUMMYFUNCTION("IF(J62="""", """", GOOGLETRANSLATE(
J62,""en"",""ru""))"),"Хочу похотливого")</f>
        <v>Хочу похотливого</v>
      </c>
      <c r="AA62" s="118"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5"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IFERROR(__xludf.DUMMYFUNCTION("GOOGLETRANSLATE(B63,""zh-tw"",""KO"")"),"잠깐만 기다려요")</f>
        <v>잠깐만 기다려요</v>
      </c>
      <c r="W63" s="104" t="str">
        <f>IFERROR(__xludf.DUMMYFUNCTION("GOOGLETRANSLATE(C63,""zh-tw"",""KO"")"),"옷을 갈아입을 때 엿보는 일이 없도록 하여 목욕탕에 안전하게 침투할 수 있습니다.")</f>
        <v>옷을 갈아입을 때 엿보는 일이 없도록 하여 목욕탕에 안전하게 침투할 수 있습니다.</v>
      </c>
      <c r="X63" s="72" t="str">
        <f>IFERROR(__xludf.DUMMYFUNCTION("GOOGLETRANSLATE(D63,""zh-tw"",""KO"")"),"세안제에 안전하게 침투")</f>
        <v>세안제에 안전하게 침투</v>
      </c>
      <c r="Y63" s="99">
        <v>12.0</v>
      </c>
      <c r="Z63" s="117" t="str">
        <f>IFERROR(__xludf.DUMMYFUNCTION("IF(J63="""", """", GOOGLETRANSLATE(
J63,""en"",""ru""))"),"Подожди немного")</f>
        <v>Подожди немного</v>
      </c>
      <c r="AA63" s="118"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5" t="str">
        <f>IFERROR(__xludf.DUMMYFUNCTION("IF(L63="""", """", GOOGLETRANSLATE(L63, ""en"", ""ru""))
"),"Безопасно пробраться в туалет")</f>
        <v>Безопасно пробраться в туалет</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집에 침입하여 속옷을 훔쳤고 발각되었습니다.")</f>
        <v>그는 집에 침입하여 속옷을 훔쳤고 발각되었습니다.</v>
      </c>
      <c r="X65" s="72" t="str">
        <f>IFERROR(__xludf.DUMMYFUNCTION("GOOGLETRANSLATE(D65,""zh-tw"",""KO"")"),"특별 이벤트
획득 아이템: 언니의 속옷")</f>
        <v>특별 이벤트
획득 아이템: 언니의 속옷</v>
      </c>
      <c r="Y65" s="122">
        <v>14.0</v>
      </c>
      <c r="Z65" s="117" t="str">
        <f>IFERROR(__xludf.DUMMYFUNCTION("IF(J65="""", """", GOOGLETRANSLATE(
J65,""en"",""ru""))"),"Трусики!")</f>
        <v>Трусики!</v>
      </c>
      <c r="AA65" s="118"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5"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2"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2" t="str">
        <f>IFERROR(__xludf.DUMMYFUNCTION("GOOGLETRANSLATE(D68,""zh-tw"",""KO"")"),"특수 옵션 사용")</f>
        <v>특수 옵션 사용</v>
      </c>
      <c r="Y68" s="122">
        <v>17.0</v>
      </c>
      <c r="Z68" s="117" t="str">
        <f>IFERROR(__xludf.DUMMYFUNCTION("IF(J68="""", """", GOOGLETRANSLATE(
J68,""en"",""ru""))"),"Сокрытие дыхания-1")</f>
        <v>Сокрытие дыхания-1</v>
      </c>
      <c r="AA68" s="118"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IFERROR(__xludf.DUMMYFUNCTION("GOOGLETRANSLATE(B69,""zh-tw"",""KO"")"),"투명문-1")</f>
        <v>투명문-1</v>
      </c>
      <c r="W69" s="104" t="str">
        <f>IFERROR(__xludf.DUMMYFUNCTION("GOOGLETRANSLATE(C69,""zh-tw"",""KO"")"),"여동생이 혼자 목욕하는 모습을 엿볼 수도 있다.")</f>
        <v>여동생이 혼자 목욕하는 모습을 엿볼 수도 있다.</v>
      </c>
      <c r="X69" s="72"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IFERROR(__xludf.DUMMYFUNCTION("GOOGLETRANSLATE(B70,""zh-tw"",""KO"")"),"투명문-2")</f>
        <v>투명문-2</v>
      </c>
      <c r="W70" s="104"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2" t="str">
        <f>IFERROR(__xludf.DUMMYFUNCTION("GOOGLETRANSLATE(D70,""zh-tw"",""KO"")"),"고무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IFERROR(__xludf.DUMMYFUNCTION("GOOGLETRANSLATE(B71,""zh-tw"",""KO"")"),"투명문-3")</f>
        <v>투명문-3</v>
      </c>
      <c r="W71" s="104"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72" t="str">
        <f>IFERROR(__xludf.DUMMYFUNCTION("GOOGLETRANSLATE(D71,""zh-tw"",""KO"")"),"특별한 관점에서 공연을 보다")</f>
        <v>특별한 관점에서 공연을 보다</v>
      </c>
      <c r="Y71" s="122">
        <v>20.0</v>
      </c>
      <c r="Z71" s="117" t="str">
        <f>IFERROR(__xludf.DUMMYFUNCTION("IF(J71="""", """", GOOGLETRANSLATE(
J71,""en"",""ru""))"),"Прозрачная дверь - 3")</f>
        <v>Прозрачная дверь - 3</v>
      </c>
      <c r="AA71" s="118"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5"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IFERROR(__xludf.DUMMYFUNCTION("GOOGLETRANSLATE(B72,""zh-tw"",""KO"")"),"같이 목욕해요")</f>
        <v>같이 목욕해요</v>
      </c>
      <c r="W72" s="104" t="str">
        <f>IFERROR(__xludf.DUMMYFUNCTION("GOOGLETRANSLATE(C72,""zh-tw"",""KO"")"),"호감도가 2보다 큰 경우")</f>
        <v>호감도가 2보다 큰 경우</v>
      </c>
      <c r="X72" s="72" t="str">
        <f>IFERROR(__xludf.DUMMYFUNCTION("GOOGLETRANSLATE(D72,""zh-tw"",""KO"")"),"여동생과 함께 목욕을 할 수 있어요.")</f>
        <v>여동생과 함께 목욕을 할 수 있어요.</v>
      </c>
      <c r="Y72" s="99">
        <v>21.0</v>
      </c>
      <c r="Z72" s="117" t="str">
        <f>IFERROR(__xludf.DUMMYFUNCTION("IF(J72="""", """", GOOGLETRANSLATE(
J72,""en"",""ru""))"),"Давайте купаться вместе")</f>
        <v>Давайте купаться вместе</v>
      </c>
      <c r="AA72" s="118" t="str">
        <f>IFERROR(__xludf.DUMMYFUNCTION("IF(K72="""", """", GOOGLETRANSLATE(K72,""en"",""RU""))"),"Открывается, когда благосклонность достигает уровня 2.")</f>
        <v>Открывается, когда благосклонность достигает уровня 2.</v>
      </c>
      <c r="AB72" s="65" t="str">
        <f>IFERROR(__xludf.DUMMYFUNCTION("IF(L72="""", """", GOOGLETRANSLATE(L72, ""en"", ""ru""))
"),"Позволяет купаться вместе с Имото")</f>
        <v>Позволяет купаться вместе с Имото</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충족되었지만, 언니는 기분이 좋지 않아요.")</f>
        <v>함께 목욕할 조건은 충족되었지만, 언니는 기분이 좋지 않아요.</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IFERROR(__xludf.DUMMYFUNCTION("GOOGLETRANSLATE(B74,""zh-tw"",""KO"")"),"더위에 기절할 것 같아요 -1")</f>
        <v>더위에 기절할 것 같아요 -1</v>
      </c>
      <c r="W74" s="104"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2" t="str">
        <f>IFERROR(__xludf.DUMMYFUNCTION("GOOGLETRANSLATE(D74,""zh-tw"",""KO"")"),"내 여동생은 도망갔어요.")</f>
        <v>내 여동생은 도망갔어요.</v>
      </c>
      <c r="Y74" s="122">
        <v>23.0</v>
      </c>
      <c r="Z74" s="117" t="str">
        <f>IFERROR(__xludf.DUMMYFUNCTION("IF(J74="""", """", GOOGLETRANSLATE(
J74,""en"",""ru""))"),"Почти потерял сознание - 1")</f>
        <v>Почти потерял сознание - 1</v>
      </c>
      <c r="AA74" s="118"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IFERROR(__xludf.DUMMYFUNCTION("GOOGLETRANSLATE(B75,""zh-tw"",""KO"")"),"더위로 기절할 것 같아요 -2")</f>
        <v>더위로 기절할 것 같아요 -2</v>
      </c>
      <c r="W75" s="104"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2" t="str">
        <f>IFERROR(__xludf.DUMMYFUNCTION("GOOGLETRANSLATE(D75,""zh-tw"",""KO"")"),"언니가 더위 때문에 기절했어요.
*이건 일회성 사건이에요.")</f>
        <v>언니가 더위 때문에 기절했어요.
*이건 일회성 사건이에요.</v>
      </c>
      <c r="Y75" s="99">
        <v>24.0</v>
      </c>
      <c r="Z75" s="117" t="str">
        <f>IFERROR(__xludf.DUMMYFUNCTION("IF(J75="""", """", GOOGLETRANSLATE(
J75,""en"",""ru""))"),"Почти потерял сознание - 1")</f>
        <v>Почти потерял сознание - 1</v>
      </c>
      <c r="AA75" s="118"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5" t="str">
        <f>IFERROR(__xludf.DUMMYFUNCTION("IF(L75="""", """", GOOGLETRANSLATE(L75, ""en"", ""ru""))
"),"«Имуто потеряла сознание от жары»
*Разовое событие")</f>
        <v>«Имуто потеряла сознание от жары»
*Разовое событие</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IFERROR(__xludf.DUMMYFUNCTION("GOOGLETRANSLATE(B76,""zh-tw"",""KO"")"),"더위로 기절할 것 같아요 -3")</f>
        <v>더위로 기절할 것 같아요 -3</v>
      </c>
      <c r="W76" s="104" t="str">
        <f>IFERROR(__xludf.DUMMYFUNCTION("GOOGLETRANSLATE(C76,""zh-tw"",""KO"")"),"위와 같이, 두 번째 열사병 단계 전에는 특별한 장면이 재생됩니다.")</f>
        <v>위와 같이, 두 번째 열사병 단계 전에는 특별한 장면이 재생됩니다.</v>
      </c>
      <c r="X76" s="72" t="str">
        <f>IFERROR(__xludf.DUMMYFUNCTION("GOOGLETRANSLATE(D76,""zh-tw"",""KO"")"),"CG 성능")</f>
        <v>CG 성능</v>
      </c>
      <c r="Y76" s="99">
        <v>25.0</v>
      </c>
      <c r="Z76" s="117" t="str">
        <f>IFERROR(__xludf.DUMMYFUNCTION("IF(J76="""", """", GOOGLETRANSLATE(
J76,""en"",""ru""))"),"Почти потерял сознание - 1")</f>
        <v>Почти потерял сознание - 1</v>
      </c>
      <c r="AA76" s="118"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IFERROR(__xludf.DUMMYFUNCTION("GOOGLETRANSLATE(B77,""zh-tw"",""KO"")"),"언니한테 씻는거 도와달라고 부탁해 -1")</f>
        <v>언니한테 씻는거 도와달라고 부탁해 -1</v>
      </c>
      <c r="W77" s="104" t="str">
        <f>IFERROR(__xludf.DUMMYFUNCTION("GOOGLETRANSLATE(C77,""zh-tw"",""KO"")"),"여동생과 함께 목욕을 할 때, 등을 닦는 것을 도와달라고 부탁했습니다.")</f>
        <v>여동생과 함께 목욕을 할 때, 등을 닦는 것을 도와달라고 부탁했습니다.</v>
      </c>
      <c r="X77" s="72"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2">
        <v>26.0</v>
      </c>
      <c r="Z77" s="117" t="str">
        <f>IFERROR(__xludf.DUMMYFUNCTION("IF(J77="""", """", GOOGLETRANSLATE(
J77,""en"",""ru""))"),"Стирка Имото - 1")</f>
        <v>Стирка Имото - 1</v>
      </c>
      <c r="AA77" s="118"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IFERROR(__xludf.DUMMYFUNCTION("GOOGLETRANSLATE(B78,""zh-tw"",""KO"")"),"언니한테 씻는거 도와달라고 부탁해 -2")</f>
        <v>언니한테 씻는거 도와달라고 부탁해 -2</v>
      </c>
      <c r="W78" s="104"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2" t="str">
        <f>IFERROR(__xludf.DUMMYFUNCTION("GOOGLETRANSLATE(D78,""zh-tw"",""KO"")"),"내 여동생은 도와주기를 거부할 거야.")</f>
        <v>내 여동생은 도와주기를 거부할 거야.</v>
      </c>
      <c r="Y78" s="99">
        <v>27.0</v>
      </c>
      <c r="Z78" s="117" t="str">
        <f>IFERROR(__xludf.DUMMYFUNCTION("IF(J78="""", """", GOOGLETRANSLATE(
J78,""en"",""ru""))"),"Стирка Имото - 2")</f>
        <v>Стирка Имото - 2</v>
      </c>
      <c r="AA78" s="118"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5" t="str">
        <f>IFERROR(__xludf.DUMMYFUNCTION("IF(L78="""", """", GOOGLETRANSLATE(L78, ""en"", ""ru""))
"),"Имуту отклонит ваш запрос")</f>
        <v>Имуту отклонит ваш запрос</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IFERROR(__xludf.DUMMYFUNCTION("GOOGLETRANSLATE(B79,""zh-tw"",""KO"")"),"언니한테 씻는 거 도와달라고 부탁해 - 3")</f>
        <v>언니한테 씻는 거 도와달라고 부탁해 - 3</v>
      </c>
      <c r="W79" s="104" t="str">
        <f>IFERROR(__xludf.DUMMYFUNCTION("GOOGLETRANSLATE(C79,""zh-tw"",""KO"")"),"마찬가지로, 보라색 하트가 4개 모이면...")</f>
        <v>마찬가지로, 보라색 하트가 4개 모이면...</v>
      </c>
      <c r="X79" s="72" t="str">
        <f>IFERROR(__xludf.DUMMYFUNCTION("GOOGLETRANSLATE(D79,""zh-tw"",""KO"")"),"플레인 스타킹 씬 퍼포먼스의 첫 번째 부분")</f>
        <v>플레인 스타킹 씬 퍼포먼스의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IFERROR(__xludf.DUMMYFUNCTION("GOOGLETRANSLATE(D80,""zh-tw"",""es-MX"")"),"El segundo segmento de la representación de la escena de las medias.")</f>
        <v>El segundo segmento de la representación de la escena de las medias.</v>
      </c>
      <c r="U80" s="122">
        <v>29.0</v>
      </c>
      <c r="V80" s="103" t="str">
        <f>IFERROR(__xludf.DUMMYFUNCTION("GOOGLETRANSLATE(B80,""zh-tw"",""KO"")"),"언니한테 씻는거 도와달라고 부탁해 -4")</f>
        <v>언니한테 씻는거 도와달라고 부탁해 -4</v>
      </c>
      <c r="W80" s="104" t="str">
        <f>IFERROR(__xludf.DUMMYFUNCTION("GOOGLETRANSLATE(C80,""zh-tw"",""KO"")"),"마찬가지로, 보라색 하트가 5개 모이면...")</f>
        <v>마찬가지로, 보라색 하트가 5개 모이면...</v>
      </c>
      <c r="X80" s="72" t="str">
        <f>IFERROR(__xludf.DUMMYFUNCTION("GOOGLETRANSLATE(D80,""zh-tw"",""KO"")"),"스타킹 신 퍼포먼스의 두 번째 부분")</f>
        <v>스타킹 신 퍼포먼스의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5" t="str">
        <f>IFERROR(__xludf.DUMMYFUNCTION("GOOGLETRANSLATE(D81,""zh-tw"",""KO"")"),"명상을 망상으로 바꾸는 옵션이 활성화됩니다. 선택 후, 망상을 사랑하는 자매의 공연이 펼쳐집니다.")</f>
        <v>명상을 망상으로 바꾸는 옵션이 활성화됩니다. 선택 후, 망상을 사랑하는 자매의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9"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 추가")</f>
        <v>다른 옵션 추가</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 -1")</f>
        <v>zz -1</v>
      </c>
      <c r="W88" s="104"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2"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IFERROR(__xludf.DUMMYFUNCTION("GOOGLETRANSLATE(B91,""zh-tw"",""KO"")"),"더운 날씨에 시원하게 식히기 - 1부")</f>
        <v>더운 날씨에 시원하게 식히기 - 1부</v>
      </c>
      <c r="W91" s="104" t="str">
        <f>IFERROR(__xludf.DUMMYFUNCTION("GOOGLETRANSLATE(C91,""zh-tw"",""KO"")"),"더운 어느 날, 나는 여동생에게 거꾸로 흘러내리는 콜라를 건넸다.")</f>
        <v>더운 어느 날, 나는 여동생에게 거꾸로 흘러내리는 콜라를 건넸다.</v>
      </c>
      <c r="X91" s="72" t="str">
        <f>IFERROR(__xludf.DUMMYFUNCTION("GOOGLETRANSLATE(D91,""zh-tw"",""KO"")"),"특수 애니메이션, 자매 기분 +10, 애정도 +20")</f>
        <v>특수 애니메이션, 자매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IFERROR(__xludf.DUMMYFUNCTION("GOOGLETRANSLATE(B92,""zh-tw"",""KO"")"),"더운 날씨에 시원하게 식히기 - 2부")</f>
        <v>더운 날씨에 시원하게 식히기 - 2부</v>
      </c>
      <c r="W92" s="104"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2" t="str">
        <f>IFERROR(__xludf.DUMMYFUNCTION("GOOGLETRANSLATE(D92,""zh-tw"",""KO"")"),"특별 애니메이션; 여동생의 기분은 항상 20포인트 남습니다.")</f>
        <v>특별 애니메이션; 여동생의 기분은 항상 20포인트 남습니다.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식히기 - 3")</f>
        <v>더운 날씨에 시원하게 식히기 - 3</v>
      </c>
      <c r="W93" s="104" t="str">
        <f>IFERROR(__xludf.DUMMYFUNCTION("GOOGLETRANSLATE(C93,""zh-tw"",""KO"")"),"위와 같이 두 번째 이후에 또 다른 플롯 세그먼트가 시작될 확률은 70%입니다.")</f>
        <v>위와 같이 두 번째 이후에 또 다른 플롯 세그먼트가 시작될 확률은 70%입니다.</v>
      </c>
      <c r="X93" s="72" t="str">
        <f>IFERROR(__xludf.DUMMYFUNCTION("GOOGLETRANSLATE(D93,""zh-tw"",""KO"")"),"특별 애니메이션; 여동생의 기분은 항상 20포인트 남습니다.")</f>
        <v>특별 애니메이션; 여동생의 기분은 항상 20포인트 남습니다.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2"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8">
        <v>4.0</v>
      </c>
      <c r="Z94" s="117" t="str">
        <f>IFERROR(__xludf.DUMMYFUNCTION("IF(J94="""", """", GOOGLETRANSLATE(
J94,""en"",""ru""))"),"Поднимаюсь и смотрю")</f>
        <v>Поднимаюсь и смотрю</v>
      </c>
      <c r="AA94" s="118"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일이에요 -1")</f>
        <v>일찍 집에 가는 것도 좋은 일이에요 -1</v>
      </c>
      <c r="W95" s="104"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2" t="str">
        <f>IFERROR(__xludf.DUMMYFUNCTION("GOOGLETRANSLATE(D95,""zh-tw"",""KO"")"),"내 여동생은 옷을 입고 선풍기를 불고 있었습니다.")</f>
        <v>내 여동생은 옷을 입고 선풍기를 불고 있었습니다.</v>
      </c>
      <c r="Y95" s="138">
        <v>5.0</v>
      </c>
      <c r="Z95" s="117" t="str">
        <f>IFERROR(__xludf.DUMMYFUNCTION("IF(J95="""", """", GOOGLETRANSLATE(
J95,""en"",""ru""))"),"Возвращаюсь домой пораньше - 1")</f>
        <v>Возвращаюсь домой пораньше - 1</v>
      </c>
      <c r="AA95" s="118"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5"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일이에요 - 2")</f>
        <v>일찍 집에 가는 것도 좋은 일이에요 - 2</v>
      </c>
      <c r="W96" s="104" t="str">
        <f>IFERROR(__xludf.DUMMYFUNCTION("GOOGLETRANSLATE(C96,""zh-tw"",""KO"")"),"마찬가지로, 여동생을 엿볼 때도 이런 일이 일어날 가능성이 있습니다...")</f>
        <v>마찬가지로, 여동생을 엿볼 때도 이런 일이 일어날 가능성이 있습니다...</v>
      </c>
      <c r="X96" s="72" t="str">
        <f>IFERROR(__xludf.DUMMYFUNCTION("GOOGLETRANSLATE(D96,""zh-tw"",""KO"")"),"내 여동생은 전기선풍기를 틀면서 속옷도 입지 않았습니다.")</f>
        <v>내 여동생은 전기선풍기를 틀면서 속옷도 입지 않았습니다.</v>
      </c>
      <c r="Y96" s="138">
        <v>6.0</v>
      </c>
      <c r="Z96" s="117" t="str">
        <f>IFERROR(__xludf.DUMMYFUNCTION("IF(J96="""", """", GOOGLETRANSLATE(
J96,""en"",""ru""))"),"Возвращаюсь домой пораньше - 2")</f>
        <v>Возвращаюсь домой пораньше - 2</v>
      </c>
      <c r="AA96" s="118"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5"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일이에요 -3")</f>
        <v>일찍 집에 가는 것도 좋은 일이에요 -3</v>
      </c>
      <c r="W97" s="104"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72" t="str">
        <f>IFERROR(__xludf.DUMMYFUNCTION("GOOGLETRANSLATE(D97,""zh-tw"",""KO"")"),"여동생은 아이스 팝을 사용합니다(아직 구현되지 않음).")</f>
        <v>여동생은 아이스 팝을 사용합니다(아직 구현되지 않음).</v>
      </c>
      <c r="Y97" s="138">
        <v>7.0</v>
      </c>
      <c r="Z97" s="117" t="str">
        <f>IFERROR(__xludf.DUMMYFUNCTION("IF(J97="""", """", GOOGLETRANSLATE(
J97,""en"",""ru""))"),"Возвращаюсь домой пораньше - 3")</f>
        <v>Возвращаюсь домой пораньше - 3</v>
      </c>
      <c r="AA97" s="118"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5" t="str">
        <f>IFERROR(__xludf.DUMMYFUNCTION("IF(L97="""", """", GOOGLETRANSLATE(L97, ""en"", ""ru""))
"),"Имото использует эскимо на себе (пока не реализовано)")</f>
        <v>Имото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일이에요 -4")</f>
        <v>일찍 집에 가는 것도 좋은 일이에요 -4</v>
      </c>
      <c r="W98" s="104" t="str">
        <f>IFERROR(__xludf.DUMMYFUNCTION("GOOGLETRANSLATE(C98,""zh-tw"",""KO"")"),"여동생과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8" s="72" t="str">
        <f>IFERROR(__xludf.DUMMYFUNCTION("GOOGLETRANSLATE(D98,""zh-tw"",""KO"")"),"Naked Clan Sister (아직 구현되지 않음)")</f>
        <v>Naked Clan Sister (아직 구현되지 않음)</v>
      </c>
      <c r="Y98" s="138">
        <v>8.0</v>
      </c>
      <c r="Z98" s="117" t="str">
        <f>IFERROR(__xludf.DUMMYFUNCTION("IF(J98="""", """", GOOGLETRANSLATE(
J98,""en"",""ru""))"),"Возвращаюсь домой пораньше - 4")</f>
        <v>Возвращаюсь домой пораньше - 4</v>
      </c>
      <c r="AA98" s="118"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5" t="str">
        <f>IFERROR(__xludf.DUMMYFUNCTION("IF(L98="""", """", GOOGLETRANSLATE(L98, ""en"", ""ru""))
"),"Имото разденется (пока не реализовано)")</f>
        <v>Имото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9"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5"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9"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IFERROR(__xludf.DUMMYFUNCTION("GOOGLETRANSLATE(C103,""zh-tw"",""KO"")"),"놓쳤다")</f>
        <v>놓쳤다</v>
      </c>
      <c r="X103" s="125" t="str">
        <f>IFERROR(__xludf.DUMMYFUNCTION("GOOGLETRANSLATE(D103,""zh-tw"",""KO"")"),"구현되지 않음")</f>
        <v>구현되지 않음</v>
      </c>
      <c r="Y103" s="138">
        <v>3.0</v>
      </c>
      <c r="Z103" s="127" t="str">
        <f>IFERROR(__xludf.DUMMYFUNCTION("IF(J103="""", """", GOOGLETRANSLATE(J103,""en"",""RU""))"),"Аниме «Волшебная девочка» - 1")</f>
        <v>Аниме «Волшебная девочка»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5" t="str">
        <f>IFERROR(__xludf.DUMMYFUNCTION("GOOGLETRANSLATE(D104,""zh-tw"",""KO"")"),"심야 영업 (22:00~22:30)")</f>
        <v>심야 영업 (22:00~22:30)</v>
      </c>
      <c r="Y104" s="138">
        <v>4.0</v>
      </c>
      <c r="Z104" s="127" t="str">
        <f>IFERROR(__xludf.DUMMYFUNCTION("IF(J104="""", """", GOOGLETRANSLATE(J104,""en"",""RU""))"),"Поздно ночью")</f>
        <v>Поздно ночью</v>
      </c>
      <c r="AA104" s="128" t="str">
        <f>IFERROR(__xludf.DUMMYFUNCTION("IF(K104="""", """", GOOGLETRANSLATE(K104,""en"",""RU""))"),"После того, как вы вылечили Имото, вы теперь можете не спать и заниматься ночными сеансами, например, просмотром видеокассет в гостиной.")</f>
        <v>После того, как вы вылечили Имото, вы теперь можете не спать и заниматься ночными сеансами, например, просмотром видеокассет в гостиной.</v>
      </c>
      <c r="AB104" s="129" t="str">
        <f>IFERROR(__xludf.DUMMYFUNCTION("IF(L104="""", """", GOOGLETRANSLATE(L104, ""en"", ""ru""))
"),"Позволяет вам и Имото не спать до поздней ночи (22:00–22:30)")</f>
        <v>Позволяет вам и Имото не спать до поздней ночи (22:00–22:30)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IFERROR(__xludf.DUMMYFUNCTION("GOOGLETRANSLATE(B105,""zh-tw"",""KO"")"),"무섭죠!")</f>
        <v>무섭죠!</v>
      </c>
      <c r="W105" s="124" t="str">
        <f>IFERROR(__xludf.DUMMYFUNCTION("GOOGLETRANSLATE(C105,""zh-tw"",""KO"")"),"밤늦게 ""공포 영상""을 사용합니다.")</f>
        <v>밤늦게 "공포 영상"을 사용합니다.</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«видеокассету ужасов» поздно ночью")</f>
        <v>Посмотрите «видеокассету ужасов» поздно ночью</v>
      </c>
      <c r="AB105" s="129"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IFERROR(__xludf.DUMMYFUNCTION("GOOGLETRANSLATE(B106,""zh-tw"",""KO"")"),"무섭네요! -1")</f>
        <v>무섭네요! -1</v>
      </c>
      <c r="W106" s="124" t="str">
        <f>IFERROR(__xludf.DUMMYFUNCTION("GOOGLETRANSLATE(C106,""zh-tw"",""KO"")"),"밤늦게 ""공포 비디오테이프""를 시청하고
퍼플 하트 점수가 3점 이상인 경우")</f>
        <v>밤늦게 "공포 비디오테이프"를 시청하고
퍼플 하트 점수가 3점 이상인 경우</v>
      </c>
      <c r="X106" s="125"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9"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5" t="str">
        <f>IFERROR(__xludf.DUMMYFUNCTION("GOOGLETRANSLATE(D107,""zh-tw"",""KO"")"),"구현되지 않음")</f>
        <v>구현되지 않음</v>
      </c>
      <c r="Y107" s="138">
        <v>7.0</v>
      </c>
      <c r="Z107" s="127" t="str">
        <f>IFERROR(__xludf.DUMMYFUNCTION("IF(J107="""", """", GOOGLETRANSLATE(J107,""en"",""RU""))"),"Это стыдно!")</f>
        <v>Это стыдно!</v>
      </c>
      <c r="AA107" s="128"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부끄러워요! -1")</f>
        <v>너무 부끄러워요! -1</v>
      </c>
      <c r="W108" s="124" t="str">
        <f>IFERROR(__xludf.DUMMYFUNCTION("GOOGLETRANSLATE(C108,""zh-tw"",""KO"")"),"밤늦게 ""성인용 비디오테이프""를 사용했으며
호감도가 ?보다 높고, 퍼플 하트 등급이 ?보다 높습니다.")</f>
        <v>밤늦게 "성인용 비디오테이프"를 사용했으며
호감도가 ?보다 높고, 퍼플 하트 등급이 ?보다 높습니다.</v>
      </c>
      <c r="X108" s="125" t="str">
        <f>IFERROR(__xludf.DUMMYFUNCTION("GOOGLETRANSLATE(D108,""zh-tw"",""KO"")"),"구현되지 않음")</f>
        <v>구현되지 않음</v>
      </c>
      <c r="Y108" s="138">
        <v>8.0</v>
      </c>
      <c r="Z108" s="127" t="str">
        <f>IFERROR(__xludf.DUMMYFUNCTION("IF(J108="""", """", GOOGLETRANSLATE(J108,""en"",""RU""))"),"Это стыдно! - 1")</f>
        <v>Это стыдно! - 1</v>
      </c>
      <c r="AA108" s="128"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IFERROR(__xludf.DUMMYFUNCTION("GOOGLETRANSLATE(C111,""zh-tw"",""KO"")"),"야간 습격 관련 옵션")</f>
        <v>야간 습격 관련 옵션</v>
      </c>
      <c r="X111" s="72"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8">
        <v>1.0</v>
      </c>
      <c r="Z111" s="117" t="str">
        <f>IFERROR(__xludf.DUMMYFUNCTION("IF(J111="""", """", GOOGLETRANSLATE(
J111,""en"",""ru""))"),"Сокрытие дыхания-3")</f>
        <v>Сокрытие дыхания-3</v>
      </c>
      <c r="AA111" s="118" t="str">
        <f>IFERROR(__xludf.DUMMYFUNCTION("IF(K111="""", """", GOOGLETRANSLATE(K111,""en"",""RU""))"),"Новая опция будет доступна во время ночных рейдов.")</f>
        <v>Новая опция будет доступна во время ночных рейдов.</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IFERROR(__xludf.DUMMYFUNCTION("GOOGLETRANSLATE(B3,""zh-tw"",""ru"")"),"РПГ-событие")</f>
        <v>РПГ-событие</v>
      </c>
      <c r="AA3" s="156" t="str">
        <f>IFERROR(__xludf.DUMMYFUNCTION("GOOGLETRANSLATE(C3,""zh-tw"",""RU"")"),"проиллюстрировать")</f>
        <v>проиллюстрировать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거리에서는 시작지점에서 내려가는 것이 일찍 집에 가는 길입니다.")</f>
        <v>모험가의 거리에서는 시작지점에서 내려가는 것이 일찍 집에 가는 길입니다.</v>
      </c>
      <c r="X4" s="70" t="s">
        <v>2379</v>
      </c>
      <c r="Y4" s="162" t="str">
        <f>IFERROR(__xludf.DUMMYFUNCTION("GOOGLETRANSLATE(E4,""zh-tw"",""en"")"),"R1")</f>
        <v>R1</v>
      </c>
      <c r="Z4" s="119" t="str">
        <f>IFERROR(__xludf.DUMMYFUNCTION("GOOGLETRANSLATE(B4,""zh-tw"",""ru"")"),"Иди домой пораньше")</f>
        <v>Иди домой пораньше</v>
      </c>
      <c r="AA4" s="163"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5"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Flash Step Katana")</f>
        <v>Habilidad aprendida: Flash Step Katana</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IFERROR(__xludf.DUMMYFUNCTION("GOOGLETRANSLATE(B5,""zh-tw"",""ru"")"),"Меч-флеш-шаг")</f>
        <v>Меч-флеш-шаг</v>
      </c>
      <c r="AA5" s="163"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5" t="str">
        <f>IFERROR(__xludf.DUMMYFUNCTION("GOOGLETRANSLATE(D5,""zh-tw"",""RU"")"),"Изученный навык: Молниеносный шаг катаны")</f>
        <v>Изученный навык: Молниеносный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72"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2" t="str">
        <f>IFERROR(__xludf.DUMMYFUNCTION("GOOGLETRANSLATE(E6,""zh-tw"",""en"")"),"R3")</f>
        <v>R3</v>
      </c>
      <c r="Z6" s="119" t="str">
        <f>IFERROR(__xludf.DUMMYFUNCTION("GOOGLETRANSLATE(B6,""zh-tw"",""ru"")"),"Обучение фехтованию")</f>
        <v>Обучение фехтованию</v>
      </c>
      <c r="AA6" s="163"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5"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el tutorial?")</f>
        <v>¿Dónde puedo encontrar el tutorial?</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IFERROR(__xludf.DUMMYFUNCTION("GOOGLETRANSLATE(B7,""zh-tw"",""KO"")"),"연습문제는 어디서 볼 수 있나요?")</f>
        <v>연습문제는 어디서 볼 수 있나요?</v>
      </c>
      <c r="W7" s="104"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2" t="str">
        <f>IFERROR(__xludf.DUMMYFUNCTION("GOOGLETRANSLATE(D7,""zh-tw"",""KO"")"),"획득 아이템: 모험가의 통찰력
*추가 스토리는 추후 업데이트됩니다.")</f>
        <v>획득 아이템: 모험가의 통찰력
*추가 스토리는 추후 업데이트됩니다.</v>
      </c>
      <c r="Y7" s="162" t="str">
        <f>IFERROR(__xludf.DUMMYFUNCTION("GOOGLETRANSLATE(E7,""zh-tw"",""en"")"),"R4")</f>
        <v>R4</v>
      </c>
      <c r="Z7" s="119" t="str">
        <f>IFERROR(__xludf.DUMMYFUNCTION("GOOGLETRANSLATE(B7,""zh-tw"",""ru"")"),"Где я могу найти пошаговое руководство?")</f>
        <v>Где я могу найти пошаговое руководство?</v>
      </c>
      <c r="AA7" s="163"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5"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 부활")</f>
        <v>음료 자판기 부활</v>
      </c>
      <c r="W8" s="104"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3" t="str">
        <f>IFERROR(__xludf.DUMMYFUNCTION("GOOGLETRANSLATE(D8,""zh-tw"",""KO"")"),"-")</f>
        <v>-</v>
      </c>
      <c r="Y8" s="162" t="str">
        <f>IFERROR(__xludf.DUMMYFUNCTION("GOOGLETRANSLATE(E8,""zh-tw"",""en"")"),"R5")</f>
        <v>R5</v>
      </c>
      <c r="Z8" s="119" t="str">
        <f>IFERROR(__xludf.DUMMYFUNCTION("GOOGLETRANSLATE(B8,""zh-tw"",""ru"")"),"Возрождение автомата по продаже напитков")</f>
        <v>Возрождение автомата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2" t="str">
        <f>IFERROR(__xludf.DUMMYFUNCTION("GOOGLETRANSLATE(D9,""zh-tw"",""KO"")"),"획득 아이템: 마법 젤
백팩 슬롯 확장에 사용")</f>
        <v>획득 아이템: 마법 젤
백팩 슬롯 확장에 사용</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5"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5"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2"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5"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72" t="str">
        <f>IFERROR(__xludf.DUMMYFUNCTION("GOOGLETRANSLATE(D12,""zh-tw"",""KO"")"),"""고무 오리"" 아이템을 얻으세요. 욕조 안에 넣을 수 있습니다.")</f>
        <v>"고무 오리" 아이템을 얻으세요. 욕조 안에 넣을 수 있습니다.</v>
      </c>
      <c r="Y12" s="162" t="str">
        <f>IFERROR(__xludf.DUMMYFUNCTION("GOOGLETRANSLATE(E12,""zh-tw"",""en"")"),"R9")</f>
        <v>R9</v>
      </c>
      <c r="Z12" s="119" t="str">
        <f>IFERROR(__xludf.DUMMYFUNCTION("GOOGLETRANSLATE(B12,""zh-tw"",""ru"")"),"утка")</f>
        <v>утка</v>
      </c>
      <c r="AA12" s="163"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5"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 연결")</f>
        <v>유적지 입구 연결</v>
      </c>
      <c r="W13" s="104" t="str">
        <f>IFERROR(__xludf.DUMMYFUNCTION("GOOGLETRANSLATE(C13,""zh-tw"",""KO"")"),"폐허 숲 - 4 맵 중앙의 바위가 제거되었습니다.")</f>
        <v>폐허 숲 - 4 맵 중앙의 바위가 제거되었습니다.</v>
      </c>
      <c r="X13" s="72" t="str">
        <f>IFERROR(__xludf.DUMMYFUNCTION("GOOGLETRANSLATE(D13,""zh-tw"",""KO"")"),"유적지 지도 링크
관찰")</f>
        <v>유적지 지도 링크
관찰</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были расчищены.")</f>
        <v>Камни в центре карты «Лес руин - 4» были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2"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5"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하단에 숨겨진 아이템입니다.")</f>
        <v>모험가의 길: 숲의 오른쪽 하단에 숨겨진 아이템입니다.</v>
      </c>
      <c r="X15" s="72" t="str">
        <f>IFERROR(__xludf.DUMMYFUNCTION("GOOGLETRANSLATE(D15,""zh-tw"",""KO"")"),"아이템 획득")</f>
        <v>아이템 획득</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IFERROR(__xludf.DUMMYFUNCTION("GOOGLETRANSLATE(C16,""zh-tw"",""KO"")"),"모험가의 길: 모임 장소, 왼쪽 상단 모서리에 보물 상자가 있습니다.")</f>
        <v>모험가의 길: 모임 장소, 왼쪽 상단 모서리에 보물 상자가 있습니다.</v>
      </c>
      <c r="X16" s="72" t="str">
        <f>IFERROR(__xludf.DUMMYFUNCTION("GOOGLETRANSLATE(D16,""zh-tw"",""KO"")"),"무기 획득 - 치도리, 스페셜 노트 스토리라인")</f>
        <v>무기 획득 - 치도리, 스페셜 노트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5"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기념물 뒤에는 숨겨진 아이템이 있습니다.")</f>
        <v>모험가의 길: 아래 기념물 뒤에는 숨겨진 아이템이 있습니다.</v>
      </c>
      <c r="X17" s="72" t="str">
        <f>IFERROR(__xludf.DUMMYFUNCTION("GOOGLETRANSLATE(D17,""zh-tw"",""KO"")"),"아이템과 무기 획득 - 라바 스태프")</f>
        <v>아이템과 무기 획득 - 라바 스태프</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하단에 있는 숲에 숨겨진 아이템이 있습니다.")</f>
        <v>"유적의 숲-4"의 오른쪽 하단에 있는 숲에 숨겨진 아이템이 있습니다.</v>
      </c>
      <c r="X18" s="72" t="str">
        <f>IFERROR(__xludf.DUMMYFUNCTION("GOOGLETRANSLATE(D18,""zh-tw"",""KO"")"),"아이템 획득")</f>
        <v>아이템 획득</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правом нижнем углу леса «Руины леса-4» спрятан предмет.")</f>
        <v>В правом нижнем углу леса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2" t="str">
        <f>IFERROR(__xludf.DUMMYFUNCTION("GOOGLETRANSLATE(D20,""zh-tw"",""KO"")"),"장비 획득 - 교수형 남자 뼈 반지")</f>
        <v>장비 획득 - 교수형 남자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65" t="str">
        <f>IFERROR(__xludf.DUMMYFUNCTION("GOOGLETRANSLATE(D20,""zh-tw"",""RU"")"),"Получить снаряжение – Кольцо из костей повешенного")</f>
        <v>Получить снаряжение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왼쪽의 무덤을 파괴하면 숨겨진 통로가 드러납니다.")</f>
        <v>잊혀진 무덤에서 왼쪽의 무덤을 파괴하면 숨겨진 통로가 드러납니다.</v>
      </c>
      <c r="X21" s="72"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5"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드러납니다.")</f>
        <v>잊혀진 무덤에서 오른쪽에 있는 돌판을 부수면 숨겨진 통로가 드러납니다.</v>
      </c>
      <c r="X22" s="72" t="str">
        <f>IFERROR(__xludf.DUMMYFUNCTION("GOOGLETRANSLATE(D22,""zh-tw"",""KO"")"),"숨겨진 지도 안에서는 보물상자와 숨겨진 빛나는 장소를 찾을 수 있습니다.")</f>
        <v>숨겨진 지도 안에서는 보물상자와 숨겨진 빛나는 장소를 찾을 수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5"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72" t="str">
        <f>IFERROR(__xludf.DUMMYFUNCTION("GOOGLETRANSLATE(D23,""zh-tw"",""KO"")"),"""교수형에 처해진 남자의 뼈 반지"" 장비를 획득하세요.")</f>
        <v>"교수형에 처해진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5" t="str">
        <f>IFERROR(__xludf.DUMMYFUNCTION("GOOGLETRANSLATE(D23,""zh-tw"",""RU"")"),"Получите снаряжение «Кольцо из костей повешенного».")</f>
        <v>Получите снаряжение «Кольцо из костей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메크")</f>
        <v>숨겨진 통로 10 메크</v>
      </c>
      <c r="W24" s="104"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2"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5"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5"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IFERROR(__xludf.DUMMYFUNCTION("GOOGLETRANSLATE(B26,""zh-tw"",""KO"")"),"구멍에 빠지다")</f>
        <v>구멍에 빠지다</v>
      </c>
      <c r="W26" s="104" t="str">
        <f>IFERROR(__xludf.DUMMYFUNCTION("GOOGLETRANSLATE(C26,""zh-tw"",""KO"")"),"개발 지역(광산) - 광산 지도에 들어가게 됩니다.")</f>
        <v>개발 지역(광산) - 광산 지도에 들어가게 됩니다.</v>
      </c>
      <c r="X26" s="72" t="str">
        <f>IFERROR(__xludf.DUMMYFUNCTION("GOOGLETRANSLATE(D26,""zh-tw"",""KO"")"),"내가 본 것: 나는 동굴에 빠졌다")</f>
        <v>내가 본 것: 나는 동굴에 빠졌다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구역(광산)-1에는 계단 중앙에 보물상자가 있습니다.")</f>
        <v>개발 구역(광산)-1에는 계단 중앙에 보물상자가 있습니다.</v>
      </c>
      <c r="X27" s="72" t="str">
        <f>IFERROR(__xludf.DUMMYFUNCTION("GOOGLETRANSLATE(D27,""zh-tw"",""KO"")"),"획득 아이템 : 마법 젤 x10 (비오는 날 상쾌하게)")</f>
        <v>획득 아이템 : 마법 젤 x10 (비오는 날 상쾌하게)</v>
      </c>
      <c r="Y27" s="162" t="str">
        <f>IFERROR(__xludf.DUMMYFUNCTION("GOOGLETRANSLATE(E27,""zh-tw"",""en"")"),"R24")</f>
        <v>R24</v>
      </c>
      <c r="Z27" s="119" t="str">
        <f>IFERROR(__xludf.DUMMYFUNCTION("GOOGLETRANSLATE(B27,""zh-tw"",""ru"")"),"Мой сундук с сокровищами")</f>
        <v>Мой сундук с сокровищами</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2"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5"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가운데에 있는 달걀 근처의 보물 상자.")</f>
        <v>잊혀진 무덤-1, 가운데에 있는 달걀 근처의 보물 상자.</v>
      </c>
      <c r="X30" s="72" t="str">
        <f>IFERROR(__xludf.DUMMYFUNCTION("GOOGLETRANSLATE(D30,""zh-tw"",""KO"")"),"무기 획득 - 쉐젠")</f>
        <v>무기 획득 - 쉐젠</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IFERROR(__xludf.DUMMYFUNCTION("GOOGLETRANSLATE(B31,""zh-tw"",""KO"")"),"다운로드")</f>
        <v>다운로드</v>
      </c>
      <c r="W31" s="104"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2" t="str">
        <f>IFERROR(__xludf.DUMMYFUNCTION("GOOGLETRANSLATE(D31,""zh-tw"",""KO"")"),"섀도우 소울 - DLC")</f>
        <v>섀도우 소울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72"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5"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2" t="str">
        <f>IFERROR(__xludf.DUMMYFUNCTION("GOOGLETRANSLATE(D33,""zh-tw"",""KO"")"),"남아 있는 편지의 내용
(이후 시행되지 않음)")</f>
        <v>남아 있는 편지의 내용
(이후 시행되지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2"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5"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IFERROR(__xludf.DUMMYFUNCTION("GOOGLETRANSLATE(C35,""zh-tw"",""KO"")"),"위와 같이 티셔츠가 있으면 스토리라인이 분기화됩니다.")</f>
        <v>위와 같이 티셔츠가 있으면 스토리라인이 분기화됩니다.</v>
      </c>
      <c r="X35" s="72"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5"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전기 선풍기")</f>
        <v>더운 날씨 3. 전기 선풍기</v>
      </c>
      <c r="W36" s="104"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2" t="str">
        <f>IFERROR(__xludf.DUMMYFUNCTION("GOOGLETRANSLATE(D36,""zh-tw"",""KO"")"),"선풍기를 구하세요. 더운 날씨에 대한 이야기입니다.")</f>
        <v>선풍기를 구하세요. 더운 날씨에 대한 이야기입니다.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5"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파이퍼가 아니야~")</f>
        <v>나는 하멤의 파이퍼가 아니야~</v>
      </c>
      <c r="W37" s="124"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5"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2" t="s">
        <v>3003</v>
      </c>
      <c r="Z37" s="127" t="str">
        <f>IFERROR(__xludf.DUMMYFUNCTION("IF(J37="""", """", GOOGLETRANSLATE(J37,""en"",""RU""))"),"Я не Крысолов")</f>
        <v>Я не Крысолов</v>
      </c>
      <c r="AA37" s="128"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9"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샵")</f>
        <v>미스터리 샵</v>
      </c>
      <c r="W38" s="104"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2" t="str">
        <f>IFERROR(__xludf.DUMMYFUNCTION("GOOGLETRANSLATE(D38,""zh-tw"",""KO"")"),"상점을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5"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샵 - 1")</f>
        <v>미스터리 샵 - 1</v>
      </c>
      <c r="W39" s="104"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2"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2" t="str">
        <f>IFERROR(__xludf.DUMMYFUNCTION("GOOGLETRANSLATE(E39,""zh-tw"",""en"")"),"R36")</f>
        <v>R36</v>
      </c>
      <c r="Z39" s="119" t="str">
        <f>IFERROR(__xludf.DUMMYFUNCTION("GOOGLETRANSLATE(B39,""zh-tw"",""ru"")"),"Тайный магазин - 1")</f>
        <v>Тайный магазин - 1</v>
      </c>
      <c r="AA39" s="163"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5"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샵 - 2")</f>
        <v>미스터리 샵 - 2</v>
      </c>
      <c r="W40" s="104" t="str">
        <f>IFERROR(__xludf.DUMMYFUNCTION("GOOGLETRANSLATE(C40,""zh-tw"",""KO"")"),"신비한 상점의 주인과 대화하여 ""연어""를 주세요.")</f>
        <v>신비한 상점의 주인과 대화하여 "연어"를 주세요.</v>
      </c>
      <c r="X40" s="72" t="str">
        <f>IFERROR(__xludf.DUMMYFUNCTION("GOOGLETRANSLATE(D40,""zh-tw"",""KO"")"),"사탕 기계 가격 $50 인하
*사탕 기계 최저가는 $500입니다.")</f>
        <v>사탕 기계 가격 $50 인하
*사탕 기계 최저가는 $500입니다.</v>
      </c>
      <c r="Y40" s="162" t="str">
        <f>IFERROR(__xludf.DUMMYFUNCTION("GOOGLETRANSLATE(E40,""zh-tw"",""en"")"),"R37")</f>
        <v>R37</v>
      </c>
      <c r="Z40" s="119" t="str">
        <f>IFERROR(__xludf.DUMMYFUNCTION("GOOGLETRANSLATE(B40,""zh-tw"",""ru"")"),"Тайный магазин - 2")</f>
        <v>Тайный магазин - 2</v>
      </c>
      <c r="AA40" s="163"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5"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샵 - 3")</f>
        <v>미스터리 샵 - 3</v>
      </c>
      <c r="W41" s="104" t="str">
        <f>IFERROR(__xludf.DUMMYFUNCTION("GOOGLETRANSLATE(C41,""zh-tw"",""KO"")"),"신비한 상점의 주인과 대화하여 ""킹 연어""를 주세요.")</f>
        <v>신비한 상점의 주인과 대화하여 "킹 연어"를 주세요.</v>
      </c>
      <c r="X41" s="72"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2" t="str">
        <f>IFERROR(__xludf.DUMMYFUNCTION("GOOGLETRANSLATE(E41,""zh-tw"",""en"")"),"R38")</f>
        <v>R38</v>
      </c>
      <c r="Z41" s="119" t="str">
        <f>IFERROR(__xludf.DUMMYFUNCTION("GOOGLETRANSLATE(B41,""zh-tw"",""ru"")"),"Тайный магазин - 3")</f>
        <v>Тайный магазин - 3</v>
      </c>
      <c r="AA41" s="163"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5"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comerciante de la Tienda Misteriosa y ""no le des"" el salmón.")</f>
        <v>Habla con el comerciante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샵 - 4")</f>
        <v>미스터리 샵 - 4</v>
      </c>
      <c r="W42" s="104" t="str">
        <f>IFERROR(__xludf.DUMMYFUNCTION("GOOGLETRANSLATE(C42,""zh-tw"",""KO"")"),"신비한 상점 주인과 이야기를 나누고 연어를 ""주지 마세요"".")</f>
        <v>신비한 상점 주인과 이야기를 나누고 연어를 "주지 마세요".</v>
      </c>
      <c r="X42" s="72"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2" t="str">
        <f>IFERROR(__xludf.DUMMYFUNCTION("GOOGLETRANSLATE(E42,""zh-tw"",""en"")"),"R39")</f>
        <v>R39</v>
      </c>
      <c r="Z42" s="119" t="str">
        <f>IFERROR(__xludf.DUMMYFUNCTION("GOOGLETRANSLATE(B42,""zh-tw"",""ru"")"),"Тайный магазин - 4")</f>
        <v>Тайный магазин - 4</v>
      </c>
      <c r="AA42" s="163"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5"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샵 - 5")</f>
        <v>미스터리 샵 - 5</v>
      </c>
      <c r="W43" s="104" t="str">
        <f>IFERROR(__xludf.DUMMYFUNCTION("GOOGLETRANSLATE(C43,""zh-tw"",""KO"")"),"이전 항목에 이어서, 이것을 왕연어에게 주면 저주가 풀릴 수 있습니다.")</f>
        <v>이전 항목에 이어서, 이것을 왕연어에게 주면 저주가 풀릴 수 있습니다.</v>
      </c>
      <c r="X43" s="72" t="str">
        <f>IFERROR(__xludf.DUMMYFUNCTION("GOOGLETRANSLATE(D43,""zh-tw"",""KO"")"),"저주를 제거하다")</f>
        <v>저주를 제거하다</v>
      </c>
      <c r="Y43" s="162" t="str">
        <f>IFERROR(__xludf.DUMMYFUNCTION("GOOGLETRANSLATE(E43,""zh-tw"",""en"")"),"R40")</f>
        <v>R40</v>
      </c>
      <c r="Z43" s="119" t="str">
        <f>IFERROR(__xludf.DUMMYFUNCTION("GOOGLETRANSLATE(B43,""zh-tw"",""ru"")"),"Тайный магазин - 5")</f>
        <v>Тайный магазин - 5</v>
      </c>
      <c r="AA43" s="163"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5" t="str">
        <f>IFERROR(__xludf.DUMMYFUNCTION("GOOGLETRANSLATE(D43,""zh-tw"",""RU"")"),"Снять проклятие")</f>
        <v>Снять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샵 - 6")</f>
        <v>미스터리 샵 - 6</v>
      </c>
      <c r="W44" s="104"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2" t="str">
        <f>IFERROR(__xludf.DUMMYFUNCTION("GOOGLETRANSLATE(D44,""zh-tw"",""KO"")"),"구매하시면 ""매우 민감하고 부드럽고 쫄깃한 찐빵"" 상품을 받으실 수 있습니다.")</f>
        <v>구매하시면 "매우 민감하고 부드럽고 쫄깃한 찐빵" 상품을 받으실 수 있습니다.</v>
      </c>
      <c r="Y44" s="174" t="s">
        <v>3141</v>
      </c>
      <c r="Z44" s="119" t="str">
        <f>IFERROR(__xludf.DUMMYFUNCTION("GOOGLETRANSLATE(B44,""zh-tw"",""ru"")"),"Тайный магазин - 6")</f>
        <v>Тайный магазин - 6</v>
      </c>
      <c r="AA44" s="163"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5"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IFERROR(__xludf.DUMMYFUNCTION("GOOGLETRANSLATE(B45,""zh-tw"",""KO"")"),"어비스 보스")</f>
        <v>어비스 보스</v>
      </c>
      <c r="W45" s="104" t="str">
        <f>IFERROR(__xludf.DUMMYFUNCTION("GOOGLETRANSLATE(C45,""zh-tw"",""KO"")"),"잊혀진 무덤 - 2: 유적 보스를 물리치는 방법")</f>
        <v>잊혀진 무덤 - 2: 유적 보스를 물리치는 방법</v>
      </c>
      <c r="X45" s="72"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2" t="str">
        <f>IFERROR(__xludf.DUMMYFUNCTION("GOOGLETRANSLATE(D46,""zh-tw"",""KO"")"),"""붉은 골수액"" 아이템 획득")</f>
        <v>"붉은 골수액" 아이템 획득</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5" t="str">
        <f>IFERROR(__xludf.DUMMYFUNCTION("GOOGLETRANSLATE(D46,""zh-tw"",""RU"")"),"Получите предмет «Красная костномозговая жидкость».")</f>
        <v>Получите предмет «Красная костномозговая жидкость».</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그 아이템을 마셔서 상태 효과를 얻을 수 있습니다.")</f>
        <v>형은 그 아이템을 마셔서 상태 효과를 얻을 수 있습니다.</v>
      </c>
      <c r="X47" s="72" t="str">
        <f>IFERROR(__xludf.DUMMYFUNCTION("GOOGLETRANSLATE(D47,""zh-tw"",""KO"")"),"상태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5"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속죄하세요")</f>
        <v>당신의 죄를 속죄하세요</v>
      </c>
      <c r="W48" s="104"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2" t="str">
        <f>IFERROR(__xludf.DUMMYFUNCTION("GOOGLETRANSLATE(D48,""zh-tw"",""KO"")"),"새로운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8" s="162" t="str">
        <f>IFERROR(__xludf.DUMMYFUNCTION("GOOGLETRANSLATE(E48,""zh-tw"",""en"")"),"R45")</f>
        <v>R45</v>
      </c>
      <c r="Z48" s="119" t="str">
        <f>IFERROR(__xludf.DUMMYFUNCTION("GOOGLETRANSLATE(B48,""zh-tw"",""ru"")"),"Искупи свои грехи")</f>
        <v>Искупи свои грехи</v>
      </c>
      <c r="AA48" s="163"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5" t="str">
        <f>IFERROR(__xludf.DUMMYFUNCTION("GOOGLETRANSLATE(D48,""zh-tw"",""RU"")"),"Новая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 석상 뒤")</f>
        <v>교회 NPC 뒤, 석상 뒤</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в церкви - 1")</f>
        <v>Скрытый предмет в церкви - 1</v>
      </c>
      <c r="AA49" s="163" t="str">
        <f>IFERROR(__xludf.DUMMYFUNCTION("GOOGLETRANSLATE(C49,""zh-tw"",""RU"")"),"За церковным NPC, за каменной статуей")</f>
        <v>За церковным NPC, за каменной статуей</v>
      </c>
      <c r="AB49" s="65" t="str">
        <f>IFERROR(__xludf.DUMMYFUNCTION("GOOGLETRANSLATE(D49,""zh-tw"",""RU"")"),"Снаряжение: Святая Дева Милосердия")</f>
        <v>Снаряжение: Святая Дева Милосердия</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IFERROR(__xludf.DUMMYFUNCTION("GOOGLETRANSLATE(B50,""zh-tw"",""es-MX"")"),"Camión de tienda-1")</f>
        <v>Camión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트럭-1")</f>
        <v>샵 트럭-1</v>
      </c>
      <c r="W50" s="104" t="str">
        <f>IFERROR(__xludf.DUMMYFUNCTION("GOOGLETRANSLATE(C50,""zh-tw"",""KO"")"),"타로 카드 ""전차""를 사용해 소환하세요. *하루에 한 번만 소환할 수 있습니다.")</f>
        <v>타로 카드 "전차"를 사용해 소환하세요. *하루에 한 번만 소환할 수 있습니다.</v>
      </c>
      <c r="X50" s="72"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2" t="str">
        <f>IFERROR(__xludf.DUMMYFUNCTION("GOOGLETRANSLATE(E50,""zh-tw"",""en"")"),"R47")</f>
        <v>R47</v>
      </c>
      <c r="Z50" s="119" t="str">
        <f>IFERROR(__xludf.DUMMYFUNCTION("GOOGLETRANSLATE(B50,""zh-tw"",""ru"")"),"Магазин Грузовик-1")</f>
        <v>Магазин Грузовик-1</v>
      </c>
      <c r="AA50" s="163"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5"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IFERROR(__xludf.DUMMYFUNCTION("GOOGLETRANSLATE(B51,""zh-tw"",""KO"")"),"트럭 2호점")</f>
        <v>트럭 2호점</v>
      </c>
      <c r="W51" s="104" t="str">
        <f>IFERROR(__xludf.DUMMYFUNCTION("GOOGLETRANSLATE(C51,""zh-tw"",""KO"")"),"쇼핑 카트에서 물건을 훔치다")</f>
        <v>쇼핑 카트에서 물건을 훔치다</v>
      </c>
      <c r="X51" s="72"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2" t="str">
        <f>IFERROR(__xludf.DUMMYFUNCTION("GOOGLETRANSLATE(E51,""zh-tw"",""en"")"),"R48")</f>
        <v>R48</v>
      </c>
      <c r="Z51" s="119" t="str">
        <f>IFERROR(__xludf.DUMMYFUNCTION("GOOGLETRANSLATE(B51,""zh-tw"",""ru"")"),"Магазин Грузовик-2")</f>
        <v>Магазин Грузовик-2</v>
      </c>
      <c r="AA51" s="163" t="str">
        <f>IFERROR(__xludf.DUMMYFUNCTION("GOOGLETRANSLATE(C51,""zh-tw"",""RU"")"),"Кража товаров из корзины покупок")</f>
        <v>Кража товаров из корзины покупок</v>
      </c>
      <c r="AB51" s="65"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IFERROR(__xludf.DUMMYFUNCTION("GOOGLETRANSLATE(B52,""zh-tw"",""KO"")"),"트럭 3호점")</f>
        <v>트럭 3호점</v>
      </c>
      <c r="W52" s="104" t="str">
        <f>IFERROR(__xludf.DUMMYFUNCTION("GOOGLETRANSLATE(C52,""zh-tw"",""KO"")"),"매장 카트의 고정 품목 중 하나")</f>
        <v>매장 카트의 고정 품목 중 하나</v>
      </c>
      <c r="X52" s="72"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62" t="str">
        <f>IFERROR(__xludf.DUMMYFUNCTION("GOOGLETRANSLATE(E52,""zh-tw"",""en"")"),"R49")</f>
        <v>R49</v>
      </c>
      <c r="Z52" s="119" t="str">
        <f>IFERROR(__xludf.DUMMYFUNCTION("GOOGLETRANSLATE(B52,""zh-tw"",""ru"")"),"Магазин Грузовик-3")</f>
        <v>Магазин Грузовик-3</v>
      </c>
      <c r="AA52" s="163" t="str">
        <f>IFERROR(__xludf.DUMMYFUNCTION("GOOGLETRANSLATE(C52,""zh-tw"",""RU"")"),"Один из фиксированных товаров в корзине магазина")</f>
        <v>Один из фиксированных товаров в корзине магазина</v>
      </c>
      <c r="AB52" s="65"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 카-4")</f>
        <v>샵 카-4</v>
      </c>
      <c r="W53" s="104" t="str">
        <f>IFERROR(__xludf.DUMMYFUNCTION("GOOGLETRANSLATE(C53,""zh-tw"",""KO"")"),"매장 카트의 고정 품목 중 하나")</f>
        <v>매장 카트의 고정 품목 중 하나</v>
      </c>
      <c r="X53" s="72"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фиксированных товаров в корзине магазина")</f>
        <v>Один из фиксированных товаров в корзине магазина</v>
      </c>
      <c r="AB53" s="65"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IFERROR(__xludf.DUMMYFUNCTION("GOOGLETRANSLATE(B54,""zh-tw"",""KO"")"),"트럭 5호점")</f>
        <v>트럭 5호점</v>
      </c>
      <c r="W54" s="104"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 Truck-5")</f>
        <v>Магазин Truck-5</v>
      </c>
      <c r="AA54" s="163"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2"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5"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2"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2" t="str">
        <f>IFERROR(__xludf.DUMMYFUNCTION("GOOGLETRANSLATE(E57,""zh-tw"",""en"")"),"R54")</f>
        <v>R54</v>
      </c>
      <c r="Z57" s="119" t="str">
        <f>IFERROR(__xludf.DUMMYFUNCTION("GOOGLETRANSLATE(B57,""zh-tw"",""ru"")"),"Ниндзюцу-2")</f>
        <v>Ниндзюцу-2</v>
      </c>
      <c r="AA57" s="163"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5"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뜨거운 용암대")</f>
        <v>다자오 뜨거운 용암대</v>
      </c>
      <c r="W58" s="104"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72"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2" t="str">
        <f>IFERROR(__xludf.DUMMYFUNCTION("GOOGLETRANSLATE(E58,""zh-tw"",""en"")"),"R55")</f>
        <v>R55</v>
      </c>
      <c r="Z58" s="119" t="str">
        <f>IFERROR(__xludf.DUMMYFUNCTION("GOOGLETRANSLATE(B58,""zh-tw"",""ru"")"),"Пояс горячей лавы Дацзяо")</f>
        <v>Пояс горячей лавы Дацзяо</v>
      </c>
      <c r="AA58" s="163"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65"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비슷하게, 알려지지 않은 생물이 등장했습니다.")</f>
        <v>R16과 비슷하게, 알려지지 않은 생물이 등장했습니다.</v>
      </c>
      <c r="X59" s="72" t="str">
        <f>IFERROR(__xludf.DUMMYFUNCTION("GOOGLETRANSLATE(D59,""zh-tw"",""KO"")"),"BOSS 비틀의 초기 설정은 현재 효과가 없습니다.")</f>
        <v>BOSS 비틀의 초기 설정은 현재 효과가 없습니다.</v>
      </c>
      <c r="Y59" s="162" t="str">
        <f>IFERROR(__xludf.DUMMYFUNCTION("GOOGLETRANSLATE(E59,""zh-tw"",""en"")"),"R56")</f>
        <v>R56</v>
      </c>
      <c r="Z59" s="119" t="str">
        <f>IFERROR(__xludf.DUMMYFUNCTION("GOOGLETRANSLATE(B59,""zh-tw"",""ru"")"),"жук")</f>
        <v>жук</v>
      </c>
      <c r="AA59" s="163" t="str">
        <f>IFERROR(__xludf.DUMMYFUNCTION("GOOGLETRANSLATE(C59,""zh-tw"",""RU"")"),"Подобно R16, появилось неизвестное существо.")</f>
        <v>Подобно R16, появилось неизвестное существо.</v>
      </c>
      <c r="AB59" s="65"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IFERROR(__xludf.DUMMYFUNCTION("GOOGLETRANSLATE(B60,""zh-tw"",""KO"")"),"트럭 6호점")</f>
        <v>트럭 6호점</v>
      </c>
      <c r="W60" s="104" t="str">
        <f>IFERROR(__xludf.DUMMYFUNCTION("GOOGLETRANSLATE(C60,""zh-tw"",""KO"")"),"매장 카트의 고정 품목 중 하나")</f>
        <v>매장 카트의 고정 품목 중 하나</v>
      </c>
      <c r="X60" s="72" t="str">
        <f>IFERROR(__xludf.DUMMYFUNCTION("GOOGLETRANSLATE(D60,""zh-tw"",""KO"")"),"획득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0" s="162" t="str">
        <f>IFERROR(__xludf.DUMMYFUNCTION("GOOGLETRANSLATE(E60,""zh-tw"",""en"")"),"R57")</f>
        <v>R57</v>
      </c>
      <c r="Z60" s="119" t="str">
        <f>IFERROR(__xludf.DUMMYFUNCTION("GOOGLETRANSLATE(B60,""zh-tw"",""ru"")"),"Магазин Truck-6")</f>
        <v>Магазин Truck-6</v>
      </c>
      <c r="AA60" s="163" t="str">
        <f>IFERROR(__xludf.DUMMYFUNCTION("GOOGLETRANSLATE(C60,""zh-tw"",""RU"")"),"Один из фиксированных товаров в корзине магазина")</f>
        <v>Один из фиксированных товаров в корзине магазина</v>
      </c>
      <c r="AB60" s="65"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IFERROR(__xludf.DUMMYFUNCTION("GOOGLETRANSLATE(B61,""zh-tw"",""KO"")"),"차량 판매점-7")</f>
        <v>차량 판매점-7</v>
      </c>
      <c r="W61" s="104" t="str">
        <f>IFERROR(__xludf.DUMMYFUNCTION("GOOGLETRANSLATE(C61,""zh-tw"",""KO"")"),"매장 카트의 고정 품목 중 하나")</f>
        <v>매장 카트의 고정 품목 중 하나</v>
      </c>
      <c r="X61" s="72"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2" t="str">
        <f>IFERROR(__xludf.DUMMYFUNCTION("GOOGLETRANSLATE(E61,""zh-tw"",""en"")"),"R58")</f>
        <v>R58</v>
      </c>
      <c r="Z61" s="119" t="str">
        <f>IFERROR(__xludf.DUMMYFUNCTION("GOOGLETRANSLATE(B61,""zh-tw"",""ru"")"),"Магазин-7")</f>
        <v>Магазин-7</v>
      </c>
      <c r="AA61" s="163" t="str">
        <f>IFERROR(__xludf.DUMMYFUNCTION("GOOGLETRANSLATE(C61,""zh-tw"",""RU"")"),"Один из фиксированных товаров в корзине магазина")</f>
        <v>Один из фиксированных товаров в корзине магазина</v>
      </c>
      <c r="AB61" s="65"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-2")</f>
        <v>개발 지역(광산) -2</v>
      </c>
      <c r="W62" s="104" t="str">
        <f>IFERROR(__xludf.DUMMYFUNCTION("GOOGLETRANSLATE(C62,""zh-tw"",""KO"")"),"개발 구역(광산)-1의 맨 뒤쪽에서 다음 지도에 접근할 수 있습니다.")</f>
        <v>개발 구역(광산)-1의 맨 뒤쪽에서 다음 지도에 접근할 수 있습니다.</v>
      </c>
      <c r="X62" s="72" t="str">
        <f>IFERROR(__xludf.DUMMYFUNCTION("GOOGLETRANSLATE(D62,""zh-tw"",""KO"")"),"""개발구역(광산)-2"" 도착")</f>
        <v>"개발구역(광산)-2" 도착</v>
      </c>
      <c r="Y62" s="99" t="s">
        <v>3474</v>
      </c>
      <c r="Z62" s="119" t="str">
        <f>IFERROR(__xludf.DUMMYFUNCTION("GOOGLETRANSLATE(B62,""zh-tw"",""ru"")"),"Зона разработки (шахта) -2")</f>
        <v>Зона разработки (шахта) -2</v>
      </c>
      <c r="AA62" s="163"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5" t="str">
        <f>IFERROR(__xludf.DUMMYFUNCTION("GOOGLETRANSLATE(D62,""zh-tw"",""RU"")"),"Прибытие в «Разработку участка (рудника)-2»")</f>
        <v>Прибытие в «Разработку участка (рудника)-2»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2" t="str">
        <f>IFERROR(__xludf.DUMMYFUNCTION("GOOGLETRANSLATE(D63,""zh-tw"",""KO"")"),"바위를 치운 후, 산 속 동굴로 연결될 수 있습니다.")</f>
        <v>바위를 치운 후, 산 속 동굴로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5" t="str">
        <f>IFERROR(__xludf.DUMMYFUNCTION("GOOGLETRANSLATE(D63,""zh-tw"",""RU"")"),"Расчистив камни, можно соединиться с пещерами в горе.")</f>
        <v>Расчистив камни, можно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-3")</f>
        <v>개발 지역(광산) -3</v>
      </c>
      <c r="W64" s="104"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2" t="str">
        <f>IFERROR(__xludf.DUMMYFUNCTION("GOOGLETRANSLATE(D64,""zh-tw"",""KO"")"),"""개발구역(광산)-3"" 도착")</f>
        <v>"개발구역(광산)-3" 도착</v>
      </c>
      <c r="Y64" s="99" t="s">
        <v>3512</v>
      </c>
      <c r="Z64" s="119" t="str">
        <f>IFERROR(__xludf.DUMMYFUNCTION("GOOGLETRANSLATE(B64,""zh-tw"",""ru"")"),"Зона разработки (шахта) -3")</f>
        <v>Зона разработки (шахта) -3</v>
      </c>
      <c r="AA64" s="163" t="str">
        <f>IFERROR(__xludf.DUMMYFUNCTION("GOOGLETRANSLATE(C64,""zh-tw"",""RU"")"),"В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5" t="str">
        <f>IFERROR(__xludf.DUMMYFUNCTION("GOOGLETRANSLATE(D64,""zh-tw"",""RU"")"),"Прибытие в «Разработку участка (рудника)-3»")</f>
        <v>Прибытие в «Разработку участка (рудника)-3»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-4")</f>
        <v>개발 지역(광산) -4</v>
      </c>
      <c r="W65" s="104"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2" t="str">
        <f>IFERROR(__xludf.DUMMYFUNCTION("GOOGLETRANSLATE(D65,""zh-tw"",""KO"")"),"""개발구역(광산)-4"" 도착")</f>
        <v>"개발구역(광산)-4" 도착</v>
      </c>
      <c r="Y65" s="99" t="s">
        <v>3531</v>
      </c>
      <c r="Z65" s="119" t="str">
        <f>IFERROR(__xludf.DUMMYFUNCTION("GOOGLETRANSLATE(B65,""zh-tw"",""ru"")"),"Зона разработки (шахта) -4")</f>
        <v>Зона разработки (шахта) -4</v>
      </c>
      <c r="AA65" s="163"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5" t="str">
        <f>IFERROR(__xludf.DUMMYFUNCTION("GOOGLETRANSLATE(D65,""zh-tw"",""RU"")"),"Прибытие в «Разработку участка (рудника)-4»")</f>
        <v>Прибытие в «Разработку участка (рудника)-4»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2" t="str">
        <f>IFERROR(__xludf.DUMMYFUNCTION("GOOGLETRANSLATE(D66,""zh-tw"",""KO"")"),"""잊혀진 무덤-1""에 도착")</f>
        <v>"잊혀진 무덤-1"에 도착</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5" t="str">
        <f>IFERROR(__xludf.DUMMYFUNCTION("GOOGLETRANSLATE(D66,""zh-tw"",""RU"")"),"Прибытие в «Забытую гробницу-1»")</f>
        <v>Прибытие в «Забытую гробницу-1»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IFERROR(__xludf.DUMMYFUNCTION("GOOGLETRANSLATE(B67,""zh-tw"",""KO"")"),"폐허의 숲으로 가세요")</f>
        <v>폐허의 숲으로 가세요</v>
      </c>
      <c r="W67" s="104" t="str">
        <f>IFERROR(__xludf.DUMMYFUNCTION("GOOGLETRANSLATE(C67,""zh-tw"",""KO"")"),"""모험가의 길: 숲-2""에서 공지판을 지나 숲을 통과하면 ""유적의 숲""에 도착할 수 있습니다.")</f>
        <v>"모험가의 길: 숲-2"에서 공지판을 지나 숲을 통과하면 "유적의 숲"에 도착할 수 있습니다.</v>
      </c>
      <c r="X67" s="72" t="str">
        <f>IFERROR(__xludf.DUMMYFUNCTION("GOOGLETRANSLATE(D67,""zh-tw"",""KO"")"),"""폐허의 숲""에 도착")</f>
        <v>"폐허의 숲"에 도착</v>
      </c>
      <c r="Y67" s="99" t="s">
        <v>3566</v>
      </c>
      <c r="Z67" s="119" t="str">
        <f>IFERROR(__xludf.DUMMYFUNCTION("GOOGLETRANSLATE(B67,""zh-tw"",""ru"")"),"Отправляйтесь в Лес Руин")</f>
        <v>Отправляйтесь в Лес Руин</v>
      </c>
      <c r="AA67" s="163"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보스 지역 -1")</f>
        <v>메이드 버니 보스 지역 -1</v>
      </c>
      <c r="W68" s="104"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2"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9" t="s">
        <v>3584</v>
      </c>
      <c r="Z68" s="119" t="str">
        <f>IFERROR(__xludf.DUMMYFUNCTION("GOOGLETRANSLATE(B68,""zh-tw"",""ru"")"),"Зона БОСС-горничной-кролика -1")</f>
        <v>Зона БОСС-горничной-кролика -1</v>
      </c>
      <c r="AA68" s="163"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5"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보스 구역 - 2")</f>
        <v>메이드 버니 보스 구역 - 2</v>
      </c>
      <c r="W69" s="104"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2" t="str">
        <f>IFERROR(__xludf.DUMMYFUNCTION("GOOGLETRANSLATE(D69,""zh-tw"",""KO"")"),"주의해서 열어주세요. *초기화되지 않습니다.")</f>
        <v>주의해서 열어주세요. *초기화되지 않습니다.</v>
      </c>
      <c r="Y69" s="99" t="s">
        <v>3603</v>
      </c>
      <c r="Z69" s="119" t="str">
        <f>IFERROR(__xludf.DUMMYFUNCTION("GOOGLETRANSLATE(B69,""zh-tw"",""ru"")"),"Зона БОСС-горничной-кролика - 2")</f>
        <v>Зона БОСС-горничной-кролика - 2</v>
      </c>
      <c r="AA69" s="163"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5" t="str">
        <f>IFERROR(__xludf.DUMMYFUNCTION("GOOGLETRANSLATE(D69,""zh-tw"",""RU"")"),"Открывайте осторожно. *Не сбрасывается.")</f>
        <v>Открывайте осторожно. *Не сбрасывается.</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지역 - 3")</f>
        <v>메이드 래빗 보스 지역 - 3</v>
      </c>
      <c r="W70" s="104"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2" t="str">
        <f>IFERROR(__xludf.DUMMYFUNCTION("GOOGLETRANSLATE(D70,""zh-tw"",""KO"")"),"소환 보스 - 작은 정원의 흰 토끼")</f>
        <v>소환 보스 - 작은 정원의 흰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5" t="str">
        <f>IFERROR(__xludf.DUMMYFUNCTION("GOOGLETRANSLATE(D70,""zh-tw"",""RU"")"),"Вызов босса — Белый кролик маленького сада")</f>
        <v>Вызов босса — Белый кролик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지역 -4")</f>
        <v>메이드 래빗 보스 지역 -4</v>
      </c>
      <c r="W71" s="104"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2"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9" t="s">
        <v>3641</v>
      </c>
      <c r="Z71" s="119" t="str">
        <f>IFERROR(__xludf.DUMMYFUNCTION("GOOGLETRANSLATE(B71,""zh-tw"",""ru"")"),"Зона БОСС-горничной-кролика -4")</f>
        <v>Зона БОСС-горничной-кролика -4</v>
      </c>
      <c r="AA71" s="163"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5"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2" t="str">
        <f>IFERROR(__xludf.DUMMYFUNCTION("GOOGLETRANSLATE(D72,""zh-tw"",""KO"")"),"획득 장비: 사냥꾼의 옷, 사냥꾼의 허리띠
*향후 NPC 추가 예정")</f>
        <v>획득 장비: 사냥꾼의 옷, 사냥꾼의 허리띠
*향후 NPC 추가 예정</v>
      </c>
      <c r="Y72" s="99" t="s">
        <v>3660</v>
      </c>
      <c r="Z72" s="119" t="str">
        <f>IFERROR(__xludf.DUMMYFUNCTION("GOOGLETRANSLATE(B72,""zh-tw"",""ru"")"),"Охотничий домик")</f>
        <v>Охотничий домик</v>
      </c>
      <c r="AA72" s="163"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5"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롯지 - 지하실")</f>
        <v>헌터스 롯지 - 지하실</v>
      </c>
      <c r="W73" s="104"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2" t="str">
        <f>IFERROR(__xludf.DUMMYFUNCTION("GOOGLETRANSLATE(D73,""zh-tw"",""KO"")"),"획득 장비: 사냥꾼의 단검, 수호자의 검술사 배지")</f>
        <v>획득 장비: 사냥꾼의 단검, 수호자의 검술사 배지</v>
      </c>
      <c r="Y73" s="99" t="s">
        <v>3679</v>
      </c>
      <c r="Z73" s="119" t="str">
        <f>IFERROR(__xludf.DUMMYFUNCTION("GOOGLETRANSLATE(B73,""zh-tw"",""ru"")"),"Охотничий домик - Подвал")</f>
        <v>Охотничий домик - Подвал</v>
      </c>
      <c r="AA73" s="163"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5"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가디언 블레이드 메달")</f>
        <v>획득 장비: 가디언 블레이드 메달</v>
      </c>
      <c r="Y74" s="99" t="s">
        <v>3698</v>
      </c>
      <c r="Z74" s="119" t="str">
        <f>IFERROR(__xludf.DUMMYFUNCTION("GOOGLETRANSLATE(B74,""zh-tw"",""ru"")"),"Скрытые предметы")</f>
        <v>Скрытые предметы</v>
      </c>
      <c r="AA74" s="163"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5" t="str">
        <f>IFERROR(__xludf.DUMMYFUNCTION("GOOGLETRANSLATE(D74,""zh-tw"",""RU"")"),"Полученное снаряжение: Медаль «Хранитель Клинка»")</f>
        <v>Полученное снаряжение: Медаль «Хранитель Клинка»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IFERROR(__xludf.DUMMYFUNCTION("GOOGLETRANSLATE(D75,""zh-tw"",""KO"")"),"획득한 장비: 안전 장갑")</f>
        <v>획득한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5" t="str">
        <f>IFERROR(__xludf.DUMMYFUNCTION("GOOGLETRANSLATE(D75,""zh-tw"",""RU"")"),"Полученное оборудование: защитные перчатки.")</f>
        <v>Полученное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5" t="str">
        <f>IFERROR(__xludf.DUMMYFUNCTION("GOOGLETRANSLATE(D76,""zh-tw"",""RU"")"),"Полученное снаряжение: Меч из драгоценных камней")</f>
        <v>Полученное снаряжение: Меч из драгоценных камней</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 중앙 계단 위에 빛나는 점이 있습니다.")</f>
        <v>개발 구역(광산)-4, 중앙 계단 위에 빛나는 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5" t="str">
        <f>IFERROR(__xludf.DUMMYFUNCTION("GOOGLETRANSLATE(D77,""zh-tw"",""RU"")"),"Получить снаряжение: Ржавый железный меч")</f>
        <v>Получить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 중앙 계단을 내려가 왼쪽에 있습니다.")</f>
        <v>개발 구역(광산 구덩이) -4, 중앙 계단을 내려가 왼쪽에 있습니다.</v>
      </c>
      <c r="X78" s="72" t="str">
        <f>IFERROR(__xludf.DUMMYFUNCTION("GOOGLETRANSLATE(D78,""zh-tw"",""KO"")"),"장비 획득: 아이언 골렘 아이언 골렘의 규칙은 팁에 설명되어 있습니다.")</f>
        <v>장비 획득: 아이언 골렘 아이언 골렘의 규칙은 팁에 설명되어 있습니다.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5"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2" t="str">
        <f>IFERROR(__xludf.DUMMYFUNCTION("GOOGLETRANSLATE(D79,""zh-tw"",""KO"")"),"획득 아이템 : 마법 젤 x10")</f>
        <v>획득 아이템 : 마법 젤 x10</v>
      </c>
      <c r="Y79" s="99" t="s">
        <v>3763</v>
      </c>
      <c r="Z79" s="119" t="str">
        <f>IFERROR(__xludf.DUMMYFUNCTION("GOOGLETRANSLATE(B79,""zh-tw"",""ru"")"),"Скрытые предметы")</f>
        <v>Скрытые предметы</v>
      </c>
      <c r="AA79" s="163"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IFERROR(__xludf.DUMMYFUNCTION("GOOGLETRANSLATE(C80,""zh-tw"",""KO"")"),"ASABA에게 ""일반 음식""을 먹이세요")</f>
        <v>ASABA에게 "일반 음식"을 먹이세요</v>
      </c>
      <c r="X80" s="72" t="str">
        <f>IFERROR(__xludf.DUMMYFUNCTION("GOOGLETRANSLATE(D80,""zh-tw"",""KO"")"),"전혀 반응이 없었고, 반복해서 일어나면 혐오감을 느낄 수도 있었습니다.")</f>
        <v>전혀 반응이 없었고, 반복해서 일어나면 혐오감을 느낄 수도 있었습니다.</v>
      </c>
      <c r="Y80" s="99" t="s">
        <v>3775</v>
      </c>
      <c r="Z80" s="119" t="str">
        <f>IFERROR(__xludf.DUMMYFUNCTION("GOOGLETRANSLATE(B80,""zh-tw"",""ru"")"),"АСАБА-1")</f>
        <v>АСАБА-1</v>
      </c>
      <c r="AA80" s="163" t="str">
        <f>IFERROR(__xludf.DUMMYFUNCTION("GOOGLETRANSLATE(C80,""zh-tw"",""RU"")"),"Корм ASABA - ""обычный корм""")</f>
        <v>Корм ASABA - "обычный корм"</v>
      </c>
      <c r="AB80" s="65"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IFERROR(__xludf.DUMMYFUNCTION("GOOGLETRANSLATE(C81,""zh-tw"",""KO"")"),"아사바에게 먹이주기 - ""자매의 아호게""")</f>
        <v>아사바에게 먹이주기 - "자매의 아호게"</v>
      </c>
      <c r="X81" s="72" t="str">
        <f>IFERROR(__xludf.DUMMYFUNCTION("GOOGLETRANSLATE(D81,""zh-tw"",""KO"")"),"ASABA의 뇌를 끄다")</f>
        <v>ASABA의 뇌를 끄다</v>
      </c>
      <c r="Y81" s="99" t="s">
        <v>3790</v>
      </c>
      <c r="Z81" s="119" t="str">
        <f>IFERROR(__xludf.DUMMYFUNCTION("GOOGLETRANSLATE(B81,""zh-tw"",""ru"")"),"АСАБА-2")</f>
        <v>АСАБА-2</v>
      </c>
      <c r="AA81" s="163" t="str">
        <f>IFERROR(__xludf.DUMMYFUNCTION("GOOGLETRANSLATE(C81,""zh-tw"",""RU"")"),"Кормление ASABA - ""Sister's ahoge""")</f>
        <v>Кормление ASABA - "Sister's ahoge"</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IFERROR(__xludf.DUMMYFUNCTION("GOOGLETRANSLATE(D82,""zh-tw"",""KO"")"),"버프를 받으세요")</f>
        <v>버프를 받으세요</v>
      </c>
      <c r="Y82" s="99" t="s">
        <v>3805</v>
      </c>
      <c r="Z82" s="119" t="str">
        <f>IFERROR(__xludf.DUMMYFUNCTION("GOOGLETRANSLATE(B82,""zh-tw"",""ru"")"),"АСАБА-3")</f>
        <v>АСАБА-3</v>
      </c>
      <c r="AA82" s="163" t="str">
        <f>IFERROR(__xludf.DUMMYFUNCTION("GOOGLETRANSLATE(C82,""zh-tw"",""RU"")"),"Если покормить ASABA «Клубникой», вы получите усиление.")</f>
        <v>Если покормить ASABA «Клубникой», вы получите усиление.</v>
      </c>
      <c r="AB82" s="65" t="str">
        <f>IFERROR(__xludf.DUMMYFUNCTION("GOOGLETRANSLATE(D82,""zh-tw"",""RU"")"),"Получите BUFF")</f>
        <v>Получите BUFF</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ASABA를 물리치면 ""ASABA의 딸기""를 보상으로 얻을 수 있습니다.")</f>
        <v>일반 ASABA를 물리치면 "ASABA의 딸기"를 보상으로 얻을 수 있습니다.</v>
      </c>
      <c r="X83" s="72" t="str">
        <f>IFERROR(__xludf.DUMMYFUNCTION("GOOGLETRANSLATE(D83,""zh-tw"",""KO"")"),"ASABA의 딸기")</f>
        <v>ASABA의 딸기</v>
      </c>
      <c r="Y83" s="99" t="s">
        <v>3819</v>
      </c>
      <c r="Z83" s="119" t="str">
        <f>IFERROR(__xludf.DUMMYFUNCTION("GOOGLETRANSLATE(B83,""zh-tw"",""ru"")"),"АСАБА-4")</f>
        <v>АСАБА-4</v>
      </c>
      <c r="AA83" s="163" t="str">
        <f>IFERROR(__xludf.DUMMYFUNCTION("GOOGLETRANSLATE(C83,""zh-tw"",""RU"")"),"Победив обычного ASABA, вы получите награду «Клубника ASABA».")</f>
        <v>Победив обычного ASABA, вы получите награду «Клубника ASABA».</v>
      </c>
      <c r="AB83" s="65" t="str">
        <f>IFERROR(__xludf.DUMMYFUNCTION("GOOGLETRANSLATE(D83,""zh-tw"",""RU"")"),"Клубника из ASABA")</f>
        <v>Клубника из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IFERROR(__xludf.DUMMYFUNCTION("GOOGLETRANSLATE(C84,""zh-tw"",""KO"")"),"ASABA에게 ""ASABA의 딸기""를 먹이면 BOSS 전투가 시작됩니다.")</f>
        <v>ASABA에게 "ASABA의 딸기"를 먹이면 BOSS 전투가 시작됩니다.</v>
      </c>
      <c r="X84" s="72" t="str">
        <f>IFERROR(__xludf.DUMMYFUNCTION("GOOGLETRANSLATE(D84,""zh-tw"",""KO"")"),"적을 물리치면 ""아사바의 딸기""를 보상으로 얻을 수 있습니다.")</f>
        <v>적을 물리치면 "아사바의 딸기"를 보상으로 얻을 수 있습니다.</v>
      </c>
      <c r="Y84" s="99" t="s">
        <v>3833</v>
      </c>
      <c r="Z84" s="119" t="str">
        <f>IFERROR(__xludf.DUMMYFUNCTION("GOOGLETRANSLATE(B84,""zh-tw"",""ru"")"),"АСАБА-5")</f>
        <v>АСАБА-5</v>
      </c>
      <c r="AA84" s="163" t="str">
        <f>IFERROR(__xludf.DUMMYFUNCTION("GOOGLETRANSLATE(C84,""zh-tw"",""RU"")"),"Если покормить ASABA «Клубникой ASABA», начнется битва с БОССОМ.")</f>
        <v>Если покормить ASABA «Клубникой ASABA», начнется битва с БОССОМ.</v>
      </c>
      <c r="AB84" s="65" t="str">
        <f>IFERROR(__xludf.DUMMYFUNCTION("GOOGLETRANSLATE(D84,""zh-tw"",""RU"")"),"Победив врага, вы получите награду «Клубника ASABA».")</f>
        <v>Победив врага, вы получите награду «Клубника ASABA».</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2" t="str">
        <f>IFERROR(__xludf.DUMMYFUNCTION("GOOGLETRANSLATE(D85,""zh-tw"",""KO"")"),"""딸기를 되찾아라!!"" 장비를 획득하세요.
(명령어는 스킬 바를 참조하세요)")</f>
        <v>"딸기를 되찾아라!!"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5"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findest du in der Fertigkeitsleiste.)")</f>
        <v>Hol dir die Ausrüstung „Erdbeeren zurückerobern!!“
(Befehle findest du in der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거북이(소) - 패배 시 획득: ◉▽◉ (파란색)")</f>
        <v>사카반 거북이(소) - 패배 시 획득: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거북이(대형) - 패배 시 획득: ◉▽◉ (보라색)")</f>
        <v>사카반 거북이(대형) - 패배 시 획득: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2"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9" t="s">
        <v>3885</v>
      </c>
      <c r="Z88" s="119" t="str">
        <f>IFERROR(__xludf.DUMMYFUNCTION("GOOGLETRANSLATE(B88,""zh-tw"",""ru"")"),"♔
◉▽◉")</f>
        <v>♔
◉▽◉</v>
      </c>
      <c r="AA88" s="163"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5"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돌아가다")</f>
        <v>물로 돌아가다</v>
      </c>
      <c r="W89" s="104"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5" t="str">
        <f>IFERROR(__xludf.DUMMYFUNCTION("GOOGLETRANSLATE(D89,""zh-tw"",""RU"")"),"Побег объекта")</f>
        <v>Побег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72"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2" t="str">
        <f>IFERROR(__xludf.DUMMYFUNCTION("GOOGLETRANSLATE(D92,""zh-tw"",""KO"")"),"구현되지 않음")</f>
        <v>구현되지 않음</v>
      </c>
      <c r="Y92" s="99" t="s">
        <v>3945</v>
      </c>
      <c r="Z92" s="119" t="str">
        <f>IFERROR(__xludf.DUMMYFUNCTION("GOOGLETRANSLATE(B92,""zh-tw"",""ru"")"),"Морковный большой меч - 1")</f>
        <v>Морковный большой меч - 1</v>
      </c>
      <c r="AA92" s="163"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좋은 선택")</f>
        <v>늦은 밤에 좋은 선택</v>
      </c>
      <c r="W93" s="124"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GOOGLETRANSLATE(K93,""en"",""RU""))"),"Как только вы откроете «Поздно ночью», вы сможете купить «Видеокассету ужасов» в фургоне Девушки-кошки, призванной картой Таро Колесница.")</f>
        <v>Как только вы откроете «Поздно ночью», вы сможете купить «Видеокассету ужасов» в фургоне Девушки-кошки, призванной картой Таро Колесница.</v>
      </c>
      <c r="AB93" s="129" t="str">
        <f>IFERROR(__xludf.DUMMYFUNCTION("IF(L93="""", """", GOOGLETRANSLATE(L93, ""en"", ""ru""))
"),"Получить предмет «Видеокассета ужасов»")</f>
        <v>Получить предмет «Видеокассета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좋은 선택")</f>
        <v>늦은 밤에 좋은 선택</v>
      </c>
      <c r="W94" s="124"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5" t="str">
        <f>IFERROR(__xludf.DUMMYFUNCTION("GOOGLETRANSLATE(D94,""zh-tw"",""KO"")"),"획득 아이템: 성인용 비디오테이프
(아직 구현되지 않음)")</f>
        <v>획득 아이템: 성인용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GOOGLETRANSLATE(K94,""en"",""RU""))"),"Как только вы разблокируете «Поздно ночью», вы сможете купить «Видеокассету для взрослых» в фургоне Кошачьей девушки, вызванной картой Колесница.")</f>
        <v>Как только вы разблокируете «Поздно ночью», вы сможете купить «Видеокассету для взрослых» в фургоне Кошачьей девушки, вызванной картой Колесница.</v>
      </c>
      <c r="AB94" s="129"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IFERROR(__xludf.DUMMYFUNCTION("GOOGLETRANSLATE(B95,""zh-tw"",""KO"")"),"회개하다")</f>
        <v>회개하다</v>
      </c>
      <c r="W95" s="124"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5" t="str">
        <f>IFERROR(__xludf.DUMMYFUNCTION("GOOGLETRANSLATE(D95,""zh-tw"",""KO"")"),"스토리의 첫 번째 부분을 트리거합니다.
*그녀를 해치려고 하면 반드시 죽음을 맞이하게 됩니다.")</f>
        <v>스토리의 첫 번째 부분을 트리거합니다.
*그녀를 해치려고 하면 반드시 죽음을 맞이하게 됩니다.</v>
      </c>
      <c r="Y95" s="99" t="s">
        <v>3989</v>
      </c>
      <c r="Z95" s="127" t="str">
        <f>IFERROR(__xludf.DUMMYFUNCTION("IF(J95="""", """", GOOGLETRANSLATE(J95,""en"",""RU""))"),"Признание")</f>
        <v>Признание</v>
      </c>
      <c r="AA95" s="128"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9"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IFERROR(__xludf.DUMMYFUNCTION("GOOGLETRANSLATE(B96,""zh-tw"",""KO"")"),"회개하다 - 1")</f>
        <v>회개하다 - 1</v>
      </c>
      <c r="W96" s="124" t="str">
        <f>IFERROR(__xludf.DUMMYFUNCTION("GOOGLETRANSLATE(C96,""zh-tw"",""KO"")"),"죄의 값이 -에 도달하면 회개의 두 번째 단계가 시작될 수 있습니다.")</f>
        <v>죄의 값이 -에 도달하면 회개의 두 번째 단계가 시작될 수 있습니다.</v>
      </c>
      <c r="X96" s="125" t="str">
        <f>IFERROR(__xludf.DUMMYFUNCTION("GOOGLETRANSLATE(D96,""zh-tw"",""KO"")"),"스토리의 두 번째 부분을 시작합니다.
*아직 구현되지 않았습니다.")</f>
        <v>스토리의 두 번째 부분을 시작합니다.
*아직 구현되지 않았습니다.</v>
      </c>
      <c r="Y96" s="99" t="s">
        <v>4008</v>
      </c>
      <c r="Z96" s="127" t="str">
        <f>IFERROR(__xludf.DUMMYFUNCTION("IF(J96="""", """", GOOGLETRANSLATE(J96,""en"",""RU""))"),"Признание - 1")</f>
        <v>Признание - 1</v>
      </c>
      <c r="AA96" s="128"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숲-2, 중앙의 숨겨진 통로에 있는 모임 장소")</f>
        <v>모험가의 길: 숲-2, 중앙의 숨겨진 통로에 있는 모임 장소</v>
      </c>
      <c r="X97" s="125" t="str">
        <f>IFERROR(__xludf.DUMMYFUNCTION("GOOGLETRANSLATE(D97,""zh-tw"",""KO"")"),"획득 아이템: 타로 카드 - 절제
(비오는 날 새로 고침)")</f>
        <v>획득 아이템: 타로 카드 - 절제
(비오는 날 새로 고침)</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70" t="s">
        <v>4044</v>
      </c>
      <c r="D3" s="209" t="s">
        <v>4045</v>
      </c>
      <c r="E3" s="72"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10"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72"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애니메이션과 음악 변형의 성능을 가속화할 수 있습니다.")</f>
        <v>ALT는 애니메이션과 음악 변형의 성능을 가속화할 수 있습니다.</v>
      </c>
      <c r="G4" s="72"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las conversaciones.")</f>
        <v>CTRL puede acelerar las conversaciones.</v>
      </c>
      <c r="F5" s="210" t="str">
        <f>IFERROR(__xludf.DUMMYFUNCTION("GOOGLETRANSLATE(A5,""zh-tw"",""KO"")"),"CTRL을 사용하면 대화 속도를 높일 수 있습니다.")</f>
        <v>CTRL을 사용하면 대화 속도를 높일 수 있습니다.</v>
      </c>
      <c r="G5" s="72" t="str">
        <f>IFERROR(__xludf.DUMMYFUNCTION("GOOGLETRANSLATE(A5,""zh-tw"",""ru"")"),"CTRL может ускорить разговор.")</f>
        <v>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키는 대화를 진행합니다.")</f>
        <v>Z 키는 대화를 진행합니다.</v>
      </c>
      <c r="G6" s="72" t="str">
        <f>IFERROR(__xludf.DUMMYFUNCTION("GOOGLETRANSLATE(A6,""zh-tw"",""ru"")"),"Клавиша Z перемещает диалог вперед.")</f>
        <v>Клавиша Z перемещает диалог вперед.</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IFERROR(__xludf.DUMMYFUNCTION("GOOGLETRANSLATE(A7,""zh-tw"",""KO"")"),"F7은 카메라를 얻은 후 빠르게 스크린샷을 찍을 수 있습니다.")</f>
        <v>F7은 카메라를 얻은 후 빠르게 스크린샷을 찍을 수 있습니다.</v>
      </c>
      <c r="G7" s="72"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IFERROR(__xludf.DUMMYFUNCTION("GOOGLETRANSLATE(A8,""zh-tw"",""KO"")"),"F12를 눌러 콘솔을 표시합니다.")</f>
        <v>F12를 눌러 콘솔을 표시합니다.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2"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72"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2"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IFERROR(__xludf.DUMMYFUNCTION("GOOGLETRANSLATE(A12,""zh-tw"",""KO"")"),"언니랑 같이 목욕하고 싶으세요? 먼저 하트 2개를 달성하세요.")</f>
        <v>언니랑 같이 목욕하고 싶으세요? 먼저 하트 2개를 달성하세요.</v>
      </c>
      <c r="G12" s="72" t="str">
        <f>IFERROR(__xludf.DUMMYFUNCTION("GOOGLETRANSLATE(A12,""zh-tw"",""ru"")"),"Хотите искупаться с сестрой? Сначала наберите 2 сердечка.")</f>
        <v>Хотите искупаться с сестрой?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2"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IFERROR(__xludf.DUMMYFUNCTION("GOOGLETRANSLATE(A14,""zh-tw"",""KO"")"),"나이트 레이드는 형의 리비도가 일정 수치를 넘을 때만 발동됩니다.")</f>
        <v>나이트 레이드는 형의 리비도가 일정 수치를 넘을 때만 발동됩니다.</v>
      </c>
      <c r="G14" s="72"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2"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IFERROR(__xludf.DUMMYFUNCTION("GOOGLETRANSLATE(A16,""zh-tw"",""KO"")"),"가샤폰 기계 뒤에서 다가가면 기계가 튀어나옵니다.")</f>
        <v>가샤폰 기계 뒤에서 다가가면 기계가 튀어나옵니다.</v>
      </c>
      <c r="G16" s="72"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2"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2%에 불과합니다.")</f>
        <v>가샤폰 기계에서 황금알이 나올 확률은 2%에 불과합니다.</v>
      </c>
      <c r="G18" s="72"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언니와 마찬가지로 가샤폰 머신을 좋아합니다.")</f>
        <v>저는 언니와 마찬가지로 가샤폰 머신을 좋아합니다.</v>
      </c>
      <c r="G19" s="72"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2"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좋지 않으면 파괴되었다가 다시 소환될 수 있습니다.")</f>
        <v>소환 포털의 위치가 좋지 않으면 파괴되었다가 다시 소환될 수 있습니다.</v>
      </c>
      <c r="G21" s="72"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2"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IFERROR(__xludf.DUMMYFUNCTION("GOOGLETRANSLATE(A23,""zh-tw"",""KO"")"),"메카가 사라지면 맵 이름이 변경됩니다.")</f>
        <v>메카가 사라지면 맵 이름이 변경됩니다.</v>
      </c>
      <c r="G23" s="72" t="str">
        <f>IFERROR(__xludf.DUMMYFUNCTION("GOOGLETRANSLATE(A23,""zh-tw"",""ru"")"),"Название карты изменится после исчезновения меха.")</f>
        <v>Название карты изменится после исчезновения меха.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IFERROR(__xludf.DUMMYFUNCTION("GOOGLETRANSLATE(A24,""zh-tw"",""KO"")"),"미니카트가 움직이는 동안 방향타는 장거리 무기로 공격받을 수 있습니다.")</f>
        <v>미니카트가 움직이는 동안 방향타는 장거리 무기로 공격받을 수 있습니다.</v>
      </c>
      <c r="G24" s="72"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비오는 날도 포함해서요.")</f>
        <v>전기 충격 무기가 물에 닿으면... 무슨 뜻인지 아시죠~ 비오는 날도 포함해서요.</v>
      </c>
      <c r="G25" s="72"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2"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2"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IFERROR(__xludf.DUMMYFUNCTION("GOOGLETRANSLATE(A28,""zh-tw"",""KO"")"),"제 여동생 브라 사이즈가 몇이야? G~H라고 들었어요.")</f>
        <v>제 여동생 브라 사이즈가 몇이야? G~H라고 들었어요.</v>
      </c>
      <c r="G28" s="72" t="str">
        <f>IFERROR(__xludf.DUMMYFUNCTION("GOOGLETRANSLATE(A28,""zh-tw"",""ru"")"),"Какой размер бюстгальтера у моей сестры? Я слышал, что G~H.")</f>
        <v>Какой размер бюстгальтера у моей сестры? Я слышал, что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IFERROR(__xludf.DUMMYFUNCTION("GOOGLETRANSLATE(A29,""zh-tw"",""KO"")"),"형은 현자가 되어 생각에 잠겨 있었는데...")</f>
        <v>형은 현자가 되어 생각에 잠겨 있었는데...</v>
      </c>
      <c r="G29" s="72"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선인 상태의 부작용이 무시됩니다.")</f>
        <v>"소녀의 미소"를 장착하면, 선인 상태의 부작용이 무시됩니다.</v>
      </c>
      <c r="G30" s="72"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IFERROR(__xludf.DUMMYFUNCTION("GOOGLETRANSLATE(A31,""zh-tw"",""KO"")"),"변기에 있는 형언할 수 없는 생물은 언어마다 이름이 다릅니다.")</f>
        <v>변기에 있는 형언할 수 없는 생물은 언어마다 이름이 다릅니다.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72"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IFERROR(__xludf.DUMMYFUNCTION("GOOGLETRANSLATE(A33,""zh-tw"",""KO"")"),"비 오는 날 자판기를 누가 수리했을까? 아직도 미스터리로 남아 있다.")</f>
        <v>비 오는 날 자판기를 누가 수리했을까? 아직도 미스터리로 남아 있다.</v>
      </c>
      <c r="G33" s="72"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일반적으로 더 높습니다.")</f>
        <v>생물이 귀여울수록 공격력이 일반적으로 더 높습니다.</v>
      </c>
      <c r="G35" s="72" t="str">
        <f>IFERROR(__xludf.DUMMYFUNCTION("GOOGLETRANSLATE(A35,""zh-tw"",""ru"")"),"Чем симпатичнее существо, тем обычно выше его сила атаки.")</f>
        <v>Чем симпатичнее существо, тем обычно выше его сила атаки.</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IFERROR(__xludf.DUMMYFUNCTION("GOOGLETRANSLATE(A37,""zh-tw"",""ja"")"),"ウォーターモンスタースライム 1 個は、スライムスライム 2 個とほぼ同等です。")</f>
        <v>ウォーターモンスタースライム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de monstruo acuático equivale aproximadamente a dos slimes.")</f>
        <v>Un slime de monstruo acuático equivale aproximadamente a dos slimes.</v>
      </c>
      <c r="F37" s="210" t="str">
        <f>IFERROR(__xludf.DUMMYFUNCTION("GOOGLETRANSLATE(A37,""zh-tw"",""KO"")"),"물 괴물 슬라임 한 마리는 슬라임 슬라임 두 마리와 거의 같습니다.")</f>
        <v>물 괴물 슬라임 한 마리는 슬라임 슬라임 두 마리와 거의 같습니다.</v>
      </c>
      <c r="G37" s="72"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10"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2"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2"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향상시킵니다.")</f>
        <v>공격 속도를 증가시키는 효과(예: 고양이 발 장갑)는 마법 효과도 향상시킵니다.</v>
      </c>
      <c r="G40" s="72"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2"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2"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IFERROR(__xludf.DUMMYFUNCTION("GOOGLETRANSLATE(A44,""zh-tw"",""KO"")"),"괴물은 또한 후각을 가지고 있으며, 어떤 괴물은 악취를 맡으면 도망칩니다.")</f>
        <v>괴물은 또한 후각을 가지고 있으며, 어떤 괴물은 악취를 맡으면 도망칩니다.</v>
      </c>
      <c r="G44" s="72"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발동하려면 먼저 DCL 미션을 완료해야 합니다.")</f>
        <v>여동생이 게임을 하는 동안 장난을 칠 수 있습니다.
특별한 다리 벌리기 옵션을 발동하려면 먼저 DCL 미션을 완료해야 합니다.</v>
      </c>
      <c r="G45" s="72"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2"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2"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IFERROR(__xludf.DUMMYFUNCTION("GOOGLETRANSLATE(A49,""zh-tw"",""KO"")"),"에바즈 룬은 던져진 후 닿는 모든 적과 위치를 바꿉니다.")</f>
        <v>에바즈 룬은 던져진 후 닿는 모든 적과 위치를 바꿉니다.</v>
      </c>
      <c r="G49" s="72"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2"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2"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10"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72"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2"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2"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2"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2"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2"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2"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2"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2"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IFERROR(__xludf.DUMMYFUNCTION("GOOGLETRANSLATE(A61,""zh-tw"",""KO"")"),"제 여동생은 날씨에 따라 손톱을 다른 색으로 칠해요.")</f>
        <v>제 여동생은 날씨에 따라 손톱을 다른 색으로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2"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태도에서 느낄 수 있다.")</f>
        <v>기분 점수(0~100)는 숨겨져 있지만, 여동생의 평소 태도에서 느낄 수 있다.</v>
      </c>
      <c r="G63" s="72"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2"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2"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사용하면 걷기 자세와 달리기 자세를 전환할 수 있습니다.")</f>
        <v>Shift 키를 사용하면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2"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2"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IFERROR(__xludf.DUMMYFUNCTION("GOOGLETRANSLATE(A69,""zh-tw"",""KO"")"),"각 단계의 암살에 대한 숙련도 요구 사항: 5.27.60.120.256.530.960.1587.2452.3600")</f>
        <v>각 단계의 암살에 대한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2"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72"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2"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엘리트 음료 자동판매기도 등장할 가능성이 있습니다.")</f>
        <v>마찬가지로, 엘리트 음료 자동판매기도 등장할 가능성이 있습니다.</v>
      </c>
      <c r="G73" s="72"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2"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2"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2"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2"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2"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2"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IFERROR(__xludf.DUMMYFUNCTION("GOOGLETRANSLATE(A80,""zh-tw"",""KO"")"),"ASABA는 일반적으로 길가의 딸기 덤불에서 발견됩니다.")</f>
        <v>ASABA는 일반적으로 길가의 딸기 덤불에서 발견됩니다.</v>
      </c>
      <c r="G80" s="72" t="str">
        <f>IFERROR(__xludf.DUMMYFUNCTION("GOOGLETRANSLATE(A80,""zh-tw"",""ru"")"),"ASABA обычно можно найти в кустах клубники вдоль дорог.")</f>
        <v>ASABA обычно можно найти в кустах клубники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2"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2"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기념물"" 지도에서 돌 기념물은 당신이 패배한 횟수를 표시합니다.")</f>
        <v>"모험가의 길: 기념물" 지도에서 돌 기념물은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2"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2"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2"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2"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8" s="72" t="str">
        <f>IFERROR(__xludf.DUMMYFUNCTION("GOOGLETRANSLATE(A88,""zh-tw"",""ru"")"),"Что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2"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2"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2"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2"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땅으로 튀어 오르게 됩니다.")</f>
        <v>작은 정원의 흰 토끼 - 토끼 굴이 완전히 파괴되면 땅으로 튀어 오르게 됩니다.</v>
      </c>
      <c r="G94" s="72"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2"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2"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72"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2"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2"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10" t="str">
        <f>IFERROR(__xludf.DUMMYFUNCTION("GOOGLETRANSLATE(A100,""zh-tw"",""KO"")"),"""난동하는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72"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2"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2"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2"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2"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2"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2"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2"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속성의 공격을 받으면 먼지 폭발을 일으킬 수 있습니다.")</f>
        <v>독성 안개가 화염 속성의 공격을 받으면 먼지 폭발을 일으킬 수 있습니다.</v>
      </c>
      <c r="G108" s="72"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2"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2"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2"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2"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2"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8"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IFERROR(__xludf.DUMMYFUNCTION("GOOGLETRANSLATE(B4,""zh-tw"",""KO"")"),"스페셜 드롭")</f>
        <v>스페셜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«Яблоко»")</f>
        <v>Яблочная Фея
Головной убор «Яблоко»</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의상
행운의 고양이")</f>
        <v>슬라임 슬라임
빌린 고양이 발
고양이 의상
행운의 고양이</v>
      </c>
      <c r="W8" s="47" t="s">
        <v>4853</v>
      </c>
      <c r="X8" s="305" t="str">
        <f>IFERROR(__xludf.DUMMYFUNCTION("GOOGLETRANSLATE(D8,""zh-tw"",""KO"")"),"-")</f>
        <v>-</v>
      </c>
      <c r="Y8" s="107" t="s">
        <v>4857</v>
      </c>
      <c r="Z8" s="47"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슬라임")</f>
        <v>초식성 슬라임</v>
      </c>
      <c r="V9" s="47"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7" t="s">
        <v>4866</v>
      </c>
      <c r="X9" s="305" t="str">
        <f>IFERROR(__xludf.DUMMYFUNCTION("GOOGLETRANSLATE(D9,""zh-tw"",""KO"")"),"-")</f>
        <v>-</v>
      </c>
      <c r="Y9" s="107" t="s">
        <v>4871</v>
      </c>
      <c r="Z9" s="47"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IFERROR(__xludf.DUMMYFUNCTION("GOOGLETRANSLATE(A10,""zh-tw"",""KO"")"),"얼어붙은 슬라임")</f>
        <v>얼어붙은 슬라임</v>
      </c>
      <c r="V10" s="47" t="str">
        <f>IFERROR(__xludf.DUMMYFUNCTION("GOOGLETRANSLATE(B10,""zh-tw"",""KO"")"),"슬라임
마법 수정 클러스터
눈 구경
서리 달
얼음 지팡이")</f>
        <v>슬라임
마법 수정 클러스터
눈 구경
서리 달
얼음 지팡이</v>
      </c>
      <c r="W10" s="47" t="s">
        <v>4881</v>
      </c>
      <c r="X10" s="305" t="str">
        <f>IFERROR(__xludf.DUMMYFUNCTION("GOOGLETRANSLATE(D10,""zh-tw"",""KO"")"),"-")</f>
        <v>-</v>
      </c>
      <c r="Y10" s="107" t="s">
        <v>4886</v>
      </c>
      <c r="Z10" s="47"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전기가 새는 불량품
치도리")</f>
        <v>슬라임의 슬라임
전기가 새는 불량품
치도리</v>
      </c>
      <c r="W11" s="47" t="s">
        <v>4896</v>
      </c>
      <c r="X11" s="305" t="str">
        <f>IFERROR(__xludf.DUMMYFUNCTION("GOOGLETRANSLATE(D11,""zh-tw"",""KO"")"),"-")</f>
        <v>-</v>
      </c>
      <c r="Y11" s="107" t="s">
        <v>4900</v>
      </c>
      <c r="Z11" s="47"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f>
        <v>작은 고기 조각</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 뿔 토끼")</f>
        <v>사슴 뿔 토끼</v>
      </c>
      <c r="V13" s="47" t="str">
        <f>IFERROR(__xludf.DUMMYFUNCTION("GOOGLETRANSLATE(B13,""zh-tw"",""KO"")"),"작은 고기 조각; 붉은 뿔")</f>
        <v>작은 고기 조각; 붉은 뿔</v>
      </c>
      <c r="W13" s="137" t="s">
        <v>4924</v>
      </c>
      <c r="X13" s="305"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7" t="str">
        <f>IFERROR(__xludf.DUMMYFUNCTION("GOOGLETRANSLATE(A13,""zh-tw"",""RU"")"),"Рога оленя Кролик")</f>
        <v>Рога оленя Кролик</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크롤러들의 선물")</f>
        <v>쓰레기; 그림자 같은 크롤러들의 선물</v>
      </c>
      <c r="W14" s="137" t="s">
        <v>4937</v>
      </c>
      <c r="X14" s="305" t="str">
        <f>IFERROR(__xludf.DUMMYFUNCTION("GOOGLETRANSLATE(D14,""zh-tw"",""KO"")"),"-")</f>
        <v>-</v>
      </c>
      <c r="Y14" s="107" t="str">
        <f>IFERROR(__xludf.DUMMYFUNCTION("GOOGLETRANSLATE(A14,""zh-tw"",""RU"")"),"""З"" (таракан)")</f>
        <v>"З" (таракан)</v>
      </c>
      <c r="Z14" s="47" t="str">
        <f>IFERROR(__xludf.DUMMYFUNCTION("GOOGLETRANSLATE(B14,""zh-tw"",""RU"")"),"Мусор; подарок от тайных ползунов")</f>
        <v>Мусор; подарок от тайных ползунов</v>
      </c>
      <c r="AA14" s="137" t="s">
        <v>4937</v>
      </c>
      <c r="AB14" s="304" t="s">
        <v>816</v>
      </c>
      <c r="AC14" s="139" t="str">
        <f>IFERROR(__xludf.DUMMYFUNCTION("GOOGLETRANSLATE(A14,""zh-tw"",""DE"")"),"""Z"" (Kakerlake)")</f>
        <v>"Z" (Kakerlake)</v>
      </c>
      <c r="AD14" s="143" t="str">
        <f>IFERROR(__xludf.DUMMYFUNCTION("GOOGLETRANSLATE(B14,""zh-tw"",""DE"")"),"Müll; ein Geschenk der schattenhaften Kriecher")</f>
        <v>Müll; ein Geschenk der schattenhaften Kriecher</v>
      </c>
      <c r="AE14" s="137" t="s">
        <v>4937</v>
      </c>
      <c r="AF14" s="304" t="str">
        <f>IFERROR(__xludf.DUMMYFUNCTION("GOOGLETRANSLATE(D14,""zh-tw"",""DE"")"),"-")</f>
        <v>-</v>
      </c>
      <c r="AG14" s="139" t="s">
        <v>4943</v>
      </c>
      <c r="AH14" s="143" t="s">
        <v>4944</v>
      </c>
      <c r="AI14" s="137" t="s">
        <v>4937</v>
      </c>
      <c r="AJ14" s="304" t="s">
        <v>816</v>
      </c>
      <c r="AK14" s="139" t="s">
        <v>4945</v>
      </c>
      <c r="AL14" s="143" t="s">
        <v>4946</v>
      </c>
      <c r="AM14" s="137" t="s">
        <v>4937</v>
      </c>
      <c r="AN14" s="304" t="s">
        <v>816</v>
      </c>
    </row>
    <row r="15">
      <c r="A15" s="98" t="s">
        <v>4947</v>
      </c>
      <c r="E15" s="98" t="str">
        <f>IFERROR(__xludf.DUMMYFUNCTION("GOOGLETRANSLATE(A15,""zh-tw"",""ja"")"),"水に関連する")</f>
        <v>水に関連する</v>
      </c>
      <c r="I15" s="303" t="s">
        <v>4948</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в воде")</f>
        <v>Связанные в воде</v>
      </c>
      <c r="AC15" s="303" t="str">
        <f>IFERROR(__xludf.DUMMYFUNCTION("GOOGLETRANSLATE(A14,""zh-tw"",""DE"")"),"""Z"" (Kakerlake)")</f>
        <v>"Z" (Kakerlake)</v>
      </c>
      <c r="AG15" s="303" t="s">
        <v>4949</v>
      </c>
      <c r="AK15" s="303" t="s">
        <v>4950</v>
      </c>
    </row>
    <row r="16">
      <c r="A16" s="107" t="s">
        <v>4951</v>
      </c>
      <c r="B16" s="47" t="s">
        <v>4952</v>
      </c>
      <c r="C16" s="47" t="s">
        <v>4953</v>
      </c>
      <c r="D16" s="305" t="s">
        <v>4954</v>
      </c>
      <c r="E16" s="107" t="s">
        <v>4951</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4953</v>
      </c>
      <c r="H16" s="305" t="s">
        <v>4955</v>
      </c>
      <c r="I16" s="139" t="s">
        <v>4956</v>
      </c>
      <c r="J16" s="143" t="s">
        <v>4957</v>
      </c>
      <c r="K16" s="143" t="s">
        <v>4953</v>
      </c>
      <c r="L16" s="304" t="s">
        <v>4958</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4953</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4953</v>
      </c>
      <c r="T16" s="304" t="str">
        <f>IFERROR(__xludf.DUMMYFUNCTION("GOOGLETRANSLATE(D16,""zh-tw"",""es-MX"")"),"Usa bombas para destruir la superficie del agua.
(Máximo tres conjuntos de botín)
(Probabilidad de encontrar criaturas enemigas o al jefe Señor del Río)")</f>
        <v>Usa bombas para destruir la superficie del agua.
(Máximo tres conjuntos de botín)
(Probabilidad de encontrar criaturas enemigas o al jefe Señor del Río)</v>
      </c>
      <c r="U16" s="139" t="str">
        <f>IFERROR(__xludf.DUMMYFUNCTION("GOOGLETRANSLATE(A16,""zh-tw"",""KO"")"),"●●● (수면)")</f>
        <v>●●● (수면)</v>
      </c>
      <c r="V16" s="47"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7" t="s">
        <v>4953</v>
      </c>
      <c r="X16" s="305"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7" t="str">
        <f>IFERROR(__xludf.DUMMYFUNCTION("GOOGLETRANSLATE(A16,""zh-tw"",""ru"")"),"●●● (Поверхность воды)")</f>
        <v>●●● (Поверхность воды)</v>
      </c>
      <c r="Z16" s="47"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7" t="s">
        <v>4953</v>
      </c>
      <c r="AB16" s="304"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9" t="s">
        <v>4959</v>
      </c>
      <c r="AD16" s="143" t="s">
        <v>4960</v>
      </c>
      <c r="AE16" s="143" t="s">
        <v>4953</v>
      </c>
      <c r="AF16" s="304" t="s">
        <v>4961</v>
      </c>
      <c r="AG16" s="139" t="s">
        <v>4962</v>
      </c>
      <c r="AH16" s="143" t="s">
        <v>4963</v>
      </c>
      <c r="AI16" s="143" t="s">
        <v>4953</v>
      </c>
      <c r="AJ16" s="304" t="s">
        <v>4964</v>
      </c>
      <c r="AK16" s="139" t="s">
        <v>4965</v>
      </c>
      <c r="AL16" s="143" t="s">
        <v>4966</v>
      </c>
      <c r="AM16" s="143" t="s">
        <v>4953</v>
      </c>
      <c r="AN16" s="304" t="s">
        <v>4967</v>
      </c>
    </row>
    <row r="17">
      <c r="A17" s="107" t="s">
        <v>4968</v>
      </c>
      <c r="B17" s="47" t="s">
        <v>4969</v>
      </c>
      <c r="C17" s="47" t="s">
        <v>4970</v>
      </c>
      <c r="D17" s="305" t="s">
        <v>4971</v>
      </c>
      <c r="E17" s="107" t="s">
        <v>4972</v>
      </c>
      <c r="F17" s="143" t="s">
        <v>4973</v>
      </c>
      <c r="G17" s="47" t="s">
        <v>4970</v>
      </c>
      <c r="H17" s="305" t="s">
        <v>4974</v>
      </c>
      <c r="I17" s="139" t="s">
        <v>4975</v>
      </c>
      <c r="J17" s="143" t="s">
        <v>4976</v>
      </c>
      <c r="K17" s="143" t="s">
        <v>4970</v>
      </c>
      <c r="L17" s="304" t="s">
        <v>4977</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4970</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4970</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IFERROR(__xludf.DUMMYFUNCTION("GOOGLETRANSLATE(A17,""zh-tw"",""KO"")"),"신비로운 거품
(물 표면 위)")</f>
        <v>신비로운 거품
(물 표면 위)</v>
      </c>
      <c r="V17" s="47" t="str">
        <f>IFERROR(__xludf.DUMMYFUNCTION("GOOGLETRANSLATE(B17,""zh-tw"",""KO"")"),"무작위 물고기
쓰레기
무작위 룬
초록거북 등껍질
거대 게 발톱
◉▽◉(파란색)")</f>
        <v>무작위 물고기
쓰레기
무작위 룬
초록거북 등껍질
거대 게 발톱
◉▽◉(파란색)</v>
      </c>
      <c r="W17" s="47" t="s">
        <v>4970</v>
      </c>
      <c r="X17" s="305"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4970</v>
      </c>
      <c r="AB17" s="304"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9" t="s">
        <v>4978</v>
      </c>
      <c r="AD17" s="143" t="s">
        <v>4979</v>
      </c>
      <c r="AE17" s="143" t="s">
        <v>4970</v>
      </c>
      <c r="AF17" s="304" t="s">
        <v>4980</v>
      </c>
      <c r="AG17" s="139" t="s">
        <v>4981</v>
      </c>
      <c r="AH17" s="143" t="s">
        <v>4982</v>
      </c>
      <c r="AI17" s="143" t="s">
        <v>4970</v>
      </c>
      <c r="AJ17" s="304" t="s">
        <v>4983</v>
      </c>
      <c r="AK17" s="139" t="s">
        <v>4984</v>
      </c>
      <c r="AL17" s="143" t="s">
        <v>4985</v>
      </c>
      <c r="AM17" s="143" t="s">
        <v>4970</v>
      </c>
      <c r="AN17" s="304" t="s">
        <v>4986</v>
      </c>
    </row>
    <row r="18">
      <c r="A18" s="107" t="s">
        <v>4987</v>
      </c>
      <c r="B18" s="47" t="s">
        <v>4988</v>
      </c>
      <c r="C18" s="47" t="s">
        <v>4989</v>
      </c>
      <c r="D18" s="305" t="s">
        <v>4990</v>
      </c>
      <c r="E18" s="139" t="s">
        <v>4987</v>
      </c>
      <c r="F18" s="143" t="s">
        <v>4991</v>
      </c>
      <c r="G18" s="47" t="s">
        <v>4989</v>
      </c>
      <c r="H18" s="305" t="s">
        <v>4992</v>
      </c>
      <c r="I18" s="139" t="s">
        <v>4993</v>
      </c>
      <c r="J18" s="143" t="s">
        <v>4994</v>
      </c>
      <c r="K18" s="143" t="s">
        <v>4989</v>
      </c>
      <c r="L18" s="304" t="s">
        <v>4995</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4989</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4989</v>
      </c>
      <c r="T18" s="304" t="str">
        <f>IFERROR(__xludf.DUMMYFUNCTION("GOOGLETRANSLATE(D18,""zh-tw"",""es-MX"")"),"Usa ataques o toca para capturar (solo caerán los ingredientes).")</f>
        <v>Usa ataques o toca para capturar (solo caerán los ingredientes).</v>
      </c>
      <c r="U18" s="139" t="str">
        <f>IFERROR(__xludf.DUMMYFUNCTION("GOOGLETRANSLATE(A18,""zh-tw"",""KO"")"),"물고기 그림자(물 표면 위)")</f>
        <v>물고기 그림자(물 표면 위)</v>
      </c>
      <c r="V18" s="47" t="str">
        <f>IFERROR(__xludf.DUMMYFUNCTION("GOOGLETRANSLATE(B18,""zh-tw"",""KO"")"),"참치, 줄무늬 바위 도미, 태평양 꽁치, 도미, 연어, 왕연어")</f>
        <v>참치, 줄무늬 바위 도미, 태평양 꽁치, 도미, 연어, 왕연어</v>
      </c>
      <c r="W18" s="47" t="s">
        <v>4989</v>
      </c>
      <c r="X18" s="305" t="str">
        <f>IFERROR(__xludf.DUMMYFUNCTION("GOOGLETRANSLATE(D18,""zh-tw"",""KO"")"),"공격이나 터치를 사용해 포획하세요(재료만 떨어집니다).")</f>
        <v>공격이나 터치를 사용해 포획하세요(재료만 떨어집니다).</v>
      </c>
      <c r="Y18" s="107" t="str">
        <f>IFERROR(__xludf.DUMMYFUNCTION("GOOGLETRANSLATE(A18,""zh-tw"",""ru"")"),"Тени рыб (на поверхности воды)")</f>
        <v>Тени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4989</v>
      </c>
      <c r="AB18" s="304"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9" t="s">
        <v>4996</v>
      </c>
      <c r="AD18" s="143" t="s">
        <v>4997</v>
      </c>
      <c r="AE18" s="143" t="s">
        <v>4989</v>
      </c>
      <c r="AF18" s="304" t="s">
        <v>4998</v>
      </c>
      <c r="AG18" s="139" t="s">
        <v>4999</v>
      </c>
      <c r="AH18" s="143" t="s">
        <v>5000</v>
      </c>
      <c r="AI18" s="143" t="s">
        <v>4989</v>
      </c>
      <c r="AJ18" s="304" t="s">
        <v>5001</v>
      </c>
      <c r="AK18" s="139" t="s">
        <v>5002</v>
      </c>
      <c r="AL18" s="143" t="s">
        <v>5003</v>
      </c>
      <c r="AM18" s="143" t="s">
        <v>4989</v>
      </c>
      <c r="AN18" s="304" t="s">
        <v>5004</v>
      </c>
    </row>
    <row r="19">
      <c r="A19" s="107" t="s">
        <v>5005</v>
      </c>
      <c r="B19" s="47" t="s">
        <v>5006</v>
      </c>
      <c r="C19" s="47" t="s">
        <v>5007</v>
      </c>
      <c r="D19" s="304" t="s">
        <v>816</v>
      </c>
      <c r="E19" s="139" t="s">
        <v>5005</v>
      </c>
      <c r="F19" s="47" t="str">
        <f>IFERROR(__xludf.DUMMYFUNCTION("GOOGLETRANSLATE(B19,""zh-tw"",""ja"")"),"ウォーターモンスタースライム
魔法の水晶クラスター
潮汐の詩")</f>
        <v>ウォーターモンスタースライム
魔法の水晶クラスター
潮汐の詩</v>
      </c>
      <c r="G19" s="47" t="s">
        <v>5007</v>
      </c>
      <c r="H19" s="305" t="str">
        <f>IFERROR(__xludf.DUMMYFUNCTION("GOOGLETRANSLATE(D19,""zh-tw"",""ja"")"),"-")</f>
        <v>-</v>
      </c>
      <c r="I19" s="107" t="s">
        <v>5008</v>
      </c>
      <c r="J19" s="137" t="s">
        <v>5009</v>
      </c>
      <c r="K19" s="143" t="s">
        <v>5007</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5007</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5007</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클러스터
조수 시")</f>
        <v>물 괴물 슬라임
마법 수정 클러스터
조수 시</v>
      </c>
      <c r="W19" s="47" t="s">
        <v>5007</v>
      </c>
      <c r="X19" s="305" t="str">
        <f>IFERROR(__xludf.DUMMYFUNCTION("GOOGLETRANSLATE(D19,""zh-tw"",""KO"")"),"-")</f>
        <v>-</v>
      </c>
      <c r="Y19" s="107" t="str">
        <f>IFERROR(__xludf.DUMMYFUNCTION("GOOGLETRANSLATE(A19,""zh-tw"",""ru"")"),"Водный монстр")</f>
        <v>Водный монстр</v>
      </c>
      <c r="Z19" s="47" t="str">
        <f>IFERROR(__xludf.DUMMYFUNCTION("GOOGLETRANSLATE(B19,""zh-tw"",""ru"")"),"Слайм водяного монстра
Магический кристалл
Приливная поэма")</f>
        <v>Слайм водяного монстра
Магический кристалл
Приливная поэма</v>
      </c>
      <c r="AA19" s="47" t="s">
        <v>5007</v>
      </c>
      <c r="AB19" s="304" t="str">
        <f>IFERROR(__xludf.DUMMYFUNCTION("GOOGLETRANSLATE(D19,""zh-tw"",""ru"")"),"-")</f>
        <v>-</v>
      </c>
      <c r="AC19" s="139" t="s">
        <v>5010</v>
      </c>
      <c r="AD19" s="143" t="s">
        <v>5011</v>
      </c>
      <c r="AE19" s="143" t="s">
        <v>5007</v>
      </c>
      <c r="AF19" s="304" t="s">
        <v>5012</v>
      </c>
      <c r="AG19" s="139" t="s">
        <v>5013</v>
      </c>
      <c r="AH19" s="143" t="s">
        <v>5014</v>
      </c>
      <c r="AI19" s="143" t="s">
        <v>5007</v>
      </c>
      <c r="AJ19" s="304" t="s">
        <v>816</v>
      </c>
      <c r="AK19" s="139" t="s">
        <v>5008</v>
      </c>
      <c r="AL19" s="143" t="s">
        <v>5015</v>
      </c>
      <c r="AM19" s="143" t="s">
        <v>5007</v>
      </c>
      <c r="AN19" s="304" t="s">
        <v>816</v>
      </c>
    </row>
    <row r="20">
      <c r="A20" s="107" t="s">
        <v>5016</v>
      </c>
      <c r="B20" s="47" t="s">
        <v>5017</v>
      </c>
      <c r="C20" s="47">
        <v>100.0</v>
      </c>
      <c r="D20" s="305" t="s">
        <v>5018</v>
      </c>
      <c r="E20" s="139" t="s">
        <v>5019</v>
      </c>
      <c r="F20" s="47" t="s">
        <v>5020</v>
      </c>
      <c r="G20" s="47">
        <v>100.0</v>
      </c>
      <c r="H20" s="305" t="s">
        <v>5021</v>
      </c>
      <c r="I20" s="107" t="s">
        <v>5022</v>
      </c>
      <c r="J20" s="143" t="s">
        <v>5023</v>
      </c>
      <c r="K20" s="143">
        <v>100.0</v>
      </c>
      <c r="L20" s="304" t="s">
        <v>5024</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거북이(소)")</f>
        <v>사카반 거북이(소)</v>
      </c>
      <c r="V20" s="47" t="str">
        <f>IFERROR(__xludf.DUMMYFUNCTION("GOOGLETRANSLATE(B20,""zh-tw"",""KO"")"),"◉▽◉ (파란색)")</f>
        <v>◉▽◉ (파란색)</v>
      </c>
      <c r="W20" s="47">
        <v>100.0</v>
      </c>
      <c r="X20" s="305" t="str">
        <f>IFERROR(__xludf.DUMMYFUNCTION("GOOGLETRANSLATE(D20,""zh-tw"",""KO"")"),"폭탄을 사용하여 수면을 폭파하세요")</f>
        <v>폭탄을 사용하여 수면을 폭파하세요</v>
      </c>
      <c r="Y20" s="107" t="str">
        <f>IFERROR(__xludf.DUMMYFUNCTION("GOOGLETRANSLATE(A20,""zh-tw"",""ru"")"),"Сакабанская черепаха (маленькая)")</f>
        <v>Сакабанская черепаха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5025</v>
      </c>
      <c r="AD20" s="143" t="s">
        <v>5026</v>
      </c>
      <c r="AE20" s="143">
        <v>100.0</v>
      </c>
      <c r="AF20" s="304" t="s">
        <v>5027</v>
      </c>
      <c r="AG20" s="139" t="s">
        <v>5028</v>
      </c>
      <c r="AH20" s="143" t="s">
        <v>5029</v>
      </c>
      <c r="AI20" s="143">
        <v>100.0</v>
      </c>
      <c r="AJ20" s="304" t="s">
        <v>5030</v>
      </c>
      <c r="AK20" s="139" t="s">
        <v>5031</v>
      </c>
      <c r="AL20" s="143" t="s">
        <v>5032</v>
      </c>
      <c r="AM20" s="143">
        <v>100.0</v>
      </c>
      <c r="AN20" s="304" t="s">
        <v>5033</v>
      </c>
    </row>
    <row r="21">
      <c r="A21" s="107" t="s">
        <v>5034</v>
      </c>
      <c r="B21" s="47" t="s">
        <v>5035</v>
      </c>
      <c r="C21" s="47">
        <v>100.0</v>
      </c>
      <c r="D21" s="305" t="s">
        <v>5018</v>
      </c>
      <c r="E21" s="139" t="s">
        <v>5036</v>
      </c>
      <c r="F21" s="47" t="s">
        <v>5037</v>
      </c>
      <c r="G21" s="47">
        <v>100.0</v>
      </c>
      <c r="H21" s="305" t="s">
        <v>5021</v>
      </c>
      <c r="I21" s="107" t="s">
        <v>5038</v>
      </c>
      <c r="J21" s="143" t="s">
        <v>5039</v>
      </c>
      <c r="K21" s="143">
        <v>100.0</v>
      </c>
      <c r="L21" s="304" t="s">
        <v>5024</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거북이(대형)")</f>
        <v>사카반 거북이(대형)</v>
      </c>
      <c r="V21" s="47" t="str">
        <f>IFERROR(__xludf.DUMMYFUNCTION("GOOGLETRANSLATE(B21,""zh-tw"",""KO"")"),"◉▽◉(보라색)")</f>
        <v>◉▽◉(보라색)</v>
      </c>
      <c r="W21" s="47">
        <v>100.0</v>
      </c>
      <c r="X21" s="305" t="str">
        <f>IFERROR(__xludf.DUMMYFUNCTION("GOOGLETRANSLATE(D21,""zh-tw"",""KO"")"),"폭탄을 사용하여 수면을 폭파하세요")</f>
        <v>폭탄을 사용하여 수면을 폭파하세요</v>
      </c>
      <c r="Y21" s="107" t="str">
        <f>IFERROR(__xludf.DUMMYFUNCTION("GOOGLETRANSLATE(A21,""zh-tw"",""ru"")"),"Сакабанская черепаха (большая)")</f>
        <v>Сакабанская черепаха (большая)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5040</v>
      </c>
      <c r="AD21" s="143" t="s">
        <v>5041</v>
      </c>
      <c r="AE21" s="143">
        <v>100.0</v>
      </c>
      <c r="AF21" s="304" t="s">
        <v>5027</v>
      </c>
      <c r="AG21" s="139" t="s">
        <v>5042</v>
      </c>
      <c r="AH21" s="143" t="s">
        <v>5043</v>
      </c>
      <c r="AI21" s="143">
        <v>100.0</v>
      </c>
      <c r="AJ21" s="304" t="s">
        <v>5030</v>
      </c>
      <c r="AK21" s="139" t="s">
        <v>5044</v>
      </c>
      <c r="AL21" s="143" t="s">
        <v>5045</v>
      </c>
      <c r="AM21" s="143">
        <v>100.0</v>
      </c>
      <c r="AN21" s="304" t="s">
        <v>5033</v>
      </c>
    </row>
    <row r="22">
      <c r="A22" s="98" t="s">
        <v>5046</v>
      </c>
      <c r="E22" s="303" t="str">
        <f>IFERROR(__xludf.DUMMYFUNCTION("GOOGLETRANSLATE(A22,""zh-tw"",""ja"")"),"鉱山関連")</f>
        <v>鉱山関連</v>
      </c>
      <c r="I22" s="98" t="s">
        <v>5047</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5048</v>
      </c>
      <c r="AK22" s="303" t="s">
        <v>5047</v>
      </c>
    </row>
    <row r="23">
      <c r="A23" s="107" t="s">
        <v>5049</v>
      </c>
      <c r="B23" s="47" t="s">
        <v>5050</v>
      </c>
      <c r="C23" s="47" t="s">
        <v>5051</v>
      </c>
      <c r="D23" s="305" t="s">
        <v>816</v>
      </c>
      <c r="E23" s="139" t="s">
        <v>5052</v>
      </c>
      <c r="F23" s="143" t="s">
        <v>5053</v>
      </c>
      <c r="G23" s="47" t="s">
        <v>5051</v>
      </c>
      <c r="H23" s="305" t="str">
        <f>IFERROR(__xludf.DUMMYFUNCTION("GOOGLETRANSLATE(D23,""zh-tw"",""ja"")"),"-")</f>
        <v>-</v>
      </c>
      <c r="I23" s="107" t="s">
        <v>5054</v>
      </c>
      <c r="J23" s="143" t="s">
        <v>5055</v>
      </c>
      <c r="K23" s="143" t="s">
        <v>5051</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5051</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5051</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7" t="s">
        <v>5051</v>
      </c>
      <c r="X23" s="305" t="str">
        <f>IFERROR(__xludf.DUMMYFUNCTION("GOOGLETRANSLATE(D23,""zh-tw"",""KO"")"),"-")</f>
        <v>-</v>
      </c>
      <c r="Y23" s="107" t="str">
        <f>IFERROR(__xludf.DUMMYFUNCTION("GOOGLETRANSLATE(A23,""zh-tw"",""ru"")"),"Злая слизь")</f>
        <v>Злая слизь</v>
      </c>
      <c r="Z23" s="47"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7" t="s">
        <v>5051</v>
      </c>
      <c r="AB23" s="304" t="str">
        <f>IFERROR(__xludf.DUMMYFUNCTION("GOOGLETRANSLATE(D23,""zh-tw"",""ru"")"),"-")</f>
        <v>-</v>
      </c>
      <c r="AC23" s="139" t="s">
        <v>5056</v>
      </c>
      <c r="AD23" s="143" t="s">
        <v>5057</v>
      </c>
      <c r="AE23" s="143" t="s">
        <v>5051</v>
      </c>
      <c r="AF23" s="304" t="s">
        <v>5012</v>
      </c>
      <c r="AG23" s="139" t="s">
        <v>5058</v>
      </c>
      <c r="AH23" s="143" t="s">
        <v>5059</v>
      </c>
      <c r="AI23" s="143" t="s">
        <v>5051</v>
      </c>
      <c r="AJ23" s="304" t="s">
        <v>816</v>
      </c>
      <c r="AK23" s="139" t="s">
        <v>5060</v>
      </c>
      <c r="AL23" s="137" t="s">
        <v>5061</v>
      </c>
      <c r="AM23" s="143" t="s">
        <v>5051</v>
      </c>
      <c r="AN23" s="304" t="s">
        <v>816</v>
      </c>
    </row>
    <row r="24">
      <c r="A24" s="107" t="s">
        <v>5062</v>
      </c>
      <c r="B24" s="47" t="s">
        <v>5063</v>
      </c>
      <c r="C24" s="47" t="s">
        <v>5064</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5064</v>
      </c>
      <c r="H24" s="305" t="str">
        <f>IFERROR(__xludf.DUMMYFUNCTION("GOOGLETRANSLATE(D24,""zh-tw"",""ja"")"),"-")</f>
        <v>-</v>
      </c>
      <c r="I24" s="107" t="s">
        <v>5065</v>
      </c>
      <c r="J24" s="143" t="s">
        <v>5066</v>
      </c>
      <c r="K24" s="143" t="s">
        <v>5064</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5064</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5064</v>
      </c>
      <c r="T24" s="304" t="str">
        <f>IFERROR(__xludf.DUMMYFUNCTION("GOOGLETRANSLATE(D24,""zh-tw"",""es-MX"")"),"-")</f>
        <v>-</v>
      </c>
      <c r="U24" s="139" t="str">
        <f>IFERROR(__xludf.DUMMYFUNCTION("GOOGLETRANSLATE(A24,""zh-tw"",""KO"")"),"광석 슬라임")</f>
        <v>광석 슬라임</v>
      </c>
      <c r="V24" s="47" t="str">
        <f>IFERROR(__xludf.DUMMYFUNCTION("GOOGLETRANSLATE(B24,""zh-tw"",""KO"")"),"슬라임의 슬라임
마법 수정 클러스터
깊은 마법 수정 클러스터")</f>
        <v>슬라임의 슬라임
마법 수정 클러스터
깊은 마법 수정 클러스터</v>
      </c>
      <c r="W24" s="47" t="s">
        <v>5064</v>
      </c>
      <c r="X24" s="305" t="str">
        <f>IFERROR(__xludf.DUMMYFUNCTION("GOOGLETRANSLATE(D24,""zh-tw"",""KO"")"),"-")</f>
        <v>-</v>
      </c>
      <c r="Y24" s="107" t="str">
        <f>IFERROR(__xludf.DUMMYFUNCTION("GOOGLETRANSLATE(A24,""zh-tw"",""ru"")"),"Рудный слайм")</f>
        <v>Рудный слайм</v>
      </c>
      <c r="Z24" s="47"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7" t="s">
        <v>5064</v>
      </c>
      <c r="AB24" s="304" t="str">
        <f>IFERROR(__xludf.DUMMYFUNCTION("GOOGLETRANSLATE(D24,""zh-tw"",""ru"")"),"-")</f>
        <v>-</v>
      </c>
      <c r="AC24" s="139" t="s">
        <v>5067</v>
      </c>
      <c r="AD24" s="143" t="s">
        <v>5068</v>
      </c>
      <c r="AE24" s="143" t="s">
        <v>5064</v>
      </c>
      <c r="AF24" s="304" t="s">
        <v>5012</v>
      </c>
      <c r="AG24" s="139" t="s">
        <v>5069</v>
      </c>
      <c r="AH24" s="143" t="s">
        <v>5070</v>
      </c>
      <c r="AI24" s="143" t="s">
        <v>5064</v>
      </c>
      <c r="AJ24" s="304" t="s">
        <v>816</v>
      </c>
      <c r="AK24" s="139" t="s">
        <v>5071</v>
      </c>
      <c r="AL24" s="143" t="s">
        <v>5072</v>
      </c>
      <c r="AM24" s="143" t="s">
        <v>5064</v>
      </c>
      <c r="AN24" s="304" t="s">
        <v>816</v>
      </c>
    </row>
    <row r="25">
      <c r="A25" s="107" t="s">
        <v>5073</v>
      </c>
      <c r="B25" s="47" t="s">
        <v>5074</v>
      </c>
      <c r="C25" s="47" t="s">
        <v>5075</v>
      </c>
      <c r="D25" s="305" t="s">
        <v>816</v>
      </c>
      <c r="E25" s="107" t="s">
        <v>5076</v>
      </c>
      <c r="F25" s="47" t="str">
        <f>IFERROR(__xludf.DUMMYFUNCTION("GOOGLETRANSLATE(B25,""zh-tw"",""ja"")"),"500元
1000元
呪われた胎児
いたずらジャック
夜霧の幻影
地獄より")</f>
        <v>500元
1000元
呪われた胎児
いたずらジャック
夜霧の幻影
地獄より</v>
      </c>
      <c r="G25" s="47" t="s">
        <v>5075</v>
      </c>
      <c r="H25" s="305" t="str">
        <f>IFERROR(__xludf.DUMMYFUNCTION("GOOGLETRANSLATE(D25,""zh-tw"",""ja"")"),"-")</f>
        <v>-</v>
      </c>
      <c r="I25" s="107" t="s">
        <v>5077</v>
      </c>
      <c r="J25" s="143" t="s">
        <v>5078</v>
      </c>
      <c r="K25" s="143" t="s">
        <v>5075</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5075</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5075</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 온")</f>
        <v>500위안
1000위안
저주받은 태아
장난꾸러기 잭
밤안개 유령
지옥에서 온</v>
      </c>
      <c r="W25" s="47" t="s">
        <v>5075</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7" t="s">
        <v>5075</v>
      </c>
      <c r="AB25" s="304" t="str">
        <f>IFERROR(__xludf.DUMMYFUNCTION("GOOGLETRANSLATE(D25,""zh-tw"",""ru"")"),"-")</f>
        <v>-</v>
      </c>
      <c r="AC25" s="139" t="s">
        <v>5079</v>
      </c>
      <c r="AD25" s="143" t="s">
        <v>5080</v>
      </c>
      <c r="AE25" s="143" t="s">
        <v>5075</v>
      </c>
      <c r="AF25" s="304" t="s">
        <v>816</v>
      </c>
      <c r="AG25" s="139" t="s">
        <v>5081</v>
      </c>
      <c r="AH25" s="143" t="s">
        <v>5082</v>
      </c>
      <c r="AI25" s="143" t="s">
        <v>5075</v>
      </c>
      <c r="AJ25" s="304" t="s">
        <v>816</v>
      </c>
      <c r="AK25" s="139" t="s">
        <v>5077</v>
      </c>
      <c r="AL25" s="137" t="s">
        <v>5083</v>
      </c>
      <c r="AM25" s="143" t="s">
        <v>5075</v>
      </c>
      <c r="AN25" s="304" t="s">
        <v>816</v>
      </c>
    </row>
    <row r="26">
      <c r="A26" s="98" t="s">
        <v>5084</v>
      </c>
      <c r="E26" s="98" t="str">
        <f>IFERROR(__xludf.DUMMYFUNCTION("GOOGLETRANSLATE(A26,""zh-tw"",""ja"")"),"遺跡")</f>
        <v>遺跡</v>
      </c>
      <c r="I26" s="98" t="s">
        <v>5085</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5086</v>
      </c>
      <c r="AK26" s="303" t="s">
        <v>5085</v>
      </c>
    </row>
    <row r="27">
      <c r="A27" s="107" t="s">
        <v>5087</v>
      </c>
      <c r="B27" s="47" t="s">
        <v>5088</v>
      </c>
      <c r="C27" s="47" t="s">
        <v>5089</v>
      </c>
      <c r="D27" s="305" t="s">
        <v>816</v>
      </c>
      <c r="E27" s="139" t="s">
        <v>5090</v>
      </c>
      <c r="F27" s="143" t="s">
        <v>5091</v>
      </c>
      <c r="G27" s="47" t="s">
        <v>5089</v>
      </c>
      <c r="H27" s="305" t="str">
        <f>IFERROR(__xludf.DUMMYFUNCTION("GOOGLETRANSLATE(D27,""zh-tw"",""ja"")"),"-")</f>
        <v>-</v>
      </c>
      <c r="I27" s="139" t="s">
        <v>5092</v>
      </c>
      <c r="J27" s="143" t="s">
        <v>5093</v>
      </c>
      <c r="K27" s="143" t="s">
        <v>5089</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5089</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5089</v>
      </c>
      <c r="T27" s="304" t="str">
        <f>IFERROR(__xludf.DUMMYFUNCTION("GOOGLETRANSLATE(D27,""zh-tw"",""es-MX"")"),"-")</f>
        <v>-</v>
      </c>
      <c r="U27" s="139" t="str">
        <f>IFERROR(__xludf.DUMMYFUNCTION("GOOGLETRANSLATE(A27,""zh-tw"",""KO"")"),"초보자")</f>
        <v>초보자</v>
      </c>
      <c r="V27" s="47" t="str">
        <f>IFERROR(__xludf.DUMMYFUNCTION("GOOGLETRANSLATE(B27,""zh-tw"",""KO"")"),"작은 동물 고기, 큰 동물 고기, 500위안, 오크 뼈 냄비")</f>
        <v>작은 동물 고기, 큰 동물 고기, 500위안, 오크 뼈 냄비</v>
      </c>
      <c r="W27" s="47" t="s">
        <v>5089</v>
      </c>
      <c r="X27" s="305" t="str">
        <f>IFERROR(__xludf.DUMMYFUNCTION("GOOGLETRANSLATE(D27,""zh-tw"",""KO"")"),"-")</f>
        <v>-</v>
      </c>
      <c r="Y27" s="107" t="str">
        <f>IFERROR(__xludf.DUMMYFUNCTION("GOOGLETRANSLATE(A27,""zh-tw"",""ru"")"),"Новички")</f>
        <v>Новички</v>
      </c>
      <c r="Z27" s="47"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7" t="s">
        <v>5089</v>
      </c>
      <c r="AB27" s="304" t="str">
        <f>IFERROR(__xludf.DUMMYFUNCTION("GOOGLETRANSLATE(D27,""zh-tw"",""ru"")"),"-")</f>
        <v>-</v>
      </c>
      <c r="AC27" s="139" t="s">
        <v>5094</v>
      </c>
      <c r="AD27" s="143" t="s">
        <v>5095</v>
      </c>
      <c r="AE27" s="143" t="s">
        <v>5089</v>
      </c>
      <c r="AF27" s="304" t="s">
        <v>5012</v>
      </c>
      <c r="AG27" s="139" t="s">
        <v>5096</v>
      </c>
      <c r="AH27" s="143" t="s">
        <v>5097</v>
      </c>
      <c r="AI27" s="143" t="s">
        <v>5089</v>
      </c>
      <c r="AJ27" s="304" t="s">
        <v>816</v>
      </c>
      <c r="AK27" s="139" t="s">
        <v>5098</v>
      </c>
      <c r="AL27" s="143" t="s">
        <v>5099</v>
      </c>
      <c r="AM27" s="143" t="s">
        <v>5089</v>
      </c>
      <c r="AN27" s="304" t="s">
        <v>816</v>
      </c>
    </row>
    <row r="28">
      <c r="A28" s="107" t="s">
        <v>5100</v>
      </c>
      <c r="B28" s="47" t="s">
        <v>5101</v>
      </c>
      <c r="C28" s="47" t="s">
        <v>5102</v>
      </c>
      <c r="D28" s="304" t="s">
        <v>816</v>
      </c>
      <c r="E28" s="139" t="s">
        <v>5100</v>
      </c>
      <c r="F28" s="143" t="s">
        <v>5103</v>
      </c>
      <c r="G28" s="47" t="s">
        <v>5102</v>
      </c>
      <c r="H28" s="305" t="str">
        <f>IFERROR(__xludf.DUMMYFUNCTION("GOOGLETRANSLATE(D28,""zh-tw"",""ja"")"),"-")</f>
        <v>-</v>
      </c>
      <c r="I28" s="139" t="s">
        <v>5104</v>
      </c>
      <c r="J28" s="143" t="s">
        <v>5105</v>
      </c>
      <c r="K28" s="143" t="s">
        <v>5102</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5102</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5102</v>
      </c>
      <c r="T28" s="304" t="str">
        <f>IFERROR(__xludf.DUMMYFUNCTION("GOOGLETRANSLATE(D28,""zh-tw"",""es-MX"")"),"-")</f>
        <v>-</v>
      </c>
      <c r="U28" s="139" t="str">
        <f>IFERROR(__xludf.DUMMYFUNCTION("GOOGLETRANSLATE(A28,""zh-tw"",""KO"")"),"이상한 새")</f>
        <v>이상한 새</v>
      </c>
      <c r="V28" s="47" t="str">
        <f>IFERROR(__xludf.DUMMYFUNCTION("GOOGLETRANSLATE(B28,""zh-tw"",""KO"")"),"닭다리살; 이상한 새 깃털")</f>
        <v>닭다리살; 이상한 새 깃털</v>
      </c>
      <c r="W28" s="47" t="s">
        <v>5102</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перья странной птицы")</f>
        <v>Мясо куриной ножки; перья странной птицы</v>
      </c>
      <c r="AA28" s="47" t="s">
        <v>5102</v>
      </c>
      <c r="AB28" s="304" t="str">
        <f>IFERROR(__xludf.DUMMYFUNCTION("GOOGLETRANSLATE(D28,""zh-tw"",""ru"")"),"-")</f>
        <v>-</v>
      </c>
      <c r="AC28" s="139" t="s">
        <v>5106</v>
      </c>
      <c r="AD28" s="143" t="s">
        <v>5107</v>
      </c>
      <c r="AE28" s="143" t="s">
        <v>5102</v>
      </c>
      <c r="AF28" s="304" t="s">
        <v>5012</v>
      </c>
      <c r="AG28" s="139" t="s">
        <v>5108</v>
      </c>
      <c r="AH28" s="143" t="s">
        <v>5109</v>
      </c>
      <c r="AI28" s="143" t="s">
        <v>5102</v>
      </c>
      <c r="AJ28" s="304" t="s">
        <v>816</v>
      </c>
      <c r="AK28" s="139" t="s">
        <v>5110</v>
      </c>
      <c r="AL28" s="137" t="s">
        <v>5111</v>
      </c>
      <c r="AM28" s="143" t="s">
        <v>5102</v>
      </c>
      <c r="AN28" s="304" t="s">
        <v>816</v>
      </c>
    </row>
    <row r="29">
      <c r="A29" s="107" t="s">
        <v>5112</v>
      </c>
      <c r="B29" s="47" t="s">
        <v>5113</v>
      </c>
      <c r="C29" s="47" t="s">
        <v>5114</v>
      </c>
      <c r="D29" s="304" t="s">
        <v>816</v>
      </c>
      <c r="E29" s="139" t="s">
        <v>5115</v>
      </c>
      <c r="F29" s="143" t="s">
        <v>5116</v>
      </c>
      <c r="G29" s="47" t="s">
        <v>5114</v>
      </c>
      <c r="H29" s="305" t="str">
        <f>IFERROR(__xludf.DUMMYFUNCTION("GOOGLETRANSLATE(D29,""zh-tw"",""ja"")"),"-")</f>
        <v>-</v>
      </c>
      <c r="I29" s="139" t="s">
        <v>5117</v>
      </c>
      <c r="J29" s="143" t="s">
        <v>5118</v>
      </c>
      <c r="K29" s="143" t="s">
        <v>5114</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5114</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5114</v>
      </c>
      <c r="T29" s="304" t="str">
        <f>IFERROR(__xludf.DUMMYFUNCTION("GOOGLETRANSLATE(D29,""zh-tw"",""es-MX"")"),"-")</f>
        <v>-</v>
      </c>
      <c r="U29" s="139" t="str">
        <f>IFERROR(__xludf.DUMMYFUNCTION("GOOGLETRANSLATE(A29,""zh-tw"",""KO"")"),"걷는 버섯")</f>
        <v>걷는 버섯</v>
      </c>
      <c r="V29" s="47" t="str">
        <f>IFERROR(__xludf.DUMMYFUNCTION("GOOGLETRANSLATE(B29,""zh-tw"",""KO"")"),"걷는 버섯; 독이 있는 포자 바늘")</f>
        <v>걷는 버섯; 독이 있는 포자 바늘</v>
      </c>
      <c r="W29" s="47" t="s">
        <v>5114</v>
      </c>
      <c r="X29" s="305" t="str">
        <f>IFERROR(__xludf.DUMMYFUNCTION("GOOGLETRANSLATE(D29,""zh-tw"",""KO"")"),"-")</f>
        <v>-</v>
      </c>
      <c r="Y29" s="107" t="str">
        <f>IFERROR(__xludf.DUMMYFUNCTION("GOOGLETRANSLATE(A29,""zh-tw"",""ru"")"),"Ходячий гриб")</f>
        <v>Ходячий гриб</v>
      </c>
      <c r="Z29" s="47" t="str">
        <f>IFERROR(__xludf.DUMMYFUNCTION("GOOGLETRANSLATE(B29,""zh-tw"",""ru"")"),"Ходячий гриб; ядовитая споровая игла")</f>
        <v>Ходячий гриб; ядовитая споровая игла</v>
      </c>
      <c r="AA29" s="47" t="s">
        <v>5114</v>
      </c>
      <c r="AB29" s="304" t="str">
        <f>IFERROR(__xludf.DUMMYFUNCTION("GOOGLETRANSLATE(D29,""zh-tw"",""ru"")"),"-")</f>
        <v>-</v>
      </c>
      <c r="AC29" s="139" t="s">
        <v>5119</v>
      </c>
      <c r="AD29" s="143" t="s">
        <v>5120</v>
      </c>
      <c r="AE29" s="143" t="s">
        <v>5114</v>
      </c>
      <c r="AF29" s="304" t="s">
        <v>5012</v>
      </c>
      <c r="AG29" s="139" t="s">
        <v>5121</v>
      </c>
      <c r="AH29" s="143" t="s">
        <v>5122</v>
      </c>
      <c r="AI29" s="143" t="s">
        <v>5114</v>
      </c>
      <c r="AJ29" s="304" t="s">
        <v>816</v>
      </c>
      <c r="AK29" s="139" t="s">
        <v>5117</v>
      </c>
      <c r="AL29" s="137" t="s">
        <v>5123</v>
      </c>
      <c r="AM29" s="143" t="s">
        <v>5114</v>
      </c>
      <c r="AN29" s="304" t="s">
        <v>816</v>
      </c>
    </row>
    <row r="30">
      <c r="A30" s="107" t="s">
        <v>5124</v>
      </c>
      <c r="B30" s="47" t="s">
        <v>5125</v>
      </c>
      <c r="C30" s="47" t="s">
        <v>5126</v>
      </c>
      <c r="D30" s="305" t="s">
        <v>816</v>
      </c>
      <c r="E30" s="107" t="str">
        <f>IFERROR(__xludf.DUMMYFUNCTION("GOOGLETRANSLATE(A30,""zh-tw"",""ja"")"),"ジャックスライム")</f>
        <v>ジャックスライム</v>
      </c>
      <c r="F30" s="143" t="s">
        <v>5127</v>
      </c>
      <c r="G30" s="143" t="s">
        <v>5126</v>
      </c>
      <c r="H30" s="305" t="str">
        <f>IFERROR(__xludf.DUMMYFUNCTION("GOOGLETRANSLATE(D30,""zh-tw"",""ja"")"),"-")</f>
        <v>-</v>
      </c>
      <c r="I30" s="139" t="s">
        <v>5128</v>
      </c>
      <c r="J30" s="143" t="s">
        <v>5129</v>
      </c>
      <c r="K30" s="143" t="s">
        <v>5126</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5126</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5126</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5126</v>
      </c>
      <c r="X30" s="305" t="str">
        <f>IFERROR(__xludf.DUMMYFUNCTION("GOOGLETRANSLATE(D30,""zh-tw"",""KO"")"),"-")</f>
        <v>-</v>
      </c>
      <c r="Y30" s="107" t="str">
        <f>IFERROR(__xludf.DUMMYFUNCTION("GOOGLETRANSLATE(A30,""zh-tw"",""ru"")"),"Джек Слайм")</f>
        <v>Джек Слайм</v>
      </c>
      <c r="Z30" s="47" t="str">
        <f>IFERROR(__xludf.DUMMYFUNCTION("GOOGLETRANSLATE(B30,""zh-tw"",""ru"")"),"Слайм-слайм
Джек-бомба
Душа бомбардировщика")</f>
        <v>Слайм-слайм
Джек-бомба
Душа бомбардировщика</v>
      </c>
      <c r="AA30" s="47" t="s">
        <v>5126</v>
      </c>
      <c r="AB30" s="304" t="str">
        <f>IFERROR(__xludf.DUMMYFUNCTION("GOOGLETRANSLATE(D30,""zh-tw"",""ru"")"),"-")</f>
        <v>-</v>
      </c>
      <c r="AC30" s="139" t="s">
        <v>5130</v>
      </c>
      <c r="AD30" s="143" t="s">
        <v>5131</v>
      </c>
      <c r="AE30" s="143" t="s">
        <v>5126</v>
      </c>
      <c r="AF30" s="304" t="s">
        <v>5012</v>
      </c>
      <c r="AG30" s="139" t="s">
        <v>5132</v>
      </c>
      <c r="AH30" s="143" t="s">
        <v>5133</v>
      </c>
      <c r="AI30" s="143" t="s">
        <v>5126</v>
      </c>
      <c r="AJ30" s="304" t="s">
        <v>816</v>
      </c>
      <c r="AK30" s="139" t="s">
        <v>5134</v>
      </c>
      <c r="AL30" s="143" t="s">
        <v>5135</v>
      </c>
      <c r="AM30" s="143" t="s">
        <v>5126</v>
      </c>
      <c r="AN30" s="304" t="s">
        <v>816</v>
      </c>
    </row>
    <row r="31">
      <c r="A31" s="107" t="s">
        <v>5136</v>
      </c>
      <c r="B31" s="47" t="s">
        <v>5137</v>
      </c>
      <c r="C31" s="47" t="s">
        <v>5138</v>
      </c>
      <c r="D31" s="304" t="s">
        <v>816</v>
      </c>
      <c r="E31" s="139" t="s">
        <v>5139</v>
      </c>
      <c r="F31" s="143" t="s">
        <v>5140</v>
      </c>
      <c r="G31" s="47" t="s">
        <v>5138</v>
      </c>
      <c r="H31" s="305" t="str">
        <f>IFERROR(__xludf.DUMMYFUNCTION("GOOGLETRANSLATE(D31,""zh-tw"",""ja"")"),"-")</f>
        <v>-</v>
      </c>
      <c r="I31" s="139" t="str">
        <f>IFERROR(__xludf.DUMMYFUNCTION("GOOGLETRANSLATE(A31,""zh-tw"",""en"")"),"Maid Bunny")</f>
        <v>Maid Bunny</v>
      </c>
      <c r="J31" s="143" t="s">
        <v>5141</v>
      </c>
      <c r="K31" s="143" t="s">
        <v>5138</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5138</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5138</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메이드복")</f>
        <v>당근
500위안
1000위안
귀여운 토끼 귀
메이드복</v>
      </c>
      <c r="W31" s="47" t="s">
        <v>5138</v>
      </c>
      <c r="X31" s="305" t="str">
        <f>IFERROR(__xludf.DUMMYFUNCTION("GOOGLETRANSLATE(D31,""zh-tw"",""KO"")"),"-")</f>
        <v>-</v>
      </c>
      <c r="Y31" s="107" t="str">
        <f>IFERROR(__xludf.DUMMYFUNCTION("GOOGLETRANSLATE(A31,""zh-tw"",""ru"")"),"Кролик-горничная")</f>
        <v>Кролик-горничная</v>
      </c>
      <c r="Z31" s="47"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7" t="s">
        <v>5138</v>
      </c>
      <c r="AB31" s="304" t="str">
        <f>IFERROR(__xludf.DUMMYFUNCTION("GOOGLETRANSLATE(D31,""zh-tw"",""ru"")"),"-")</f>
        <v>-</v>
      </c>
      <c r="AC31" s="139" t="s">
        <v>5142</v>
      </c>
      <c r="AD31" s="143" t="s">
        <v>5143</v>
      </c>
      <c r="AE31" s="143" t="s">
        <v>5138</v>
      </c>
      <c r="AF31" s="304" t="s">
        <v>5144</v>
      </c>
      <c r="AG31" s="139" t="s">
        <v>5145</v>
      </c>
      <c r="AH31" s="143" t="s">
        <v>5146</v>
      </c>
      <c r="AI31" s="143" t="s">
        <v>5138</v>
      </c>
      <c r="AJ31" s="304" t="s">
        <v>816</v>
      </c>
      <c r="AK31" s="139" t="s">
        <v>5147</v>
      </c>
      <c r="AL31" s="143" t="s">
        <v>5148</v>
      </c>
      <c r="AM31" s="143" t="s">
        <v>5138</v>
      </c>
      <c r="AN31" s="304" t="s">
        <v>816</v>
      </c>
    </row>
    <row r="32">
      <c r="A32" s="107" t="s">
        <v>5149</v>
      </c>
      <c r="B32" s="47" t="s">
        <v>5150</v>
      </c>
      <c r="C32" s="47" t="s">
        <v>5151</v>
      </c>
      <c r="D32" s="304" t="s">
        <v>816</v>
      </c>
      <c r="E32" s="139" t="s">
        <v>5152</v>
      </c>
      <c r="F32" s="143" t="s">
        <v>5153</v>
      </c>
      <c r="G32" s="47" t="s">
        <v>5151</v>
      </c>
      <c r="H32" s="305" t="str">
        <f>IFERROR(__xludf.DUMMYFUNCTION("GOOGLETRANSLATE(D32,""zh-tw"",""ja"")"),"-")</f>
        <v>-</v>
      </c>
      <c r="I32" s="139" t="s">
        <v>5154</v>
      </c>
      <c r="J32" s="143" t="s">
        <v>5155</v>
      </c>
      <c r="K32" s="143" t="s">
        <v>5151</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5151</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5151</v>
      </c>
      <c r="T32" s="304" t="str">
        <f>IFERROR(__xludf.DUMMYFUNCTION("GOOGLETRANSLATE(D32,""zh-tw"",""es-MX"")"),"-")</f>
        <v>-</v>
      </c>
      <c r="U32" s="139" t="str">
        <f>IFERROR(__xludf.DUMMYFUNCTION("GOOGLETRANSLATE(A32,""zh-tw"",""KO"")"),"작은 빨간 괴물")</f>
        <v>작은 빨간 괴물</v>
      </c>
      <c r="V32" s="47" t="str">
        <f>IFERROR(__xludf.DUMMYFUNCTION("GOOGLETRANSLATE(B32,""zh-tw"",""KO"")"),"지옥에서 온 저주받은 배아")</f>
        <v>지옥에서 온 저주받은 배아</v>
      </c>
      <c r="W32" s="47" t="s">
        <v>5151</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5151</v>
      </c>
      <c r="AB32" s="304" t="str">
        <f>IFERROR(__xludf.DUMMYFUNCTION("GOOGLETRANSLATE(D32,""zh-tw"",""ru"")"),"-")</f>
        <v>-</v>
      </c>
      <c r="AC32" s="139" t="s">
        <v>5156</v>
      </c>
      <c r="AD32" s="143" t="s">
        <v>5157</v>
      </c>
      <c r="AE32" s="143" t="s">
        <v>5151</v>
      </c>
      <c r="AF32" s="304" t="s">
        <v>5012</v>
      </c>
      <c r="AG32" s="139" t="s">
        <v>5158</v>
      </c>
      <c r="AH32" s="143" t="s">
        <v>5159</v>
      </c>
      <c r="AI32" s="143" t="s">
        <v>5151</v>
      </c>
      <c r="AJ32" s="304" t="s">
        <v>816</v>
      </c>
      <c r="AK32" s="139" t="s">
        <v>5160</v>
      </c>
      <c r="AL32" s="137" t="s">
        <v>5161</v>
      </c>
      <c r="AM32" s="143" t="s">
        <v>5151</v>
      </c>
      <c r="AN32" s="304" t="s">
        <v>816</v>
      </c>
    </row>
    <row r="33">
      <c r="A33" s="107" t="s">
        <v>5162</v>
      </c>
      <c r="B33" s="47" t="s">
        <v>5163</v>
      </c>
      <c r="C33" s="47" t="s">
        <v>5164</v>
      </c>
      <c r="D33" s="304" t="s">
        <v>816</v>
      </c>
      <c r="E33" s="139" t="s">
        <v>5165</v>
      </c>
      <c r="F33" s="143" t="s">
        <v>5166</v>
      </c>
      <c r="G33" s="47" t="s">
        <v>5164</v>
      </c>
      <c r="H33" s="305" t="str">
        <f>IFERROR(__xludf.DUMMYFUNCTION("GOOGLETRANSLATE(D33,""zh-tw"",""ja"")"),"-")</f>
        <v>-</v>
      </c>
      <c r="I33" s="139" t="s">
        <v>5167</v>
      </c>
      <c r="J33" s="143" t="s">
        <v>5168</v>
      </c>
      <c r="K33" s="143" t="s">
        <v>5164</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5164</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5164</v>
      </c>
      <c r="T33" s="304" t="str">
        <f>IFERROR(__xludf.DUMMYFUNCTION("GOOGLETRANSLATE(D33,""zh-tw"",""es-MX"")"),"-")</f>
        <v>-</v>
      </c>
      <c r="U33" s="139" t="str">
        <f>IFERROR(__xludf.DUMMYFUNCTION("GOOGLETRANSLATE(A33,""zh-tw"",""KO"")"),"악마 고양이")</f>
        <v>악마 고양이</v>
      </c>
      <c r="V33" s="47"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47" t="s">
        <v>5164</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7" t="s">
        <v>5164</v>
      </c>
      <c r="AB33" s="304" t="str">
        <f>IFERROR(__xludf.DUMMYFUNCTION("GOOGLETRANSLATE(D33,""zh-tw"",""ru"")"),"-")</f>
        <v>-</v>
      </c>
      <c r="AC33" s="139" t="s">
        <v>5169</v>
      </c>
      <c r="AD33" s="143" t="s">
        <v>5170</v>
      </c>
      <c r="AE33" s="143" t="s">
        <v>5164</v>
      </c>
      <c r="AF33" s="304" t="s">
        <v>5012</v>
      </c>
      <c r="AG33" s="139" t="s">
        <v>5171</v>
      </c>
      <c r="AH33" s="143" t="s">
        <v>5172</v>
      </c>
      <c r="AI33" s="143" t="s">
        <v>5164</v>
      </c>
      <c r="AJ33" s="304" t="s">
        <v>816</v>
      </c>
      <c r="AK33" s="139" t="s">
        <v>5173</v>
      </c>
      <c r="AL33" s="137" t="s">
        <v>5174</v>
      </c>
      <c r="AM33" s="143" t="s">
        <v>5164</v>
      </c>
      <c r="AN33" s="304" t="s">
        <v>816</v>
      </c>
    </row>
    <row r="34">
      <c r="A34" s="107" t="s">
        <v>5175</v>
      </c>
      <c r="B34" s="47" t="s">
        <v>5176</v>
      </c>
      <c r="C34" s="47" t="s">
        <v>5177</v>
      </c>
      <c r="D34" s="304" t="s">
        <v>816</v>
      </c>
      <c r="E34" s="107" t="str">
        <f>IFERROR(__xludf.DUMMYFUNCTION("GOOGLETRANSLATE(A34,""zh-tw"",""ja"")"),"怨霊")</f>
        <v>怨霊</v>
      </c>
      <c r="F34" s="47" t="s">
        <v>5178</v>
      </c>
      <c r="G34" s="47" t="s">
        <v>5177</v>
      </c>
      <c r="H34" s="305" t="str">
        <f>IFERROR(__xludf.DUMMYFUNCTION("GOOGLETRANSLATE(D34,""zh-tw"",""ja"")"),"-")</f>
        <v>-</v>
      </c>
      <c r="I34" s="107" t="s">
        <v>5179</v>
      </c>
      <c r="J34" s="143" t="s">
        <v>5180</v>
      </c>
      <c r="K34" s="143" t="s">
        <v>5177</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5177</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5177</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7" t="s">
        <v>5177</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7" t="s">
        <v>5177</v>
      </c>
      <c r="AB34" s="304" t="str">
        <f>IFERROR(__xludf.DUMMYFUNCTION("GOOGLETRANSLATE(D34,""zh-tw"",""ru"")"),"-")</f>
        <v>-</v>
      </c>
      <c r="AC34" s="139" t="s">
        <v>5181</v>
      </c>
      <c r="AD34" s="143" t="s">
        <v>5182</v>
      </c>
      <c r="AE34" s="143" t="s">
        <v>5177</v>
      </c>
      <c r="AF34" s="304" t="s">
        <v>5012</v>
      </c>
      <c r="AG34" s="139" t="s">
        <v>5183</v>
      </c>
      <c r="AH34" s="143" t="s">
        <v>5184</v>
      </c>
      <c r="AI34" s="143" t="s">
        <v>5177</v>
      </c>
      <c r="AJ34" s="304" t="s">
        <v>816</v>
      </c>
      <c r="AK34" s="139" t="s">
        <v>5185</v>
      </c>
      <c r="AL34" s="137" t="s">
        <v>5186</v>
      </c>
      <c r="AM34" s="143" t="s">
        <v>5177</v>
      </c>
      <c r="AN34" s="304" t="s">
        <v>816</v>
      </c>
    </row>
    <row r="35">
      <c r="A35" s="107" t="s">
        <v>5187</v>
      </c>
      <c r="B35" s="47" t="s">
        <v>5188</v>
      </c>
      <c r="C35" s="47" t="s">
        <v>5189</v>
      </c>
      <c r="D35" s="304" t="s">
        <v>816</v>
      </c>
      <c r="E35" s="139" t="str">
        <f>IFERROR(__xludf.DUMMYFUNCTION("GOOGLETRANSLATE(A35,""zh-tw"",""ja"")"),"ゾンビ")</f>
        <v>ゾンビ</v>
      </c>
      <c r="F35" s="143" t="s">
        <v>5190</v>
      </c>
      <c r="G35" s="47" t="s">
        <v>5189</v>
      </c>
      <c r="H35" s="305" t="str">
        <f>IFERROR(__xludf.DUMMYFUNCTION("GOOGLETRANSLATE(D35,""zh-tw"",""ja"")"),"-")</f>
        <v>-</v>
      </c>
      <c r="I35" s="139" t="s">
        <v>5191</v>
      </c>
      <c r="J35" s="143" t="s">
        <v>5192</v>
      </c>
      <c r="K35" s="143" t="s">
        <v>5189</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5189</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5189</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5189</v>
      </c>
      <c r="X35" s="305" t="str">
        <f>IFERROR(__xludf.DUMMYFUNCTION("GOOGLETRANSLATE(D35,""zh-tw"",""KO"")"),"-")</f>
        <v>-</v>
      </c>
      <c r="Y35" s="107" t="str">
        <f>IFERROR(__xludf.DUMMYFUNCTION("GOOGLETRANSLATE(A35,""zh-tw"",""ru"")"),"Зомби")</f>
        <v>Зомби</v>
      </c>
      <c r="Z35" s="47"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7" t="s">
        <v>5189</v>
      </c>
      <c r="AB35" s="304" t="str">
        <f>IFERROR(__xludf.DUMMYFUNCTION("GOOGLETRANSLATE(D35,""zh-tw"",""ru"")"),"-")</f>
        <v>-</v>
      </c>
      <c r="AC35" s="139" t="s">
        <v>5193</v>
      </c>
      <c r="AD35" s="143" t="s">
        <v>5194</v>
      </c>
      <c r="AE35" s="143" t="s">
        <v>5189</v>
      </c>
      <c r="AF35" s="304" t="s">
        <v>5012</v>
      </c>
      <c r="AG35" s="139" t="s">
        <v>5191</v>
      </c>
      <c r="AH35" s="143" t="s">
        <v>5195</v>
      </c>
      <c r="AI35" s="143" t="s">
        <v>5189</v>
      </c>
      <c r="AJ35" s="304" t="s">
        <v>816</v>
      </c>
      <c r="AK35" s="139" t="s">
        <v>5196</v>
      </c>
      <c r="AL35" s="137" t="s">
        <v>5197</v>
      </c>
      <c r="AM35" s="143" t="s">
        <v>5189</v>
      </c>
      <c r="AN35" s="304" t="s">
        <v>816</v>
      </c>
    </row>
    <row r="36">
      <c r="A36" s="107" t="s">
        <v>5198</v>
      </c>
      <c r="B36" s="47" t="s">
        <v>5199</v>
      </c>
      <c r="C36" s="47" t="s">
        <v>5200</v>
      </c>
      <c r="D36" s="304" t="s">
        <v>5201</v>
      </c>
      <c r="E36" s="139" t="s">
        <v>5202</v>
      </c>
      <c r="F36" s="143" t="str">
        <f>IFERROR(__xludf.DUMMYFUNCTION("GOOGLETRANSLATE(B36,""zh-tw"",""ja"")"),"怒りの拳
シェリスの呪われた手
カーネリアンのペンダント *")</f>
        <v>怒りの拳
シェリスの呪われた手
カーネリアンのペンダント *</v>
      </c>
      <c r="G36" s="47" t="s">
        <v>5200</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5203</v>
      </c>
      <c r="J36" s="143" t="s">
        <v>5204</v>
      </c>
      <c r="K36" s="143" t="s">
        <v>5200</v>
      </c>
      <c r="L36" s="304" t="s">
        <v>5205</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5200</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5200</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IFERROR(__xludf.DUMMYFUNCTION("GOOGLETRANSLATE(B36,""zh-tw"",""KO"")"),"화난 주먹
셰리스의 저주받은 손
카넬리안 펜던트 *")</f>
        <v>화난 주먹
셰리스의 저주받은 손
카넬리안 펜던트 *</v>
      </c>
      <c r="W36" s="47" t="s">
        <v>5200</v>
      </c>
      <c r="X36" s="305"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IFERROR(__xludf.DUMMYFUNCTION("GOOGLETRANSLATE(B36,""zh-tw"",""ru"")"),"Злой кулак
Проклятая рука Шерис
Кулон из сердолика*")</f>
        <v>Злой кулак
Проклятая рука Шерис
Кулон из сердолика*</v>
      </c>
      <c r="AA36" s="47" t="s">
        <v>5200</v>
      </c>
      <c r="AB36" s="304"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9" t="s">
        <v>5206</v>
      </c>
      <c r="AD36" s="143" t="s">
        <v>5207</v>
      </c>
      <c r="AE36" s="143" t="s">
        <v>5200</v>
      </c>
      <c r="AF36" s="304" t="s">
        <v>816</v>
      </c>
      <c r="AG36" s="139" t="s">
        <v>5208</v>
      </c>
      <c r="AH36" s="143" t="s">
        <v>5209</v>
      </c>
      <c r="AI36" s="143" t="s">
        <v>5200</v>
      </c>
      <c r="AJ36" s="304" t="s">
        <v>5210</v>
      </c>
      <c r="AK36" s="139" t="s">
        <v>5211</v>
      </c>
      <c r="AL36" s="143" t="s">
        <v>5212</v>
      </c>
      <c r="AM36" s="143" t="s">
        <v>5200</v>
      </c>
      <c r="AN36" s="304" t="s">
        <v>5213</v>
      </c>
    </row>
    <row r="37">
      <c r="A37" s="98" t="s">
        <v>5214</v>
      </c>
      <c r="E37" s="303" t="str">
        <f>IFERROR(__xludf.DUMMYFUNCTION("GOOGLETRANSLATE(A37,""zh-tw"",""ja"")"),"ボス/特殊クリーチャー")</f>
        <v>ボス/特殊クリーチャー</v>
      </c>
      <c r="I37" s="303" t="s">
        <v>5215</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5216</v>
      </c>
      <c r="AK37" s="303" t="s">
        <v>5215</v>
      </c>
    </row>
    <row r="38">
      <c r="A38" s="107" t="s">
        <v>5217</v>
      </c>
      <c r="B38" s="47" t="s">
        <v>5218</v>
      </c>
      <c r="C38" s="47" t="s">
        <v>5219</v>
      </c>
      <c r="D38" s="304" t="s">
        <v>5220</v>
      </c>
      <c r="E38" s="139" t="str">
        <f>IFERROR(__xludf.DUMMYFUNCTION("GOOGLETRANSLATE(A38,""zh-tw"",""ja"")"),"狂乱の赤い獣")</f>
        <v>狂乱の赤い獣</v>
      </c>
      <c r="F38" s="143" t="s">
        <v>5221</v>
      </c>
      <c r="G38" s="47" t="s">
        <v>5219</v>
      </c>
      <c r="H38" s="305" t="s">
        <v>5222</v>
      </c>
      <c r="I38" s="139" t="s">
        <v>5223</v>
      </c>
      <c r="J38" s="143" t="s">
        <v>5224</v>
      </c>
      <c r="K38" s="143" t="s">
        <v>5219</v>
      </c>
      <c r="L38" s="304" t="s">
        <v>5225</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5219</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5219</v>
      </c>
      <c r="T38" s="304" t="str">
        <f>IFERROR(__xludf.DUMMYFUNCTION("GOOGLETRANSLATE(D38,""zh-tw"",""es-MX"")"),"Jefe de las Ruinas
Debilidad: Veneno")</f>
        <v>Jefe de las Ruinas
Debilidad: Veneno</v>
      </c>
      <c r="U38" s="139" t="str">
        <f>IFERROR(__xludf.DUMMYFUNCTION("GOOGLETRANSLATE(A38,""zh-tw"",""KO"")"),"광란의 붉은 짐승")</f>
        <v>광란의 붉은 짐승</v>
      </c>
      <c r="V38" s="47" t="s">
        <v>5226</v>
      </c>
      <c r="W38" s="47" t="s">
        <v>5219</v>
      </c>
      <c r="X38" s="305" t="s">
        <v>5227</v>
      </c>
      <c r="Y38" s="107" t="str">
        <f>IFERROR(__xludf.DUMMYFUNCTION("GOOGLETRANSLATE(A38,""zh-tw"",""ru"")"),"Бешеный Красный Зверь")</f>
        <v>Бешеный Красный Зверь</v>
      </c>
      <c r="Z38" s="47"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7" t="s">
        <v>5219</v>
      </c>
      <c r="AB38" s="304" t="str">
        <f>IFERROR(__xludf.DUMMYFUNCTION("GOOGLETRANSLATE(D38,""zh-tw"",""ru"")"),"Босс Руин
Слабость: Яд")</f>
        <v>Босс Руин
Слабость: Яд</v>
      </c>
      <c r="AC38" s="139" t="s">
        <v>5228</v>
      </c>
      <c r="AD38" s="143" t="s">
        <v>5229</v>
      </c>
      <c r="AE38" s="143" t="s">
        <v>5219</v>
      </c>
      <c r="AF38" s="304" t="s">
        <v>5230</v>
      </c>
      <c r="AG38" s="139" t="s">
        <v>5231</v>
      </c>
      <c r="AH38" s="143" t="s">
        <v>5232</v>
      </c>
      <c r="AI38" s="143" t="s">
        <v>5219</v>
      </c>
      <c r="AJ38" s="304" t="s">
        <v>5233</v>
      </c>
      <c r="AK38" s="139" t="s">
        <v>5234</v>
      </c>
      <c r="AL38" s="137" t="s">
        <v>5235</v>
      </c>
      <c r="AM38" s="143" t="s">
        <v>5219</v>
      </c>
      <c r="AN38" s="304" t="s">
        <v>5236</v>
      </c>
    </row>
    <row r="39">
      <c r="A39" s="107" t="s">
        <v>5237</v>
      </c>
      <c r="B39" s="47" t="s">
        <v>5238</v>
      </c>
      <c r="C39" s="47" t="s">
        <v>5239</v>
      </c>
      <c r="D39" s="305" t="s">
        <v>5240</v>
      </c>
      <c r="E39" s="107" t="s">
        <v>5241</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5239</v>
      </c>
      <c r="H39" s="305" t="s">
        <v>5240</v>
      </c>
      <c r="I39" s="139" t="s">
        <v>5242</v>
      </c>
      <c r="J39" s="143" t="s">
        <v>5243</v>
      </c>
      <c r="K39" s="143" t="s">
        <v>5239</v>
      </c>
      <c r="L39" s="304" t="s">
        <v>5240</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5239</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5239</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7" t="s">
        <v>5239</v>
      </c>
      <c r="X39" s="305" t="s">
        <v>5240</v>
      </c>
      <c r="Y39" s="107" t="str">
        <f>IFERROR(__xludf.DUMMYFUNCTION("GOOGLETRANSLATE(A39,""zh-tw"",""ru"")"),"Белый кролик маленького сада")</f>
        <v>Белый кролик маленького сада</v>
      </c>
      <c r="Z39" s="47"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7" t="s">
        <v>5239</v>
      </c>
      <c r="AB39" s="304" t="s">
        <v>5240</v>
      </c>
      <c r="AC39" s="139" t="s">
        <v>5244</v>
      </c>
      <c r="AD39" s="143" t="s">
        <v>5245</v>
      </c>
      <c r="AE39" s="143" t="s">
        <v>5239</v>
      </c>
      <c r="AF39" s="304" t="s">
        <v>5246</v>
      </c>
      <c r="AG39" s="139" t="s">
        <v>5247</v>
      </c>
      <c r="AH39" s="143" t="s">
        <v>5248</v>
      </c>
      <c r="AI39" s="143" t="s">
        <v>5239</v>
      </c>
      <c r="AJ39" s="304" t="s">
        <v>5240</v>
      </c>
      <c r="AK39" s="139" t="s">
        <v>5249</v>
      </c>
      <c r="AL39" s="143" t="s">
        <v>5250</v>
      </c>
      <c r="AM39" s="143" t="s">
        <v>5239</v>
      </c>
      <c r="AN39" s="304" t="s">
        <v>5251</v>
      </c>
    </row>
    <row r="40">
      <c r="A40" s="107" t="s">
        <v>3348</v>
      </c>
      <c r="B40" s="47" t="s">
        <v>5252</v>
      </c>
      <c r="C40" s="47">
        <v>100.0</v>
      </c>
      <c r="D40" s="304" t="s">
        <v>5253</v>
      </c>
      <c r="E40" s="107" t="str">
        <f>IFERROR(__xludf.DUMMYFUNCTION("GOOGLETRANSLATE(A40,""zh-tw"",""ja"")"),"かかし")</f>
        <v>かかし</v>
      </c>
      <c r="F40" s="47" t="s">
        <v>5254</v>
      </c>
      <c r="G40" s="47">
        <v>100.0</v>
      </c>
      <c r="H40" s="305" t="s">
        <v>5255</v>
      </c>
      <c r="I40" s="107" t="s">
        <v>3354</v>
      </c>
      <c r="J40" s="143" t="s">
        <v>5256</v>
      </c>
      <c r="K40" s="143">
        <v>100.0</v>
      </c>
      <c r="L40" s="304" t="s">
        <v>5257</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5258</v>
      </c>
      <c r="W40" s="47">
        <v>100.0</v>
      </c>
      <c r="X40" s="305" t="s">
        <v>5259</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5260</v>
      </c>
      <c r="AE40" s="143">
        <v>100.0</v>
      </c>
      <c r="AF40" s="304" t="s">
        <v>5261</v>
      </c>
      <c r="AG40" s="139" t="s">
        <v>3360</v>
      </c>
      <c r="AH40" s="143" t="s">
        <v>5262</v>
      </c>
      <c r="AI40" s="143">
        <v>100.0</v>
      </c>
      <c r="AJ40" s="304" t="s">
        <v>5263</v>
      </c>
      <c r="AK40" s="139" t="s">
        <v>3363</v>
      </c>
      <c r="AL40" s="143" t="s">
        <v>5264</v>
      </c>
      <c r="AM40" s="143">
        <v>100.0</v>
      </c>
      <c r="AN40" s="304" t="s">
        <v>5265</v>
      </c>
    </row>
    <row r="41">
      <c r="A41" s="107" t="s">
        <v>5266</v>
      </c>
      <c r="B41" s="47" t="s">
        <v>5267</v>
      </c>
      <c r="C41" s="47">
        <v>100.0</v>
      </c>
      <c r="D41" s="304" t="s">
        <v>5268</v>
      </c>
      <c r="E41" s="107" t="s">
        <v>5266</v>
      </c>
      <c r="F41" s="47" t="s">
        <v>5269</v>
      </c>
      <c r="G41" s="47">
        <v>100.0</v>
      </c>
      <c r="H41" s="305" t="s">
        <v>5270</v>
      </c>
      <c r="I41" s="107" t="s">
        <v>5266</v>
      </c>
      <c r="J41" s="143" t="s">
        <v>5271</v>
      </c>
      <c r="K41" s="143">
        <v>100.0</v>
      </c>
      <c r="L41" s="304" t="s">
        <v>5272</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IFERROR(__xludf.DUMMYFUNCTION("GOOGLETRANSLATE(D41,""zh-tw"",""es-MX"")"),"Asaba Doro comerá las fresas al borde del camino.")</f>
        <v>Asaba Doro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IFERROR(__xludf.DUMMYFUNCTION("GOOGLETRANSLATE(D41,""zh-tw"",""KO"")"),"아사바 도로는 길가에서 딸기를 먹습니다.")</f>
        <v>아사바 도로는 길가에서 딸기를 먹습니다.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IFERROR(__xludf.DUMMYFUNCTION("GOOGLETRANSLATE(D41,""zh-tw"",""ru"")"),"Асаба Доро будет есть клубнику у дороги.")</f>
        <v>Асаба Доро будет есть клубнику у дороги.</v>
      </c>
      <c r="AC41" s="139" t="s">
        <v>5266</v>
      </c>
      <c r="AD41" s="143" t="s">
        <v>5273</v>
      </c>
      <c r="AE41" s="143">
        <v>100.0</v>
      </c>
      <c r="AF41" s="304" t="s">
        <v>5274</v>
      </c>
      <c r="AG41" s="139" t="s">
        <v>5275</v>
      </c>
      <c r="AH41" s="143" t="s">
        <v>5276</v>
      </c>
      <c r="AI41" s="143">
        <v>100.0</v>
      </c>
      <c r="AJ41" s="304" t="s">
        <v>5277</v>
      </c>
      <c r="AK41" s="139" t="s">
        <v>5266</v>
      </c>
      <c r="AL41" s="143" t="s">
        <v>5278</v>
      </c>
      <c r="AM41" s="143">
        <v>100.0</v>
      </c>
      <c r="AN41" s="304" t="s">
        <v>5279</v>
      </c>
    </row>
    <row r="42">
      <c r="A42" s="107" t="s">
        <v>5280</v>
      </c>
      <c r="B42" s="47" t="s">
        <v>5281</v>
      </c>
      <c r="C42" s="47" t="s">
        <v>5282</v>
      </c>
      <c r="D42" s="305" t="s">
        <v>5283</v>
      </c>
      <c r="E42" s="107" t="s">
        <v>5284</v>
      </c>
      <c r="F42" s="143" t="s">
        <v>5285</v>
      </c>
      <c r="G42" s="47" t="s">
        <v>5282</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5286</v>
      </c>
      <c r="J42" s="143" t="s">
        <v>5287</v>
      </c>
      <c r="K42" s="143" t="s">
        <v>5282</v>
      </c>
      <c r="L42" s="304" t="s">
        <v>5288</v>
      </c>
      <c r="M42" s="139" t="str">
        <f>IFERROR(__xludf.DUMMYFUNCTION("GOOGLETRANSLATE(A42,""zh-tw"",""zh"")"),"狂暴的ASABA")</f>
        <v>狂暴的ASABA</v>
      </c>
      <c r="N42" s="143" t="str">
        <f>IFERROR(__xludf.DUMMYFUNCTION("GOOGLETRANSLATE(B42,""zh-tw"",""zh"")"),"ASAB的草莓
把草莓夺回来！ ! *")</f>
        <v>ASAB的草莓
把草莓夺回来！ ! *</v>
      </c>
      <c r="O42" s="143" t="s">
        <v>5282</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5282</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5282</v>
      </c>
      <c r="X42" s="305" t="s">
        <v>5240</v>
      </c>
      <c r="Y42" s="107" t="str">
        <f>IFERROR(__xludf.DUMMYFUNCTION("GOOGLETRANSLATE(A42,""zh-tw"",""ru"")"),"Берсерк ASABA")</f>
        <v>Берсерк ASABA</v>
      </c>
      <c r="Z42" s="47" t="str">
        <f>IFERROR(__xludf.DUMMYFUNCTION("GOOGLETRANSLATE(B42,""zh-tw"",""ru"")"),"Клубника ASAB, давайте вернем себе клубнику!")</f>
        <v>Клубника ASAB, давайте вернем себе клубнику!</v>
      </c>
      <c r="AA42" s="47" t="s">
        <v>5282</v>
      </c>
      <c r="AB42" s="304" t="s">
        <v>5240</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5282</v>
      </c>
      <c r="AF42" s="304" t="s">
        <v>5240</v>
      </c>
      <c r="AG42" s="139" t="s">
        <v>5275</v>
      </c>
      <c r="AH42" s="143" t="s">
        <v>5289</v>
      </c>
      <c r="AI42" s="143" t="s">
        <v>5282</v>
      </c>
      <c r="AJ42" s="304" t="s">
        <v>5240</v>
      </c>
      <c r="AK42" s="139" t="s">
        <v>5290</v>
      </c>
      <c r="AL42" s="143" t="s">
        <v>5291</v>
      </c>
      <c r="AM42" s="143" t="s">
        <v>5282</v>
      </c>
      <c r="AN42" s="304" t="s">
        <v>5292</v>
      </c>
    </row>
    <row r="43">
      <c r="A43" s="107" t="s">
        <v>5293</v>
      </c>
      <c r="B43" s="47" t="s">
        <v>5294</v>
      </c>
      <c r="C43" s="47">
        <v>100.0</v>
      </c>
      <c r="D43" s="305" t="s">
        <v>5295</v>
      </c>
      <c r="E43" s="107" t="str">
        <f>IFERROR(__xludf.DUMMYFUNCTION("GOOGLETRANSLATE(A43,""zh-tw"",""ja"")"),"浅羽")</f>
        <v>浅羽</v>
      </c>
      <c r="F43" s="143" t="s">
        <v>5296</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5297</v>
      </c>
      <c r="J43" s="143" t="s">
        <v>5298</v>
      </c>
      <c r="K43" s="143">
        <v>100.0</v>
      </c>
      <c r="L43" s="304" t="s">
        <v>5299</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5300</v>
      </c>
      <c r="W43" s="47">
        <v>100.0</v>
      </c>
      <c r="X43" s="305" t="s">
        <v>5301</v>
      </c>
      <c r="Y43" s="107" t="str">
        <f>IFERROR(__xludf.DUMMYFUNCTION("GOOGLETRANSLATE(A43,""zh-tw"",""ru"")"),"Асаба")</f>
        <v>Асаба</v>
      </c>
      <c r="Z43" s="47" t="str">
        <f>IFERROR(__xludf.DUMMYFUNCTION("GOOGLETRANSLATE(B43,""zh-tw"",""ru"")"),"Перчатки «кошачьи лапки»")</f>
        <v>Перчатки «кошачьи лапки»</v>
      </c>
      <c r="AA43" s="47">
        <v>100.0</v>
      </c>
      <c r="AB43" s="304"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9" t="s">
        <v>5297</v>
      </c>
      <c r="AD43" s="143" t="s">
        <v>5302</v>
      </c>
      <c r="AE43" s="143">
        <v>100.0</v>
      </c>
      <c r="AF43" s="304" t="s">
        <v>5303</v>
      </c>
      <c r="AG43" s="139" t="s">
        <v>5297</v>
      </c>
      <c r="AH43" s="143" t="s">
        <v>5304</v>
      </c>
      <c r="AI43" s="143">
        <v>100.0</v>
      </c>
      <c r="AJ43" s="304" t="s">
        <v>5305</v>
      </c>
      <c r="AK43" s="139" t="s">
        <v>5297</v>
      </c>
      <c r="AL43" s="143" t="s">
        <v>5306</v>
      </c>
      <c r="AM43" s="143">
        <v>100.0</v>
      </c>
      <c r="AN43" s="304" t="s">
        <v>5307</v>
      </c>
    </row>
    <row r="44">
      <c r="A44" s="107" t="s">
        <v>5308</v>
      </c>
      <c r="B44" s="47" t="s">
        <v>5309</v>
      </c>
      <c r="C44" s="47" t="s">
        <v>5310</v>
      </c>
      <c r="D44" s="305" t="s">
        <v>5311</v>
      </c>
      <c r="E44" s="107" t="s">
        <v>5312</v>
      </c>
      <c r="F44" s="143" t="s">
        <v>5313</v>
      </c>
      <c r="G44" s="47" t="s">
        <v>5310</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5314</v>
      </c>
      <c r="J44" s="143" t="s">
        <v>5315</v>
      </c>
      <c r="K44" s="143" t="s">
        <v>5310</v>
      </c>
      <c r="L44" s="304" t="s">
        <v>5316</v>
      </c>
      <c r="M44" s="139" t="str">
        <f>IFERROR(__xludf.DUMMYFUNCTION("GOOGLETRANSLATE(A44,""zh-tw"",""zh"")"),"应该已经灭绝的河之主!?")</f>
        <v>应该已经灭绝的河之主!?</v>
      </c>
      <c r="N44" s="143" t="str">
        <f>IFERROR(__xludf.DUMMYFUNCTION("GOOGLETRANSLATE(B44,""zh-tw"",""zh"")"),"◉▽◉(粉色)
王权之令")</f>
        <v>◉▽◉(粉色)
王权之令</v>
      </c>
      <c r="O44" s="143" t="s">
        <v>5310</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5310</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강의 군주!?")</f>
        <v>이미 멸종했어야 할 강의 군주!?</v>
      </c>
      <c r="V44" s="47" t="str">
        <f>IFERROR(__xludf.DUMMYFUNCTION("GOOGLETRANSLATE(B44,""zh-tw"",""KO"")"),"◉▽◉(분홍) 왕의 칙령")</f>
        <v>◉▽◉(분홍) 왕의 칙령</v>
      </c>
      <c r="W44" s="47" t="s">
        <v>5310</v>
      </c>
      <c r="X44" s="305"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7" t="str">
        <f>IFERROR(__xludf.DUMMYFUNCTION("GOOGLETRANSLATE(A44,""zh-tw"",""ru"")"),"Речной Лорд, который уже должен был вымереть!?")</f>
        <v>Речной Лорд, который уже должен был вымереть!?</v>
      </c>
      <c r="Z44" s="47" t="str">
        <f>IFERROR(__xludf.DUMMYFUNCTION("GOOGLETRANSLATE(B44,""zh-tw"",""ru"")"),"◉▽◉(Розовый) Указ короля")</f>
        <v>◉▽◉(Розовый) Указ короля</v>
      </c>
      <c r="AA44" s="47" t="s">
        <v>5310</v>
      </c>
      <c r="AB44" s="304"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39" t="s">
        <v>5317</v>
      </c>
      <c r="AD44" s="143" t="s">
        <v>5318</v>
      </c>
      <c r="AE44" s="143" t="s">
        <v>5310</v>
      </c>
      <c r="AF44" s="304" t="s">
        <v>5319</v>
      </c>
      <c r="AG44" s="139" t="s">
        <v>5320</v>
      </c>
      <c r="AH44" s="143" t="s">
        <v>5321</v>
      </c>
      <c r="AI44" s="143" t="s">
        <v>5310</v>
      </c>
      <c r="AJ44" s="304" t="s">
        <v>5322</v>
      </c>
      <c r="AK44" s="119" t="s">
        <v>5323</v>
      </c>
      <c r="AL44" s="143" t="s">
        <v>5324</v>
      </c>
      <c r="AM44" s="143" t="s">
        <v>5310</v>
      </c>
      <c r="AN44" s="304" t="s">
        <v>5325</v>
      </c>
    </row>
    <row r="45">
      <c r="A45" s="303" t="s">
        <v>5326</v>
      </c>
      <c r="E45" s="98" t="str">
        <f>IFERROR(__xludf.DUMMYFUNCTION("GOOGLETRANSLATE(A45,""zh-tw"",""ja"")"),"シーンオブジェクト")</f>
        <v>シーンオブジェクト</v>
      </c>
      <c r="I45" s="98" t="s">
        <v>5327</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5328</v>
      </c>
      <c r="AK45" s="303" t="s">
        <v>5327</v>
      </c>
    </row>
    <row r="46">
      <c r="A46" s="107" t="s">
        <v>5329</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5330</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IFERROR(__xludf.DUMMYFUNCTION("GOOGLETRANSLATE(A46,""zh-tw"",""KO"")"),"길을 막고 있는 거대한 바위")</f>
        <v>길을 막고 있는 거대한 바위</v>
      </c>
      <c r="V46" s="47" t="str">
        <f>IFERROR(__xludf.DUMMYFUNCTION("GOOGLETRANSLATE(B46,""zh-tw"",""KO"")"),"-")</f>
        <v>-</v>
      </c>
      <c r="W46" s="47" t="s">
        <v>816</v>
      </c>
      <c r="X46" s="305" t="str">
        <f>IFERROR(__xludf.DUMMYFUNCTION("GOOGLETRANSLATE(D46,""zh-tw"",""KO"")"),"-")</f>
        <v>-</v>
      </c>
      <c r="Y46" s="107" t="str">
        <f>IFERROR(__xludf.DUMMYFUNCTION("GOOGLETRANSLATE(A46,""zh-tw"",""RU"")"),"Огромные камни преграждают дорогу")</f>
        <v>Огромные камни преграждают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5331</v>
      </c>
      <c r="AH46" s="143"/>
      <c r="AI46" s="143" t="s">
        <v>816</v>
      </c>
      <c r="AJ46" s="304" t="s">
        <v>816</v>
      </c>
      <c r="AK46" s="139" t="s">
        <v>5332</v>
      </c>
      <c r="AL46" s="143" t="s">
        <v>816</v>
      </c>
      <c r="AM46" s="143" t="s">
        <v>816</v>
      </c>
      <c r="AN46" s="304" t="s">
        <v>816</v>
      </c>
    </row>
    <row r="47">
      <c r="A47" s="107" t="s">
        <v>5333</v>
      </c>
      <c r="B47" s="47" t="s">
        <v>5334</v>
      </c>
      <c r="C47" s="47">
        <v>100.0</v>
      </c>
      <c r="D47" s="305" t="s">
        <v>816</v>
      </c>
      <c r="E47" s="107" t="s">
        <v>5335</v>
      </c>
      <c r="F47" s="47" t="str">
        <f>IFERROR(__xludf.DUMMYFUNCTION("GOOGLETRANSLATE(B47,""zh-tw"",""ja"")"),"騎士の剣")</f>
        <v>騎士の剣</v>
      </c>
      <c r="G47" s="47">
        <v>100.0</v>
      </c>
      <c r="H47" s="305" t="str">
        <f>IFERROR(__xludf.DUMMYFUNCTION("GOOGLETRANSLATE(D47,""zh-tw"",""ja"")"),"-")</f>
        <v>-</v>
      </c>
      <c r="I47" s="107" t="s">
        <v>5336</v>
      </c>
      <c r="J47" s="143" t="s">
        <v>5337</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5338</v>
      </c>
      <c r="V47" s="47" t="s">
        <v>5339</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5340</v>
      </c>
      <c r="AD47" s="143" t="s">
        <v>5341</v>
      </c>
      <c r="AE47" s="143">
        <v>100.0</v>
      </c>
      <c r="AF47" s="304" t="s">
        <v>5342</v>
      </c>
      <c r="AG47" s="139" t="s">
        <v>5343</v>
      </c>
      <c r="AH47" s="143" t="s">
        <v>5344</v>
      </c>
      <c r="AI47" s="143">
        <v>100.0</v>
      </c>
      <c r="AJ47" s="304" t="s">
        <v>816</v>
      </c>
      <c r="AK47" s="139" t="s">
        <v>5345</v>
      </c>
      <c r="AL47" s="143" t="s">
        <v>5346</v>
      </c>
      <c r="AM47" s="143">
        <v>100.0</v>
      </c>
      <c r="AN47" s="304" t="s">
        <v>816</v>
      </c>
    </row>
    <row r="48">
      <c r="A48" s="139" t="s">
        <v>5347</v>
      </c>
      <c r="B48" s="143" t="s">
        <v>5348</v>
      </c>
      <c r="C48" s="47" t="s">
        <v>5349</v>
      </c>
      <c r="D48" s="304" t="s">
        <v>5350</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5349</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5351</v>
      </c>
      <c r="J48" s="143" t="s">
        <v>5352</v>
      </c>
      <c r="K48" s="143" t="s">
        <v>5349</v>
      </c>
      <c r="L48" s="304" t="s">
        <v>5353</v>
      </c>
      <c r="M48" s="139" t="str">
        <f>IFERROR(__xludf.DUMMYFUNCTION("GOOGLETRANSLATE(A48,""zh-tw"",""zh"")"),"很大的蛋")</f>
        <v>很大的蛋</v>
      </c>
      <c r="N48" s="143" t="str">
        <f>IFERROR(__xludf.DUMMYFUNCTION("GOOGLETRANSLATE(B48,""zh-tw"",""zh"")"),"很大的蛋
小红怪*")</f>
        <v>很大的蛋
小红怪*</v>
      </c>
      <c r="O48" s="47" t="s">
        <v>5349</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5349</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5354</v>
      </c>
      <c r="V48" s="143" t="s">
        <v>5354</v>
      </c>
      <c r="W48" s="143" t="s">
        <v>5349</v>
      </c>
      <c r="X48" s="305" t="s">
        <v>5355</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5349</v>
      </c>
      <c r="AB48" s="304"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9" t="s">
        <v>5356</v>
      </c>
      <c r="AD48" s="143" t="s">
        <v>5357</v>
      </c>
      <c r="AE48" s="143" t="s">
        <v>5349</v>
      </c>
      <c r="AF48" s="304" t="s">
        <v>5358</v>
      </c>
      <c r="AG48" s="139" t="s">
        <v>5359</v>
      </c>
      <c r="AH48" s="143" t="s">
        <v>5360</v>
      </c>
      <c r="AI48" s="143" t="s">
        <v>5349</v>
      </c>
      <c r="AJ48" s="304" t="s">
        <v>5361</v>
      </c>
      <c r="AK48" s="139" t="s">
        <v>5362</v>
      </c>
      <c r="AL48" s="143" t="s">
        <v>5363</v>
      </c>
      <c r="AM48" s="143" t="s">
        <v>5349</v>
      </c>
      <c r="AN48" s="304" t="s">
        <v>5364</v>
      </c>
    </row>
    <row r="49">
      <c r="A49" s="107" t="s">
        <v>5365</v>
      </c>
      <c r="B49" s="47" t="s">
        <v>5366</v>
      </c>
      <c r="C49" s="47" t="s">
        <v>5367</v>
      </c>
      <c r="D49" s="305" t="s">
        <v>5368</v>
      </c>
      <c r="E49" s="107" t="s">
        <v>5369</v>
      </c>
      <c r="F49" s="143" t="s">
        <v>5370</v>
      </c>
      <c r="G49" s="47" t="s">
        <v>5367</v>
      </c>
      <c r="H49" s="305" t="s">
        <v>5371</v>
      </c>
      <c r="I49" s="107" t="s">
        <v>5372</v>
      </c>
      <c r="J49" s="143" t="s">
        <v>5373</v>
      </c>
      <c r="K49" s="143" t="s">
        <v>5367</v>
      </c>
      <c r="L49" s="304" t="s">
        <v>5374</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5367</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5367</v>
      </c>
      <c r="T49" s="304" t="str">
        <f>IFERROR(__xludf.DUMMYFUNCTION("GOOGLETRANSLATE(D49,""zh-tw"",""es-MX"")"),"Golpea los hongos en el suelo en las ruinas.")</f>
        <v>Golpea los hongos en el suelo en las ruinas.</v>
      </c>
      <c r="U49" s="139" t="s">
        <v>5375</v>
      </c>
      <c r="V49" s="47" t="s">
        <v>5376</v>
      </c>
      <c r="W49" s="47" t="s">
        <v>5367</v>
      </c>
      <c r="X49" s="305" t="s">
        <v>5377</v>
      </c>
      <c r="Y49" s="107" t="str">
        <f>IFERROR(__xludf.DUMMYFUNCTION("GOOGLETRANSLATE(A49,""zh-tw"",""ru"")"),"Реликтовые грибы")</f>
        <v>Реликтовые грибы</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5367</v>
      </c>
      <c r="AB49" s="304" t="str">
        <f>IFERROR(__xludf.DUMMYFUNCTION("GOOGLETRANSLATE(D49,""zh-tw"",""ru"")"),"На руинах на земле лежат грибы.")</f>
        <v>На руинах на земле лежат грибы.</v>
      </c>
      <c r="AC49" s="139" t="s">
        <v>5378</v>
      </c>
      <c r="AD49" s="143" t="s">
        <v>5379</v>
      </c>
      <c r="AE49" s="143" t="s">
        <v>5367</v>
      </c>
      <c r="AF49" s="304" t="s">
        <v>5380</v>
      </c>
      <c r="AG49" s="139" t="s">
        <v>5381</v>
      </c>
      <c r="AH49" s="143" t="s">
        <v>5382</v>
      </c>
      <c r="AI49" s="143" t="s">
        <v>5367</v>
      </c>
      <c r="AJ49" s="304" t="s">
        <v>5383</v>
      </c>
      <c r="AK49" s="139" t="s">
        <v>5384</v>
      </c>
      <c r="AL49" s="143" t="s">
        <v>5385</v>
      </c>
      <c r="AM49" s="143" t="s">
        <v>5367</v>
      </c>
      <c r="AN49" s="304" t="s">
        <v>5386</v>
      </c>
    </row>
    <row r="50">
      <c r="A50" s="107" t="s">
        <v>5387</v>
      </c>
      <c r="B50" s="47" t="s">
        <v>5388</v>
      </c>
      <c r="C50" s="47" t="s">
        <v>5389</v>
      </c>
      <c r="D50" s="305" t="s">
        <v>5390</v>
      </c>
      <c r="E50" s="107" t="s">
        <v>5391</v>
      </c>
      <c r="F50" s="47" t="s">
        <v>5392</v>
      </c>
      <c r="G50" s="47" t="s">
        <v>5389</v>
      </c>
      <c r="H50" s="305" t="s">
        <v>5393</v>
      </c>
      <c r="I50" s="107" t="s">
        <v>5394</v>
      </c>
      <c r="J50" s="143" t="s">
        <v>5395</v>
      </c>
      <c r="K50" s="143" t="s">
        <v>5389</v>
      </c>
      <c r="L50" s="304" t="s">
        <v>5396</v>
      </c>
      <c r="M50" s="139" t="str">
        <f>IFERROR(__xludf.DUMMYFUNCTION("GOOGLETRANSLATE(A50,""zh-tw"",""zh"")"),"红花")</f>
        <v>红花</v>
      </c>
      <c r="N50" s="143" t="str">
        <f>IFERROR(__xludf.DUMMYFUNCTION("GOOGLETRANSLATE(B50,""zh-tw"",""zh"")"),"火鸟的羽毛
500元
1000元")</f>
        <v>火鸟的羽毛
500元
1000元</v>
      </c>
      <c r="O50" s="143" t="s">
        <v>5389</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5389</v>
      </c>
      <c r="T50" s="304" t="str">
        <f>IFERROR(__xludf.DUMMYFUNCTION("GOOGLETRANSLATE(D50,""zh-tw"",""es-MX"")"),"Flores rojas en el suelo de las ruinas.")</f>
        <v>Flores rojas en el suelo de las ruinas.</v>
      </c>
      <c r="U50" s="139" t="s">
        <v>5397</v>
      </c>
      <c r="V50" s="47" t="s">
        <v>5398</v>
      </c>
      <c r="W50" s="47" t="s">
        <v>5389</v>
      </c>
      <c r="X50" s="305" t="s">
        <v>5399</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5389</v>
      </c>
      <c r="AB50" s="304" t="str">
        <f>IFERROR(__xludf.DUMMYFUNCTION("GOOGLETRANSLATE(D50,""zh-tw"",""ru"")"),"Красные цветы на земле у руин")</f>
        <v>Красные цветы на земле у руин</v>
      </c>
      <c r="AC50" s="139" t="s">
        <v>5400</v>
      </c>
      <c r="AD50" s="143" t="s">
        <v>5401</v>
      </c>
      <c r="AE50" s="143" t="s">
        <v>5389</v>
      </c>
      <c r="AF50" s="304" t="s">
        <v>5402</v>
      </c>
      <c r="AG50" s="139" t="s">
        <v>5403</v>
      </c>
      <c r="AH50" s="143" t="s">
        <v>5404</v>
      </c>
      <c r="AI50" s="143" t="s">
        <v>5389</v>
      </c>
      <c r="AJ50" s="304" t="s">
        <v>5405</v>
      </c>
      <c r="AK50" s="139" t="s">
        <v>5394</v>
      </c>
      <c r="AL50" s="143" t="s">
        <v>5406</v>
      </c>
      <c r="AM50" s="143" t="s">
        <v>5389</v>
      </c>
      <c r="AN50" s="304" t="s">
        <v>5407</v>
      </c>
    </row>
    <row r="51">
      <c r="A51" s="107" t="s">
        <v>5408</v>
      </c>
      <c r="B51" s="137" t="s">
        <v>5409</v>
      </c>
      <c r="C51" s="47" t="s">
        <v>5410</v>
      </c>
      <c r="D51" s="305" t="s">
        <v>816</v>
      </c>
      <c r="E51" s="107" t="s">
        <v>5411</v>
      </c>
      <c r="F51" s="47" t="s">
        <v>5412</v>
      </c>
      <c r="G51" s="47" t="s">
        <v>5410</v>
      </c>
      <c r="H51" s="305" t="str">
        <f>IFERROR(__xludf.DUMMYFUNCTION("GOOGLETRANSLATE(D51,""zh-tw"",""ja"")"),"-")</f>
        <v>-</v>
      </c>
      <c r="I51" s="107" t="s">
        <v>5413</v>
      </c>
      <c r="J51" s="137" t="s">
        <v>5414</v>
      </c>
      <c r="K51" s="143" t="s">
        <v>5410</v>
      </c>
      <c r="L51" s="304"/>
      <c r="M51" s="139" t="s">
        <v>5408</v>
      </c>
      <c r="N51" s="143" t="s">
        <v>5415</v>
      </c>
      <c r="O51" s="143" t="s">
        <v>5410</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5410</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(""절제"" 제외)
랜덤 룬
1000위안
화이트 품질 장비
블루 품질 장비")</f>
        <v>실버 콜라
잭 밤
랜덤 타로 카드 ("절제" 제외)
랜덤 룬
1000위안
화이트 품질 장비
블루 품질 장비</v>
      </c>
      <c r="W51" s="47" t="s">
        <v>5410</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1" s="47" t="s">
        <v>5410</v>
      </c>
      <c r="AB51" s="304" t="s">
        <v>816</v>
      </c>
      <c r="AC51" s="139" t="s">
        <v>5416</v>
      </c>
      <c r="AD51" s="143" t="s">
        <v>5417</v>
      </c>
      <c r="AE51" s="143" t="s">
        <v>5410</v>
      </c>
      <c r="AF51" s="304" t="s">
        <v>816</v>
      </c>
      <c r="AG51" s="139" t="s">
        <v>5418</v>
      </c>
      <c r="AH51" s="143" t="s">
        <v>5419</v>
      </c>
      <c r="AI51" s="143" t="s">
        <v>5410</v>
      </c>
      <c r="AJ51" s="304" t="s">
        <v>816</v>
      </c>
      <c r="AK51" s="139" t="s">
        <v>5420</v>
      </c>
      <c r="AL51" s="137" t="s">
        <v>5421</v>
      </c>
      <c r="AM51" s="143" t="s">
        <v>5410</v>
      </c>
      <c r="AN51" s="304" t="s">
        <v>816</v>
      </c>
    </row>
    <row r="52">
      <c r="A52" s="107" t="s">
        <v>5422</v>
      </c>
      <c r="B52" s="137" t="s">
        <v>5409</v>
      </c>
      <c r="C52" s="47" t="s">
        <v>5410</v>
      </c>
      <c r="D52" s="305" t="s">
        <v>816</v>
      </c>
      <c r="E52" s="107" t="s">
        <v>5423</v>
      </c>
      <c r="F52" s="47" t="s">
        <v>5412</v>
      </c>
      <c r="G52" s="47" t="s">
        <v>5410</v>
      </c>
      <c r="H52" s="305" t="str">
        <f>IFERROR(__xludf.DUMMYFUNCTION("GOOGLETRANSLATE(D52,""zh-tw"",""ja"")"),"-")</f>
        <v>-</v>
      </c>
      <c r="I52" s="107" t="s">
        <v>5424</v>
      </c>
      <c r="J52" s="137" t="s">
        <v>5414</v>
      </c>
      <c r="K52" s="143" t="s">
        <v>5410</v>
      </c>
      <c r="L52" s="304"/>
      <c r="M52" s="139" t="s">
        <v>5425</v>
      </c>
      <c r="N52" s="143" t="s">
        <v>5415</v>
      </c>
      <c r="O52" s="143" t="s">
        <v>5410</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5410</v>
      </c>
      <c r="T52" s="304" t="str">
        <f>IFERROR(__xludf.DUMMYFUNCTION("GOOGLETRANSLATE(D52,""zh-tw"",""es-MX"")"),"-")</f>
        <v>-</v>
      </c>
      <c r="U52" s="139" t="str">
        <f>IFERROR(__xludf.DUMMYFUNCTION("GOOGLETRANSLATE(A52,""zh-tw"",""KO"")"),"유적지에서 나온 도자기 병")</f>
        <v>유적지에서 나온 도자기 병</v>
      </c>
      <c r="V52" s="47" t="str">
        <f>IFERROR(__xludf.DUMMYFUNCTION("GOOGLETRANSLATE(B52,""zh-tw"",""KO"")"),"실버 콜라
잭 밤
랜덤 타로 카드 (""절제"" 제외)
랜덤 룬
1000위안
화이트 품질 장비
블루 품질 장비")</f>
        <v>실버 콜라
잭 밤
랜덤 타로 카드 ("절제" 제외)
랜덤 룬
1000위안
화이트 품질 장비
블루 품질 장비</v>
      </c>
      <c r="W52" s="47" t="s">
        <v>5410</v>
      </c>
      <c r="X52" s="305" t="str">
        <f>IFERROR(__xludf.DUMMYFUNCTION("GOOGLETRANSLATE(D52,""zh-tw"",""KO"")"),"-")</f>
        <v>-</v>
      </c>
      <c r="Y52" s="107" t="str">
        <f>IFERROR(__xludf.DUMMYFUNCTION("GOOGLETRANSLATE(A52,""zh-tw"",""ru"")"),"керамическая бутылка из руин")</f>
        <v>керамическая бутылка из руин</v>
      </c>
      <c r="Z52" s="47" t="str">
        <f>IFERROR(__xludf.DUMMYFUNCTION("GOOGLETRANSLATE(B52,""zh-tw"",""ru"")"),"Серебряная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2" s="47" t="s">
        <v>5410</v>
      </c>
      <c r="AB52" s="304" t="s">
        <v>816</v>
      </c>
      <c r="AC52" s="139" t="s">
        <v>5426</v>
      </c>
      <c r="AD52" s="143" t="s">
        <v>5417</v>
      </c>
      <c r="AE52" s="143" t="s">
        <v>5410</v>
      </c>
      <c r="AF52" s="304" t="s">
        <v>816</v>
      </c>
      <c r="AG52" s="139" t="s">
        <v>5427</v>
      </c>
      <c r="AH52" s="143" t="s">
        <v>5419</v>
      </c>
      <c r="AI52" s="143" t="s">
        <v>5410</v>
      </c>
      <c r="AJ52" s="304" t="s">
        <v>816</v>
      </c>
      <c r="AK52" s="139" t="s">
        <v>5424</v>
      </c>
      <c r="AL52" s="137" t="s">
        <v>5421</v>
      </c>
      <c r="AM52" s="143" t="s">
        <v>5410</v>
      </c>
      <c r="AN52" s="304" t="s">
        <v>816</v>
      </c>
    </row>
    <row r="53">
      <c r="A53" s="139" t="s">
        <v>5428</v>
      </c>
      <c r="B53" s="137" t="s">
        <v>5409</v>
      </c>
      <c r="C53" s="143" t="s">
        <v>5410</v>
      </c>
      <c r="D53" s="304" t="s">
        <v>816</v>
      </c>
      <c r="E53" s="139" t="s">
        <v>5428</v>
      </c>
      <c r="F53" s="143" t="s">
        <v>5412</v>
      </c>
      <c r="G53" s="143" t="s">
        <v>5410</v>
      </c>
      <c r="H53" s="304" t="str">
        <f>IFERROR(__xludf.DUMMYFUNCTION("GOOGLETRANSLATE(D53,""zh-tw"",""ja"")"),"-")</f>
        <v>-</v>
      </c>
      <c r="I53" s="139" t="s">
        <v>5429</v>
      </c>
      <c r="J53" s="137" t="s">
        <v>5414</v>
      </c>
      <c r="K53" s="143" t="s">
        <v>5410</v>
      </c>
      <c r="L53" s="304"/>
      <c r="M53" s="139" t="s">
        <v>5428</v>
      </c>
      <c r="N53" s="143" t="s">
        <v>5415</v>
      </c>
      <c r="O53" s="143" t="s">
        <v>5410</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5410</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(""절제"" 제외)
랜덤 룬
1000위안
화이트 품질 장비
블루 품질 장비")</f>
        <v>실버 콜라
잭 밤
랜덤 타로 카드 ("절제" 제외)
랜덤 룬
1000위안
화이트 품질 장비
블루 품질 장비</v>
      </c>
      <c r="W53" s="143" t="s">
        <v>5410</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3" s="47" t="s">
        <v>5410</v>
      </c>
      <c r="AB53" s="304" t="s">
        <v>816</v>
      </c>
      <c r="AC53" s="139" t="s">
        <v>5430</v>
      </c>
      <c r="AD53" s="143" t="s">
        <v>5417</v>
      </c>
      <c r="AE53" s="143" t="s">
        <v>5410</v>
      </c>
      <c r="AF53" s="304" t="s">
        <v>816</v>
      </c>
      <c r="AG53" s="139" t="s">
        <v>5431</v>
      </c>
      <c r="AH53" s="143" t="s">
        <v>5419</v>
      </c>
      <c r="AI53" s="143" t="s">
        <v>5410</v>
      </c>
      <c r="AJ53" s="304" t="s">
        <v>816</v>
      </c>
      <c r="AK53" s="139" t="s">
        <v>5432</v>
      </c>
      <c r="AL53" s="137" t="s">
        <v>5421</v>
      </c>
      <c r="AM53" s="143" t="s">
        <v>5410</v>
      </c>
      <c r="AN53" s="304" t="s">
        <v>816</v>
      </c>
    </row>
    <row r="54">
      <c r="A54" s="139" t="s">
        <v>5433</v>
      </c>
      <c r="B54" s="137" t="s">
        <v>5409</v>
      </c>
      <c r="C54" s="143" t="s">
        <v>5410</v>
      </c>
      <c r="D54" s="304" t="s">
        <v>816</v>
      </c>
      <c r="E54" s="139" t="s">
        <v>5434</v>
      </c>
      <c r="F54" s="143" t="s">
        <v>5412</v>
      </c>
      <c r="G54" s="143" t="s">
        <v>5410</v>
      </c>
      <c r="H54" s="304" t="str">
        <f>IFERROR(__xludf.DUMMYFUNCTION("GOOGLETRANSLATE(D54,""zh-tw"",""ja"")"),"-")</f>
        <v>-</v>
      </c>
      <c r="I54" s="139" t="s">
        <v>5435</v>
      </c>
      <c r="J54" s="137" t="s">
        <v>5414</v>
      </c>
      <c r="K54" s="143" t="s">
        <v>5410</v>
      </c>
      <c r="L54" s="304"/>
      <c r="M54" s="139" t="s">
        <v>5433</v>
      </c>
      <c r="N54" s="143" t="s">
        <v>5415</v>
      </c>
      <c r="O54" s="143" t="s">
        <v>5410</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5410</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(""절제"" 제외)
랜덤 룬
1000위안
화이트 품질 장비
블루 품질 장비")</f>
        <v>실버 콜라
잭 밤
랜덤 타로 카드 ("절제" 제외)
랜덤 룬
1000위안
화이트 품질 장비
블루 품질 장비</v>
      </c>
      <c r="W54" s="143" t="s">
        <v>5410</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4" s="47" t="s">
        <v>5410</v>
      </c>
      <c r="AB54" s="304" t="s">
        <v>816</v>
      </c>
      <c r="AC54" s="139" t="s">
        <v>5436</v>
      </c>
      <c r="AD54" s="143" t="s">
        <v>5417</v>
      </c>
      <c r="AE54" s="143" t="s">
        <v>5410</v>
      </c>
      <c r="AF54" s="304" t="s">
        <v>816</v>
      </c>
      <c r="AG54" s="139" t="s">
        <v>5437</v>
      </c>
      <c r="AH54" s="143" t="s">
        <v>5419</v>
      </c>
      <c r="AI54" s="143" t="s">
        <v>5410</v>
      </c>
      <c r="AJ54" s="304" t="s">
        <v>816</v>
      </c>
      <c r="AK54" s="139" t="s">
        <v>5438</v>
      </c>
      <c r="AL54" s="137" t="s">
        <v>5421</v>
      </c>
      <c r="AM54" s="143" t="s">
        <v>5410</v>
      </c>
      <c r="AN54" s="304" t="s">
        <v>816</v>
      </c>
    </row>
    <row r="55">
      <c r="A55" s="139" t="s">
        <v>5439</v>
      </c>
      <c r="B55" s="143" t="s">
        <v>5440</v>
      </c>
      <c r="C55" s="143" t="s">
        <v>5441</v>
      </c>
      <c r="D55" s="304" t="s">
        <v>816</v>
      </c>
      <c r="E55" s="139" t="str">
        <f>IFERROR(__xludf.DUMMYFUNCTION("GOOGLETRANSLATE(A55,""zh-tw"",""ja"")"),"鉱石")</f>
        <v>鉱石</v>
      </c>
      <c r="F55" s="143" t="s">
        <v>5442</v>
      </c>
      <c r="G55" s="143" t="s">
        <v>5441</v>
      </c>
      <c r="H55" s="304" t="str">
        <f>IFERROR(__xludf.DUMMYFUNCTION("GOOGLETRANSLATE(D55,""zh-tw"",""ja"")"),"-")</f>
        <v>-</v>
      </c>
      <c r="I55" s="139" t="s">
        <v>5443</v>
      </c>
      <c r="J55" s="143" t="s">
        <v>5444</v>
      </c>
      <c r="K55" s="143" t="s">
        <v>5441</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5441</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5441</v>
      </c>
      <c r="T55" s="304" t="str">
        <f>IFERROR(__xludf.DUMMYFUNCTION("GOOGLETRANSLATE(D55,""zh-tw"",""es-MX"")"),"-")</f>
        <v>-</v>
      </c>
      <c r="U55" s="139" t="str">
        <f>IFERROR(__xludf.DUMMYFUNCTION("GOOGLETRANSLATE(A55,""zh-tw"",""KO"")"),"광석")</f>
        <v>광석</v>
      </c>
      <c r="V55" s="143"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3" t="s">
        <v>5441</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7" t="s">
        <v>5441</v>
      </c>
      <c r="AB55" s="304" t="str">
        <f>IFERROR(__xludf.DUMMYFUNCTION("GOOGLETRANSLATE(D55,""zh-tw"",""ru"")"),"-")</f>
        <v>-</v>
      </c>
      <c r="AC55" s="139" t="s">
        <v>5445</v>
      </c>
      <c r="AD55" s="143" t="s">
        <v>5446</v>
      </c>
      <c r="AE55" s="143" t="s">
        <v>5441</v>
      </c>
      <c r="AF55" s="304" t="s">
        <v>5447</v>
      </c>
      <c r="AG55" s="139" t="s">
        <v>5448</v>
      </c>
      <c r="AH55" s="143" t="s">
        <v>5449</v>
      </c>
      <c r="AI55" s="143" t="s">
        <v>5441</v>
      </c>
      <c r="AJ55" s="304" t="s">
        <v>816</v>
      </c>
      <c r="AK55" s="139" t="s">
        <v>5450</v>
      </c>
      <c r="AL55" s="143" t="s">
        <v>5451</v>
      </c>
      <c r="AM55" s="143" t="s">
        <v>5441</v>
      </c>
      <c r="AN55" s="304" t="s">
        <v>816</v>
      </c>
    </row>
    <row r="56">
      <c r="A56" s="139" t="s">
        <v>5452</v>
      </c>
      <c r="B56" s="143" t="s">
        <v>5453</v>
      </c>
      <c r="C56" s="143" t="s">
        <v>5454</v>
      </c>
      <c r="D56" s="304" t="s">
        <v>816</v>
      </c>
      <c r="E56" s="139" t="str">
        <f>IFERROR(__xludf.DUMMYFUNCTION("GOOGLETRANSLATE(A56,""zh-tw"",""ja"")"),"果樹")</f>
        <v>果樹</v>
      </c>
      <c r="F56" s="143" t="s">
        <v>5455</v>
      </c>
      <c r="G56" s="143" t="s">
        <v>5454</v>
      </c>
      <c r="H56" s="304" t="str">
        <f>IFERROR(__xludf.DUMMYFUNCTION("GOOGLETRANSLATE(D56,""zh-tw"",""ja"")"),"-")</f>
        <v>-</v>
      </c>
      <c r="I56" s="139" t="s">
        <v>5456</v>
      </c>
      <c r="J56" s="143" t="s">
        <v>5457</v>
      </c>
      <c r="K56" s="143" t="s">
        <v>5454</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5454</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5454</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3" t="s">
        <v>5454</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5454</v>
      </c>
      <c r="AB56" s="304" t="str">
        <f>IFERROR(__xludf.DUMMYFUNCTION("GOOGLETRANSLATE(D56,""zh-tw"",""ru"")"),"-")</f>
        <v>-</v>
      </c>
      <c r="AC56" s="139" t="s">
        <v>5458</v>
      </c>
      <c r="AD56" s="143" t="s">
        <v>5459</v>
      </c>
      <c r="AE56" s="143" t="s">
        <v>5454</v>
      </c>
      <c r="AF56" s="304" t="s">
        <v>5460</v>
      </c>
      <c r="AG56" s="139" t="s">
        <v>5461</v>
      </c>
      <c r="AH56" s="143" t="s">
        <v>5462</v>
      </c>
      <c r="AI56" s="143" t="s">
        <v>5454</v>
      </c>
      <c r="AJ56" s="304" t="s">
        <v>816</v>
      </c>
      <c r="AK56" s="139" t="s">
        <v>5463</v>
      </c>
      <c r="AL56" s="143" t="s">
        <v>5464</v>
      </c>
      <c r="AM56" s="143" t="s">
        <v>5454</v>
      </c>
      <c r="AN56" s="304" t="s">
        <v>816</v>
      </c>
    </row>
    <row r="57">
      <c r="A57" s="139" t="s">
        <v>5465</v>
      </c>
      <c r="B57" s="143" t="s">
        <v>5465</v>
      </c>
      <c r="C57" s="143">
        <v>100.0</v>
      </c>
      <c r="D57" s="304" t="s">
        <v>816</v>
      </c>
      <c r="E57" s="139" t="s">
        <v>5466</v>
      </c>
      <c r="F57" s="143" t="s">
        <v>5466</v>
      </c>
      <c r="G57" s="143">
        <v>100.0</v>
      </c>
      <c r="H57" s="304" t="str">
        <f>IFERROR(__xludf.DUMMYFUNCTION("GOOGLETRANSLATE(D57,""zh-tw"",""ja"")"),"-")</f>
        <v>-</v>
      </c>
      <c r="I57" s="139" t="s">
        <v>5467</v>
      </c>
      <c r="J57" s="143" t="s">
        <v>5467</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5468</v>
      </c>
      <c r="AD57" s="143" t="s">
        <v>5468</v>
      </c>
      <c r="AE57" s="143">
        <v>100.0</v>
      </c>
      <c r="AF57" s="304" t="s">
        <v>816</v>
      </c>
      <c r="AG57" s="139" t="s">
        <v>5469</v>
      </c>
      <c r="AH57" s="143" t="s">
        <v>5469</v>
      </c>
      <c r="AI57" s="143">
        <v>100.0</v>
      </c>
      <c r="AJ57" s="304" t="s">
        <v>816</v>
      </c>
      <c r="AK57" s="139" t="s">
        <v>5470</v>
      </c>
      <c r="AL57" s="143" t="s">
        <v>5470</v>
      </c>
      <c r="AM57" s="143">
        <v>100.0</v>
      </c>
      <c r="AN57" s="304" t="s">
        <v>816</v>
      </c>
    </row>
    <row r="58">
      <c r="A58" s="139" t="s">
        <v>5471</v>
      </c>
      <c r="B58" s="143" t="s">
        <v>5472</v>
      </c>
      <c r="C58" s="143" t="s">
        <v>5473</v>
      </c>
      <c r="D58" s="304" t="s">
        <v>5474</v>
      </c>
      <c r="E58" s="139" t="str">
        <f>IFERROR(__xludf.DUMMYFUNCTION("GOOGLETRANSLATE(A58,""zh-tw"",""ja"")"),"イチゴの苗")</f>
        <v>イチゴの苗</v>
      </c>
      <c r="F58" s="143" t="str">
        <f>IFERROR(__xludf.DUMMYFUNCTION("GOOGLETRANSLATE(B58,""zh-tw"",""ja"")"),"いちご")</f>
        <v>いちご</v>
      </c>
      <c r="G58" s="143" t="s">
        <v>5473</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5475</v>
      </c>
      <c r="J58" s="143" t="s">
        <v>5476</v>
      </c>
      <c r="K58" s="143" t="s">
        <v>5473</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5473</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5473</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5477</v>
      </c>
      <c r="V58" s="143" t="str">
        <f>IFERROR(__xludf.DUMMYFUNCTION("GOOGLETRANSLATE(B58,""zh-tw"",""KO"")"),"딸기")</f>
        <v>딸기</v>
      </c>
      <c r="W58" s="143" t="s">
        <v>5473</v>
      </c>
      <c r="X58" s="304" t="str">
        <f>IFERROR(__xludf.DUMMYFUNCTION("GOOGLETRANSLATE(D58,""zh-tw"",""KO"")"),"아이템 2개를 떨어뜨릴 확률은 40%이고, 아이템 3개를 떨어뜨릴 확률은 8%입니다.")</f>
        <v>아이템 2개를 떨어뜨릴 확률은 40%이고, 아이템 3개를 떨어뜨릴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5473</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5478</v>
      </c>
      <c r="AD58" s="143" t="s">
        <v>5479</v>
      </c>
      <c r="AE58" s="143" t="s">
        <v>5473</v>
      </c>
      <c r="AF58" s="304" t="s">
        <v>5480</v>
      </c>
      <c r="AG58" s="139" t="s">
        <v>5481</v>
      </c>
      <c r="AH58" s="143" t="s">
        <v>5482</v>
      </c>
      <c r="AI58" s="143" t="s">
        <v>5473</v>
      </c>
      <c r="AJ58" s="304" t="s">
        <v>5483</v>
      </c>
      <c r="AK58" s="139" t="s">
        <v>5484</v>
      </c>
      <c r="AL58" s="143" t="s">
        <v>5485</v>
      </c>
      <c r="AM58" s="143" t="s">
        <v>5473</v>
      </c>
      <c r="AN58" s="304" t="s">
        <v>5486</v>
      </c>
    </row>
    <row r="59">
      <c r="A59" s="139" t="s">
        <v>5487</v>
      </c>
      <c r="B59" s="143" t="s">
        <v>5488</v>
      </c>
      <c r="C59" s="143" t="s">
        <v>5473</v>
      </c>
      <c r="D59" s="304" t="s">
        <v>5474</v>
      </c>
      <c r="E59" s="139" t="str">
        <f>IFERROR(__xludf.DUMMYFUNCTION("GOOGLETRANSLATE(A59,""zh-tw"",""ja"")"),"ジャガイモの芽")</f>
        <v>ジャガイモの芽</v>
      </c>
      <c r="F59" s="143" t="str">
        <f>IFERROR(__xludf.DUMMYFUNCTION("GOOGLETRANSLATE(B59,""zh-tw"",""ja"")"),"じゃがいも")</f>
        <v>じゃがいも</v>
      </c>
      <c r="G59" s="143" t="s">
        <v>5473</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5489</v>
      </c>
      <c r="J59" s="143" t="s">
        <v>5490</v>
      </c>
      <c r="K59" s="143" t="s">
        <v>5473</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5473</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5473</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5491</v>
      </c>
      <c r="V59" s="143" t="str">
        <f>IFERROR(__xludf.DUMMYFUNCTION("GOOGLETRANSLATE(B59,""zh-tw"",""KO"")"),"감자")</f>
        <v>감자</v>
      </c>
      <c r="W59" s="143" t="s">
        <v>5473</v>
      </c>
      <c r="X59" s="304" t="str">
        <f>IFERROR(__xludf.DUMMYFUNCTION("GOOGLETRANSLATE(D59,""zh-tw"",""KO"")"),"아이템 2개를 떨어뜨릴 확률은 40%이고, 아이템 3개를 떨어뜨릴 확률은 8%입니다.")</f>
        <v>아이템 2개를 떨어뜨릴 확률은 40%이고, 아이템 3개를 떨어뜨릴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5473</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5492</v>
      </c>
      <c r="AD59" s="143" t="s">
        <v>5493</v>
      </c>
      <c r="AE59" s="143" t="s">
        <v>5473</v>
      </c>
      <c r="AF59" s="304" t="s">
        <v>5480</v>
      </c>
      <c r="AG59" s="139" t="s">
        <v>5494</v>
      </c>
      <c r="AH59" s="143" t="s">
        <v>5495</v>
      </c>
      <c r="AI59" s="143" t="s">
        <v>5473</v>
      </c>
      <c r="AJ59" s="304" t="s">
        <v>5483</v>
      </c>
      <c r="AK59" s="139" t="s">
        <v>5496</v>
      </c>
      <c r="AL59" s="143" t="s">
        <v>5497</v>
      </c>
      <c r="AM59" s="143" t="s">
        <v>5473</v>
      </c>
      <c r="AN59" s="304" t="s">
        <v>5486</v>
      </c>
    </row>
    <row r="60">
      <c r="A60" s="139" t="s">
        <v>5498</v>
      </c>
      <c r="B60" s="143" t="s">
        <v>5499</v>
      </c>
      <c r="C60" s="143" t="s">
        <v>5473</v>
      </c>
      <c r="D60" s="304" t="s">
        <v>5474</v>
      </c>
      <c r="E60" s="139" t="str">
        <f>IFERROR(__xludf.DUMMYFUNCTION("GOOGLETRANSLATE(A60,""zh-tw"",""ja"")"),"トマトの苗")</f>
        <v>トマトの苗</v>
      </c>
      <c r="F60" s="143" t="str">
        <f>IFERROR(__xludf.DUMMYFUNCTION("GOOGLETRANSLATE(B60,""zh-tw"",""ja"")"),"トマト")</f>
        <v>トマト</v>
      </c>
      <c r="G60" s="143" t="s">
        <v>5473</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5500</v>
      </c>
      <c r="J60" s="143" t="s">
        <v>5501</v>
      </c>
      <c r="K60" s="143" t="s">
        <v>5473</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5473</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5473</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5473</v>
      </c>
      <c r="X60" s="304" t="str">
        <f>IFERROR(__xludf.DUMMYFUNCTION("GOOGLETRANSLATE(D60,""zh-tw"",""KO"")"),"아이템 2개를 떨어뜨릴 확률은 40%이고, 아이템 3개를 떨어뜨릴 확률은 8%입니다.")</f>
        <v>아이템 2개를 떨어뜨릴 확률은 40%이고, 아이템 3개를 떨어뜨릴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5473</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5502</v>
      </c>
      <c r="AD60" s="143" t="s">
        <v>5503</v>
      </c>
      <c r="AE60" s="143" t="s">
        <v>5473</v>
      </c>
      <c r="AF60" s="304" t="s">
        <v>5480</v>
      </c>
      <c r="AG60" s="139" t="s">
        <v>5504</v>
      </c>
      <c r="AH60" s="143" t="s">
        <v>5505</v>
      </c>
      <c r="AI60" s="143" t="s">
        <v>5473</v>
      </c>
      <c r="AJ60" s="304" t="s">
        <v>5483</v>
      </c>
      <c r="AK60" s="139" t="s">
        <v>5506</v>
      </c>
      <c r="AL60" s="143" t="s">
        <v>5507</v>
      </c>
      <c r="AM60" s="143" t="s">
        <v>5473</v>
      </c>
      <c r="AN60" s="304" t="s">
        <v>5486</v>
      </c>
    </row>
    <row r="61">
      <c r="A61" s="139" t="s">
        <v>5508</v>
      </c>
      <c r="B61" s="143" t="s">
        <v>5509</v>
      </c>
      <c r="C61" s="143" t="s">
        <v>5473</v>
      </c>
      <c r="D61" s="304" t="s">
        <v>5474</v>
      </c>
      <c r="E61" s="139" t="str">
        <f>IFERROR(__xludf.DUMMYFUNCTION("GOOGLETRANSLATE(A61,""zh-tw"",""ja"")"),"唐辛子の苗")</f>
        <v>唐辛子の苗</v>
      </c>
      <c r="F61" s="143" t="str">
        <f>IFERROR(__xludf.DUMMYFUNCTION("GOOGLETRANSLATE(B61,""zh-tw"",""ja"")"),"チリ")</f>
        <v>チリ</v>
      </c>
      <c r="G61" s="143" t="s">
        <v>5473</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5510</v>
      </c>
      <c r="J61" s="143" t="s">
        <v>5511</v>
      </c>
      <c r="K61" s="143" t="s">
        <v>5473</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5473</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5473</v>
      </c>
      <c r="X61" s="304" t="str">
        <f>IFERROR(__xludf.DUMMYFUNCTION("GOOGLETRANSLATE(D61,""zh-tw"",""KO"")"),"아이템 2개를 떨어뜨릴 확률은 40%이고, 아이템 3개를 떨어뜨릴 확률은 8%입니다.")</f>
        <v>아이템 2개를 떨어뜨릴 확률은 40%이고, 아이템 3개를 떨어뜨릴 확률은 8%입니다.</v>
      </c>
      <c r="Y61" s="107" t="str">
        <f>IFERROR(__xludf.DUMMYFUNCTION("GOOGLETRANSLATE(A61,""zh-tw"",""ru"")"),"Рассада чили")</f>
        <v>Рассада чили</v>
      </c>
      <c r="Z61" s="47" t="str">
        <f>IFERROR(__xludf.DUMMYFUNCTION("GOOGLETRANSLATE(B61,""zh-tw"",""ru"")"),"чили")</f>
        <v>чили</v>
      </c>
      <c r="AA61" s="47" t="s">
        <v>5473</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5512</v>
      </c>
      <c r="AD61" s="143" t="s">
        <v>5513</v>
      </c>
      <c r="AE61" s="143" t="s">
        <v>5473</v>
      </c>
      <c r="AF61" s="304" t="s">
        <v>5480</v>
      </c>
      <c r="AG61" s="139" t="s">
        <v>5514</v>
      </c>
      <c r="AH61" s="143" t="s">
        <v>5515</v>
      </c>
      <c r="AI61" s="143" t="s">
        <v>5473</v>
      </c>
      <c r="AJ61" s="304" t="s">
        <v>5483</v>
      </c>
      <c r="AK61" s="139" t="s">
        <v>5516</v>
      </c>
      <c r="AL61" s="143" t="s">
        <v>5517</v>
      </c>
      <c r="AM61" s="143" t="s">
        <v>5473</v>
      </c>
      <c r="AN61" s="304" t="s">
        <v>5486</v>
      </c>
    </row>
    <row r="62">
      <c r="A62" s="303" t="s">
        <v>5518</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 связанная")</f>
        <v>вулканическая лава, связанная</v>
      </c>
      <c r="AC62" s="303" t="str">
        <f>IFERROR(__xludf.DUMMYFUNCTION("GOOGLETRANSLATE(A61,""zh-tw"",""DE"")"),"Chili-Setzlinge")</f>
        <v>Chili-Setzlinge</v>
      </c>
      <c r="AG62" s="303" t="s">
        <v>5519</v>
      </c>
      <c r="AK62" s="303" t="s">
        <v>3409</v>
      </c>
    </row>
    <row r="63">
      <c r="A63" s="139" t="s">
        <v>5520</v>
      </c>
      <c r="B63" s="143" t="s">
        <v>5521</v>
      </c>
      <c r="C63" s="143">
        <v>35.0</v>
      </c>
      <c r="D63" s="304" t="s">
        <v>816</v>
      </c>
      <c r="E63" s="139" t="s">
        <v>5522</v>
      </c>
      <c r="F63" s="143" t="s">
        <v>5523</v>
      </c>
      <c r="G63" s="143">
        <v>35.0</v>
      </c>
      <c r="H63" s="304" t="str">
        <f>IFERROR(__xludf.DUMMYFUNCTION("GOOGLETRANSLATE(D63,""zh-tw"",""ja"")"),"-")</f>
        <v>-</v>
      </c>
      <c r="I63" s="139" t="s">
        <v>5524</v>
      </c>
      <c r="J63" s="143" t="s">
        <v>5525</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5526</v>
      </c>
      <c r="W63" s="143">
        <v>35.0</v>
      </c>
      <c r="X63" s="304" t="str">
        <f>IFERROR(__xludf.DUMMYFUNCTION("GOOGLETRANSLATE(D63,""zh-tw"",""KO"")"),"-")</f>
        <v>-</v>
      </c>
      <c r="Y63" s="107" t="str">
        <f>IFERROR(__xludf.DUMMYFUNCTION("GOOGLETRANSLATE(A63,""zh-tw"",""ru"")"),"Фея Пламени")</f>
        <v>Фея Пламени</v>
      </c>
      <c r="Z63" s="47" t="str">
        <f>IFERROR(__xludf.DUMMYFUNCTION("GOOGLETRANSLATE(B63,""zh-tw"",""ru"")"),"Лавовый посох")</f>
        <v>Лавовый посох</v>
      </c>
      <c r="AA63" s="47">
        <v>35.0</v>
      </c>
      <c r="AB63" s="304" t="str">
        <f>IFERROR(__xludf.DUMMYFUNCTION("GOOGLETRANSLATE(D63,""zh-tw"",""ru"")"),"-")</f>
        <v>-</v>
      </c>
      <c r="AC63" s="139" t="s">
        <v>5527</v>
      </c>
      <c r="AD63" s="143" t="s">
        <v>5528</v>
      </c>
      <c r="AE63" s="143">
        <v>35.0</v>
      </c>
      <c r="AF63" s="304" t="s">
        <v>5012</v>
      </c>
      <c r="AG63" s="139" t="s">
        <v>5529</v>
      </c>
      <c r="AH63" s="143" t="s">
        <v>5530</v>
      </c>
      <c r="AI63" s="143">
        <v>35.0</v>
      </c>
      <c r="AJ63" s="304" t="s">
        <v>816</v>
      </c>
      <c r="AK63" s="139" t="s">
        <v>5531</v>
      </c>
      <c r="AL63" s="143" t="s">
        <v>5532</v>
      </c>
      <c r="AM63" s="143">
        <v>35.0</v>
      </c>
      <c r="AN63" s="304" t="s">
        <v>816</v>
      </c>
    </row>
    <row r="64">
      <c r="A64" s="139" t="s">
        <v>5533</v>
      </c>
      <c r="B64" s="143" t="s">
        <v>5534</v>
      </c>
      <c r="C64" s="143" t="s">
        <v>5535</v>
      </c>
      <c r="D64" s="304" t="s">
        <v>816</v>
      </c>
      <c r="E64" s="139" t="s">
        <v>5536</v>
      </c>
      <c r="F64" s="143" t="str">
        <f>IFERROR(__xludf.DUMMYFUNCTION("GOOGLETRANSLATE(B64,""zh-tw"",""ja"")"),"溶岩リング
紫品質アイテム")</f>
        <v>溶岩リング
紫品質アイテム</v>
      </c>
      <c r="G64" s="143" t="s">
        <v>5535</v>
      </c>
      <c r="H64" s="304" t="str">
        <f>IFERROR(__xludf.DUMMYFUNCTION("GOOGLETRANSLATE(D64,""zh-tw"",""ja"")"),"-")</f>
        <v>-</v>
      </c>
      <c r="I64" s="139" t="s">
        <v>5537</v>
      </c>
      <c r="J64" s="143" t="s">
        <v>5538</v>
      </c>
      <c r="K64" s="143" t="s">
        <v>5535</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5535</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5535</v>
      </c>
      <c r="T64" s="304" t="str">
        <f>IFERROR(__xludf.DUMMYFUNCTION("GOOGLETRANSLATE(D64,""zh-tw"",""es-MX"")"),"-")</f>
        <v>-</v>
      </c>
      <c r="U64" s="139" t="str">
        <f>IFERROR(__xludf.DUMMYFUNCTION("GOOGLETRANSLATE(A64,""zh-tw"",""KO"")"),"불타는 슬라임")</f>
        <v>불타는 슬라임</v>
      </c>
      <c r="V64" s="143" t="s">
        <v>5539</v>
      </c>
      <c r="W64" s="143" t="s">
        <v>5535</v>
      </c>
      <c r="X64" s="304" t="str">
        <f>IFERROR(__xludf.DUMMYFUNCTION("GOOGLETRANSLATE(D64,""zh-tw"",""KO"")"),"-")</f>
        <v>-</v>
      </c>
      <c r="Y64" s="107" t="str">
        <f>IFERROR(__xludf.DUMMYFUNCTION("GOOGLETRANSLATE(A64,""zh-tw"",""ru"")"),"Горящая слизь")</f>
        <v>Горящая слизь</v>
      </c>
      <c r="Z64" s="47" t="str">
        <f>IFERROR(__xludf.DUMMYFUNCTION("GOOGLETRANSLATE(B64,""zh-tw"",""ru"")"),"Кольцо лавы
Предмет фиолетового качества")</f>
        <v>Кольцо лавы
Предмет фиолетового качества</v>
      </c>
      <c r="AA64" s="47" t="s">
        <v>5535</v>
      </c>
      <c r="AB64" s="304" t="str">
        <f>IFERROR(__xludf.DUMMYFUNCTION("GOOGLETRANSLATE(D64,""zh-tw"",""ru"")"),"-")</f>
        <v>-</v>
      </c>
      <c r="AC64" s="139" t="s">
        <v>5540</v>
      </c>
      <c r="AD64" s="143" t="s">
        <v>5541</v>
      </c>
      <c r="AE64" s="143" t="s">
        <v>5535</v>
      </c>
      <c r="AF64" s="304" t="s">
        <v>5012</v>
      </c>
      <c r="AG64" s="139" t="s">
        <v>5542</v>
      </c>
      <c r="AH64" s="143" t="s">
        <v>5543</v>
      </c>
      <c r="AI64" s="143" t="s">
        <v>5535</v>
      </c>
      <c r="AJ64" s="304" t="s">
        <v>816</v>
      </c>
      <c r="AK64" s="139" t="s">
        <v>5544</v>
      </c>
      <c r="AL64" s="143" t="s">
        <v>5545</v>
      </c>
      <c r="AM64" s="143" t="s">
        <v>5535</v>
      </c>
      <c r="AN64" s="304" t="s">
        <v>816</v>
      </c>
    </row>
    <row r="65">
      <c r="A65" s="139" t="s">
        <v>5546</v>
      </c>
      <c r="B65" s="143" t="s">
        <v>5547</v>
      </c>
      <c r="C65" s="143" t="s">
        <v>5548</v>
      </c>
      <c r="D65" s="304" t="s">
        <v>816</v>
      </c>
      <c r="E65" s="139" t="s">
        <v>5546</v>
      </c>
      <c r="F65" s="143" t="str">
        <f>IFERROR(__xludf.DUMMYFUNCTION("GOOGLETRANSLATE(B65,""zh-tw"",""ja"")"),"溶岩の杖
サンファイア
サンホイール")</f>
        <v>溶岩の杖
サンファイア
サンホイール</v>
      </c>
      <c r="G65" s="143" t="s">
        <v>5548</v>
      </c>
      <c r="H65" s="304" t="str">
        <f>IFERROR(__xludf.DUMMYFUNCTION("GOOGLETRANSLATE(D65,""zh-tw"",""ja"")"),"-")</f>
        <v>-</v>
      </c>
      <c r="I65" s="139" t="s">
        <v>5549</v>
      </c>
      <c r="J65" s="143" t="s">
        <v>5550</v>
      </c>
      <c r="K65" s="143" t="s">
        <v>5548</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5548</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5548</v>
      </c>
      <c r="T65" s="304" t="str">
        <f>IFERROR(__xludf.DUMMYFUNCTION("GOOGLETRANSLATE(D65,""zh-tw"",""es-MX"")"),"-")</f>
        <v>-</v>
      </c>
      <c r="U65" s="139" t="str">
        <f>IFERROR(__xludf.DUMMYFUNCTION("GOOGLETRANSLATE(A65,""zh-tw"",""KO"")"),"화염 악마")</f>
        <v>화염 악마</v>
      </c>
      <c r="V65" s="143" t="str">
        <f>IFERROR(__xludf.DUMMYFUNCTION("GOOGLETRANSLATE(B65,""zh-tw"",""KO"")"),"용암 지팡이
선파이어
썬 휠")</f>
        <v>용암 지팡이
선파이어
썬 휠</v>
      </c>
      <c r="W65" s="143" t="s">
        <v>5548</v>
      </c>
      <c r="X65" s="304" t="str">
        <f>IFERROR(__xludf.DUMMYFUNCTION("GOOGLETRANSLATE(D65,""zh-tw"",""KO"")"),"-")</f>
        <v>-</v>
      </c>
      <c r="Y65" s="107" t="str">
        <f>IFERROR(__xludf.DUMMYFUNCTION("GOOGLETRANSLATE(A65,""zh-tw"",""ru"")"),"Пламенный Демон")</f>
        <v>Пламенный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5548</v>
      </c>
      <c r="AB65" s="304" t="str">
        <f>IFERROR(__xludf.DUMMYFUNCTION("GOOGLETRANSLATE(D65,""zh-tw"",""ru"")"),"-")</f>
        <v>-</v>
      </c>
      <c r="AC65" s="139" t="s">
        <v>5549</v>
      </c>
      <c r="AD65" s="143" t="s">
        <v>5551</v>
      </c>
      <c r="AE65" s="143" t="s">
        <v>5548</v>
      </c>
      <c r="AF65" s="304" t="s">
        <v>5012</v>
      </c>
      <c r="AG65" s="139" t="s">
        <v>5549</v>
      </c>
      <c r="AH65" s="143" t="s">
        <v>5552</v>
      </c>
      <c r="AI65" s="143" t="s">
        <v>5548</v>
      </c>
      <c r="AJ65" s="304" t="s">
        <v>816</v>
      </c>
      <c r="AK65" s="139" t="s">
        <v>5549</v>
      </c>
      <c r="AL65" s="137" t="s">
        <v>5553</v>
      </c>
      <c r="AM65" s="143" t="s">
        <v>5548</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5554</v>
      </c>
      <c r="B3" s="88" t="s">
        <v>5555</v>
      </c>
      <c r="C3" s="309" t="str">
        <f>IFERROR(__xludf.DUMMYFUNCTION("GOOGLETRANSLATE(A3,""zh-tw"",""ja"")"),"武器プロジェクト")</f>
        <v>武器プロジェクト</v>
      </c>
      <c r="D3" s="88" t="str">
        <f>IFERROR(__xludf.DUMMYFUNCTION("GOOGLETRANSLATE(B3,""zh-tw"",""ja"")"),"武器の属性")</f>
        <v>武器の属性</v>
      </c>
      <c r="E3" s="309" t="s">
        <v>5556</v>
      </c>
      <c r="F3" s="88" t="s">
        <v>5557</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«Оружие»")</f>
        <v>Проект «Оружие»</v>
      </c>
      <c r="N3" s="54" t="str">
        <f>IFERROR(__xludf.DUMMYFUNCTION("GOOGLETRANSLATE(B3,""zh-tw"",""ru"")"),"Атрибуты оружия")</f>
        <v>Атрибуты оружия</v>
      </c>
      <c r="O3" s="309" t="s">
        <v>5558</v>
      </c>
      <c r="P3" s="88" t="s">
        <v>5559</v>
      </c>
      <c r="Q3" s="312" t="s">
        <v>5560</v>
      </c>
      <c r="R3" s="313" t="s">
        <v>5561</v>
      </c>
      <c r="S3" s="83" t="s">
        <v>5562</v>
      </c>
      <c r="T3" s="85" t="s">
        <v>5563</v>
      </c>
      <c r="U3" s="85"/>
      <c r="V3" s="85"/>
    </row>
    <row r="4">
      <c r="A4" s="314" t="s">
        <v>5564</v>
      </c>
      <c r="B4" s="137" t="s">
        <v>5565</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5566</v>
      </c>
      <c r="F4" s="316" t="s">
        <v>5567</v>
      </c>
      <c r="G4" s="315" t="str">
        <f>IFERROR(__xludf.DUMMYFUNCTION("GOOGLETRANSLATE(A4,""zh-tw"",""zh"")"),"握紧的拳头")</f>
        <v>握紧的拳头</v>
      </c>
      <c r="H4" s="316" t="str">
        <f>IFERROR(__xludf.DUMMYFUNCTION("GOOGLETRANSLATE(B4,""zh-tw"",""zh"")"),"物攻：2
攻击依照最大体力增加")</f>
        <v>物攻：2
攻击依照最大体力增加</v>
      </c>
      <c r="I4" s="314" t="s">
        <v>5568</v>
      </c>
      <c r="J4" s="143" t="str">
        <f>IFERROR(__xludf.DUMMYFUNCTION("GOOGLETRANSLATE(B4,""zh-tw"",""es-MX"")"),"Ataque físico: 2. El ataque aumenta según el HP máximo.")</f>
        <v>Ataque físico: 2. El ataque aumenta según el HP máximo.</v>
      </c>
      <c r="K4" s="314" t="s">
        <v>5569</v>
      </c>
      <c r="L4" s="137" t="s">
        <v>5570</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15" t="s">
        <v>5571</v>
      </c>
      <c r="P4" s="316" t="s">
        <v>5572</v>
      </c>
      <c r="Q4" s="319" t="s">
        <v>5573</v>
      </c>
      <c r="R4" s="320" t="s">
        <v>5574</v>
      </c>
      <c r="S4" s="139" t="s">
        <v>5575</v>
      </c>
      <c r="T4" s="143" t="s">
        <v>5576</v>
      </c>
      <c r="U4" s="143"/>
      <c r="V4" s="143"/>
    </row>
    <row r="5">
      <c r="A5" s="315" t="s">
        <v>5577</v>
      </c>
      <c r="B5" s="316" t="s">
        <v>5578</v>
      </c>
      <c r="C5" s="315" t="s">
        <v>5579</v>
      </c>
      <c r="D5" s="316" t="str">
        <f>IFERROR(__xludf.DUMMYFUNCTION("GOOGLETRANSLATE(B5,""zh-tw"",""ja"")"),"物理攻撃力: 15")</f>
        <v>物理攻撃力: 15</v>
      </c>
      <c r="E5" s="315" t="s">
        <v>5580</v>
      </c>
      <c r="F5" s="316" t="s">
        <v>5581</v>
      </c>
      <c r="G5" s="315" t="str">
        <f>IFERROR(__xludf.DUMMYFUNCTION("GOOGLETRANSLATE(A5,""zh-tw"",""zh"")"),"硬木剑")</f>
        <v>硬木剑</v>
      </c>
      <c r="H5" s="316" t="str">
        <f>IFERROR(__xludf.DUMMYFUNCTION("GOOGLETRANSLATE(B5,""zh-tw"",""zh"")"),"物攻：15")</f>
        <v>物攻：15</v>
      </c>
      <c r="I5" s="314" t="s">
        <v>5582</v>
      </c>
      <c r="J5" s="143" t="str">
        <f>IFERROR(__xludf.DUMMYFUNCTION("GOOGLETRANSLATE(B5,""zh-tw"",""es-MX"")"),"Ataque físico: 15")</f>
        <v>Ataque físico: 15</v>
      </c>
      <c r="K5" s="315" t="s">
        <v>5583</v>
      </c>
      <c r="L5" s="137" t="s">
        <v>5584</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5585</v>
      </c>
      <c r="P5" s="316" t="s">
        <v>5586</v>
      </c>
      <c r="Q5" s="319" t="s">
        <v>5587</v>
      </c>
      <c r="R5" s="320" t="s">
        <v>5588</v>
      </c>
      <c r="S5" s="139" t="s">
        <v>5589</v>
      </c>
      <c r="T5" s="143" t="s">
        <v>5590</v>
      </c>
      <c r="U5" s="143"/>
      <c r="V5" s="143"/>
    </row>
    <row r="6">
      <c r="A6" s="315" t="s">
        <v>5591</v>
      </c>
      <c r="B6" s="316" t="s">
        <v>5592</v>
      </c>
      <c r="C6" s="315" t="s">
        <v>5593</v>
      </c>
      <c r="D6" s="316" t="str">
        <f>IFERROR(__xludf.DUMMYFUNCTION("GOOGLETRANSLATE(B6,""zh-tw"",""ja"")"),"物理攻撃力: 14")</f>
        <v>物理攻撃力: 14</v>
      </c>
      <c r="E6" s="315" t="s">
        <v>5594</v>
      </c>
      <c r="F6" s="316" t="s">
        <v>5595</v>
      </c>
      <c r="G6" s="315" t="str">
        <f>IFERROR(__xludf.DUMMYFUNCTION("GOOGLETRANSLATE(A6,""zh-tw"",""zh"")"),"硬木棒")</f>
        <v>硬木棒</v>
      </c>
      <c r="H6" s="316" t="str">
        <f>IFERROR(__xludf.DUMMYFUNCTION("GOOGLETRANSLATE(B6,""zh-tw"",""zh"")"),"物攻：14")</f>
        <v>物攻：14</v>
      </c>
      <c r="I6" s="314" t="s">
        <v>5596</v>
      </c>
      <c r="J6" s="143" t="str">
        <f>IFERROR(__xludf.DUMMYFUNCTION("GOOGLETRANSLATE(B6,""zh-tw"",""es-MX"")"),"Ataque físico: 14")</f>
        <v>Ataque físico: 14</v>
      </c>
      <c r="K6" s="321" t="str">
        <f>IFERROR(__xludf.DUMMYFUNCTION("GOOGLETRANSLATE(A6,""zh-tw"",""KO"")"),"단단한 나무 막대기")</f>
        <v>단단한 나무 막대기</v>
      </c>
      <c r="L6" s="137" t="s">
        <v>5597</v>
      </c>
      <c r="M6" s="317" t="str">
        <f>IFERROR(__xludf.DUMMYFUNCTION("GOOGLETRANSLATE(A6,""zh-tw"",""ru"")"),"палка из твердой древесины")</f>
        <v>палка из твердой древесины</v>
      </c>
      <c r="N6" s="318" t="str">
        <f>IFERROR(__xludf.DUMMYFUNCTION("GOOGLETRANSLATE(B6,""zh-tw"",""ru"")"),"Физическая атака: 14")</f>
        <v>Физическая атака: 14</v>
      </c>
      <c r="O6" s="315" t="s">
        <v>5598</v>
      </c>
      <c r="P6" s="316" t="s">
        <v>5599</v>
      </c>
      <c r="Q6" s="319" t="s">
        <v>5600</v>
      </c>
      <c r="R6" s="320" t="s">
        <v>5601</v>
      </c>
      <c r="S6" s="139" t="s">
        <v>5602</v>
      </c>
      <c r="T6" s="143" t="s">
        <v>5603</v>
      </c>
      <c r="U6" s="143"/>
      <c r="V6" s="143"/>
    </row>
    <row r="7">
      <c r="A7" s="315" t="s">
        <v>5604</v>
      </c>
      <c r="B7" s="316" t="s">
        <v>5605</v>
      </c>
      <c r="C7" s="315" t="str">
        <f>IFERROR(__xludf.DUMMYFUNCTION("GOOGLETRANSLATE(A7,""zh-tw"",""ja"")"),"伐採斧")</f>
        <v>伐採斧</v>
      </c>
      <c r="D7" s="316" t="str">
        <f>IFERROR(__xludf.DUMMYFUNCTION("GOOGLETRANSLATE(B7,""zh-tw"",""ja"")"),"物理攻撃力: 24")</f>
        <v>物理攻撃力: 24</v>
      </c>
      <c r="E7" s="315" t="s">
        <v>5606</v>
      </c>
      <c r="F7" s="316" t="s">
        <v>5607</v>
      </c>
      <c r="G7" s="315" t="str">
        <f>IFERROR(__xludf.DUMMYFUNCTION("GOOGLETRANSLATE(A7,""zh-tw"",""zh"")"),"伐木斧")</f>
        <v>伐木斧</v>
      </c>
      <c r="H7" s="316" t="str">
        <f>IFERROR(__xludf.DUMMYFUNCTION("GOOGLETRANSLATE(B7,""zh-tw"",""zh"")"),"物攻：24")</f>
        <v>物攻：24</v>
      </c>
      <c r="I7" s="314" t="s">
        <v>5608</v>
      </c>
      <c r="J7" s="143" t="str">
        <f>IFERROR(__xludf.DUMMYFUNCTION("GOOGLETRANSLATE(B7,""zh-tw"",""es-MX"")"),"Ataque físico: 24")</f>
        <v>Ataque físico: 24</v>
      </c>
      <c r="K7" s="314" t="s">
        <v>5609</v>
      </c>
      <c r="L7" s="137" t="s">
        <v>5610</v>
      </c>
      <c r="M7" s="317" t="str">
        <f>IFERROR(__xludf.DUMMYFUNCTION("GOOGLETRANSLATE(A7,""zh-tw"",""ru"")"),"топор для рубки леса")</f>
        <v>топор для рубки леса</v>
      </c>
      <c r="N7" s="318" t="str">
        <f>IFERROR(__xludf.DUMMYFUNCTION("GOOGLETRANSLATE(B7,""zh-tw"",""ru"")"),"Физическая атака: 24")</f>
        <v>Физическая атака: 24</v>
      </c>
      <c r="O7" s="315" t="s">
        <v>5611</v>
      </c>
      <c r="P7" s="316" t="s">
        <v>5612</v>
      </c>
      <c r="Q7" s="319" t="s">
        <v>5613</v>
      </c>
      <c r="R7" s="320" t="s">
        <v>5614</v>
      </c>
      <c r="S7" s="139" t="s">
        <v>5615</v>
      </c>
      <c r="T7" s="143" t="s">
        <v>5616</v>
      </c>
      <c r="U7" s="143"/>
      <c r="V7" s="143"/>
    </row>
    <row r="8">
      <c r="A8" s="315" t="s">
        <v>5334</v>
      </c>
      <c r="B8" s="316" t="s">
        <v>5617</v>
      </c>
      <c r="C8" s="315" t="str">
        <f>IFERROR(__xludf.DUMMYFUNCTION("GOOGLETRANSLATE(A8,""zh-tw"",""ja"")"),"騎士の剣")</f>
        <v>騎士の剣</v>
      </c>
      <c r="D8" s="316" t="str">
        <f>IFERROR(__xludf.DUMMYFUNCTION("GOOGLETRANSLATE(B8,""zh-tw"",""ja"")"),"物理攻撃力：30（条件を満たすと2倍）")</f>
        <v>物理攻撃力：30（条件を満たすと2倍）</v>
      </c>
      <c r="E8" s="315" t="s">
        <v>5337</v>
      </c>
      <c r="F8" s="316" t="s">
        <v>5618</v>
      </c>
      <c r="G8" s="315" t="str">
        <f>IFERROR(__xludf.DUMMYFUNCTION("GOOGLETRANSLATE(A8,""zh-tw"",""zh"")"),"骑士之剑")</f>
        <v>骑士之剑</v>
      </c>
      <c r="H8" s="316" t="str">
        <f>IFERROR(__xludf.DUMMYFUNCTION("GOOGLETRANSLATE(B8,""zh-tw"",""zh"")"),"物攻：30
满足条件后翻倍")</f>
        <v>物攻：30
满足条件后翻倍</v>
      </c>
      <c r="I8" s="314" t="s">
        <v>5619</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5620</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5341</v>
      </c>
      <c r="P8" s="316" t="s">
        <v>5621</v>
      </c>
      <c r="Q8" s="319" t="s">
        <v>5622</v>
      </c>
      <c r="R8" s="320" t="s">
        <v>5623</v>
      </c>
      <c r="S8" s="139" t="s">
        <v>5346</v>
      </c>
      <c r="T8" s="143" t="s">
        <v>5624</v>
      </c>
      <c r="U8" s="143"/>
      <c r="V8" s="143"/>
    </row>
    <row r="9">
      <c r="A9" s="315" t="s">
        <v>5625</v>
      </c>
      <c r="B9" s="316" t="s">
        <v>5626</v>
      </c>
      <c r="C9" s="315" t="s">
        <v>5627</v>
      </c>
      <c r="D9" s="316" t="str">
        <f>IFERROR(__xludf.DUMMYFUNCTION("GOOGLETRANSLATE(B9,""zh-tw"",""ja"")"),"物理攻撃力: 42")</f>
        <v>物理攻撃力: 42</v>
      </c>
      <c r="E9" s="315" t="s">
        <v>5628</v>
      </c>
      <c r="F9" s="316" t="s">
        <v>5629</v>
      </c>
      <c r="G9" s="315" t="str">
        <f>IFERROR(__xludf.DUMMYFUNCTION("GOOGLETRANSLATE(A9,""zh-tw"",""zh"")"),"兽人的骨釜")</f>
        <v>兽人的骨釜</v>
      </c>
      <c r="H9" s="316" t="str">
        <f>IFERROR(__xludf.DUMMYFUNCTION("GOOGLETRANSLATE(B9,""zh-tw"",""zh"")"),"物攻：42")</f>
        <v>物攻：42</v>
      </c>
      <c r="I9" s="314" t="s">
        <v>5630</v>
      </c>
      <c r="J9" s="143" t="str">
        <f>IFERROR(__xludf.DUMMYFUNCTION("GOOGLETRANSLATE(B9,""zh-tw"",""es-MX"")"),"Ataque físico: 42")</f>
        <v>Ataque físico: 42</v>
      </c>
      <c r="K9" s="315" t="s">
        <v>5631</v>
      </c>
      <c r="L9" s="137" t="s">
        <v>5632</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5633</v>
      </c>
      <c r="P9" s="316" t="s">
        <v>5634</v>
      </c>
      <c r="Q9" s="319" t="s">
        <v>5635</v>
      </c>
      <c r="R9" s="320" t="s">
        <v>5636</v>
      </c>
      <c r="S9" s="139" t="s">
        <v>5637</v>
      </c>
      <c r="T9" s="143" t="s">
        <v>5638</v>
      </c>
      <c r="U9" s="143"/>
      <c r="V9" s="143"/>
    </row>
    <row r="10">
      <c r="A10" s="321" t="s">
        <v>5639</v>
      </c>
      <c r="B10" s="143" t="s">
        <v>5640</v>
      </c>
      <c r="C10" s="321" t="s">
        <v>5641</v>
      </c>
      <c r="D10" s="47" t="s">
        <v>5642</v>
      </c>
      <c r="E10" s="322" t="s">
        <v>5643</v>
      </c>
      <c r="F10" s="47" t="s">
        <v>5644</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5645</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IFERROR(__xludf.DUMMYFUNCTION("GOOGLETRANSLATE(A10,""zh-tw"",""KO"")"),"이상한 새의 깃털")</f>
        <v>이상한 새의 깃털</v>
      </c>
      <c r="L10" s="143"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5646</v>
      </c>
      <c r="P10" s="47" t="s">
        <v>5647</v>
      </c>
      <c r="Q10" s="319" t="s">
        <v>5648</v>
      </c>
      <c r="R10" s="320" t="s">
        <v>5649</v>
      </c>
      <c r="S10" s="139" t="s">
        <v>5650</v>
      </c>
      <c r="T10" s="143" t="s">
        <v>5651</v>
      </c>
      <c r="U10" s="143"/>
      <c r="V10" s="143"/>
    </row>
    <row r="11">
      <c r="A11" s="315" t="s">
        <v>5652</v>
      </c>
      <c r="B11" s="316" t="s">
        <v>5653</v>
      </c>
      <c r="C11" s="315" t="s">
        <v>5654</v>
      </c>
      <c r="D11" s="316" t="str">
        <f>IFERROR(__xludf.DUMMYFUNCTION("GOOGLETRANSLATE(B11,""zh-tw"",""ja"")"),"物理攻撃: 20 飛び道具を反射する")</f>
        <v>物理攻撃: 20 飛び道具を反射する</v>
      </c>
      <c r="E11" s="315" t="s">
        <v>5655</v>
      </c>
      <c r="F11" s="316" t="s">
        <v>5656</v>
      </c>
      <c r="G11" s="315" t="str">
        <f>IFERROR(__xludf.DUMMYFUNCTION("GOOGLETRANSLATE(A11,""zh-tw"",""zh"")"),"棒球棍")</f>
        <v>棒球棍</v>
      </c>
      <c r="H11" s="316" t="str">
        <f>IFERROR(__xludf.DUMMYFUNCTION("GOOGLETRANSLATE(B11,""zh-tw"",""zh"")"),"物攻：20
反弹抛射物")</f>
        <v>物攻：20
反弹抛射物</v>
      </c>
      <c r="I11" s="314" t="s">
        <v>5657</v>
      </c>
      <c r="J11" s="143" t="str">
        <f>IFERROR(__xludf.DUMMYFUNCTION("GOOGLETRANSLATE(B11,""zh-tw"",""es-MX"")"),"Ataque físico: 20 Refleja proyectiles")</f>
        <v>Ataque físico: 20 Refleja proyectiles</v>
      </c>
      <c r="K11" s="314" t="s">
        <v>5658</v>
      </c>
      <c r="L11" s="137" t="s">
        <v>5659</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5660</v>
      </c>
      <c r="P11" s="316" t="s">
        <v>5661</v>
      </c>
      <c r="Q11" s="319" t="s">
        <v>5662</v>
      </c>
      <c r="R11" s="320" t="s">
        <v>5663</v>
      </c>
      <c r="S11" s="139" t="s">
        <v>5664</v>
      </c>
      <c r="T11" s="143" t="s">
        <v>5665</v>
      </c>
      <c r="U11" s="143"/>
      <c r="V11" s="143"/>
    </row>
    <row r="12">
      <c r="A12" s="315" t="s">
        <v>5666</v>
      </c>
      <c r="B12" s="316" t="s">
        <v>5667</v>
      </c>
      <c r="C12" s="315" t="s">
        <v>5668</v>
      </c>
      <c r="D12" s="316" t="str">
        <f>IFERROR(__xludf.DUMMYFUNCTION("GOOGLETRANSLATE(B12,""zh-tw"",""ja"")"),"物理攻撃力: 14 悪臭を放つ")</f>
        <v>物理攻撃力: 14 悪臭を放つ</v>
      </c>
      <c r="E12" s="315" t="s">
        <v>5669</v>
      </c>
      <c r="F12" s="316" t="s">
        <v>5670</v>
      </c>
      <c r="G12" s="315" t="str">
        <f>IFERROR(__xludf.DUMMYFUNCTION("GOOGLETRANSLATE(A12,""zh-tw"",""zh"")"),"臭鱼骨")</f>
        <v>臭鱼骨</v>
      </c>
      <c r="H12" s="316" t="str">
        <f>IFERROR(__xludf.DUMMYFUNCTION("GOOGLETRANSLATE(B12,""zh-tw"",""zh"")"),"物攻：14
散发恶臭")</f>
        <v>物攻：14
散发恶臭</v>
      </c>
      <c r="I12" s="314" t="s">
        <v>5671</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5672</v>
      </c>
      <c r="M12" s="317" t="str">
        <f>IFERROR(__xludf.DUMMYFUNCTION("GOOGLETRANSLATE(A12,""zh-tw"",""ru"")"),"Вонючие рыбьи кости")</f>
        <v>Вонючие рыбьи кости</v>
      </c>
      <c r="N12" s="318" t="str">
        <f>IFERROR(__xludf.DUMMYFUNCTION("GOOGLETRANSLATE(B12,""zh-tw"",""ru"")"),"Физическая атака: 14. Издает неприятный запах.")</f>
        <v>Физическая атака: 14. Издает неприятный запах.</v>
      </c>
      <c r="O12" s="315" t="s">
        <v>5673</v>
      </c>
      <c r="P12" s="316" t="s">
        <v>5674</v>
      </c>
      <c r="Q12" s="319" t="s">
        <v>5675</v>
      </c>
      <c r="R12" s="320" t="s">
        <v>5676</v>
      </c>
      <c r="S12" s="139" t="s">
        <v>5677</v>
      </c>
      <c r="T12" s="143" t="s">
        <v>5678</v>
      </c>
      <c r="U12" s="143"/>
      <c r="V12" s="143"/>
    </row>
    <row r="13">
      <c r="A13" s="315" t="s">
        <v>5679</v>
      </c>
      <c r="B13" s="316" t="s">
        <v>5680</v>
      </c>
      <c r="C13" s="315" t="s">
        <v>5679</v>
      </c>
      <c r="D13" s="316" t="str">
        <f>IFERROR(__xludf.DUMMYFUNCTION("GOOGLETRANSLATE(B13,""zh-tw"",""ja"")"),"物理攻撃力：24
魔法攻撃力：16
火属性")</f>
        <v>物理攻撃力：24
魔法攻撃力：16
火属性</v>
      </c>
      <c r="E13" s="315" t="s">
        <v>5681</v>
      </c>
      <c r="F13" s="316" t="s">
        <v>5682</v>
      </c>
      <c r="G13" s="315" t="str">
        <f>IFERROR(__xludf.DUMMYFUNCTION("GOOGLETRANSLATE(A13,""zh-tw"",""zh"")"),"阳炎")</f>
        <v>阳炎</v>
      </c>
      <c r="H13" s="316" t="str">
        <f>IFERROR(__xludf.DUMMYFUNCTION("GOOGLETRANSLATE(B13,""zh-tw"",""zh"")"),"物攻：24
魔攻：16
炎属性")</f>
        <v>物攻：24
魔攻：16
炎属性</v>
      </c>
      <c r="I13" s="314" t="s">
        <v>5683</v>
      </c>
      <c r="J13" s="143" t="str">
        <f>IFERROR(__xludf.DUMMYFUNCTION("GOOGLETRANSLATE(B13,""zh-tw"",""es-MX"")"),"Ataque físico: 24
Ataque mágico: 16
Atributo de fuego")</f>
        <v>Ataque físico: 24
Ataque mágico: 16
Atributo de fuego</v>
      </c>
      <c r="K13" s="315" t="s">
        <v>5684</v>
      </c>
      <c r="L13" s="137" t="s">
        <v>5685</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5686</v>
      </c>
      <c r="P13" s="316" t="s">
        <v>5687</v>
      </c>
      <c r="Q13" s="319" t="s">
        <v>5688</v>
      </c>
      <c r="R13" s="323" t="s">
        <v>5689</v>
      </c>
      <c r="S13" s="139" t="s">
        <v>5690</v>
      </c>
      <c r="T13" s="143" t="s">
        <v>5691</v>
      </c>
      <c r="U13" s="143"/>
      <c r="V13" s="143"/>
    </row>
    <row r="14">
      <c r="A14" s="315" t="s">
        <v>5692</v>
      </c>
      <c r="B14" s="316" t="s">
        <v>5693</v>
      </c>
      <c r="C14" s="315" t="s">
        <v>5692</v>
      </c>
      <c r="D14" s="316" t="str">
        <f>IFERROR(__xludf.DUMMYFUNCTION("GOOGLETRANSLATE(B14,""zh-tw"",""ja"")"),"物理攻撃力：20
魔法攻撃力：14
氷属性")</f>
        <v>物理攻撃力：20
魔法攻撃力：14
氷属性</v>
      </c>
      <c r="E14" s="315" t="s">
        <v>5694</v>
      </c>
      <c r="F14" s="316" t="s">
        <v>5695</v>
      </c>
      <c r="G14" s="315" t="str">
        <f>IFERROR(__xludf.DUMMYFUNCTION("GOOGLETRANSLATE(A14,""zh-tw"",""zh"")"),"霜月")</f>
        <v>霜月</v>
      </c>
      <c r="H14" s="316" t="str">
        <f>IFERROR(__xludf.DUMMYFUNCTION("GOOGLETRANSLATE(B14,""zh-tw"",""zh"")"),"物攻：20
魔攻：14
冰属性")</f>
        <v>物攻：20
魔攻：14
冰属性</v>
      </c>
      <c r="I14" s="314" t="s">
        <v>5696</v>
      </c>
      <c r="J14" s="143" t="str">
        <f>IFERROR(__xludf.DUMMYFUNCTION("GOOGLETRANSLATE(B14,""zh-tw"",""es-MX"")"),"Ataque físico: 20
Ataque mágico: 14
Atributo hielo")</f>
        <v>Ataque físico: 20
Ataque mágico: 14
Atributo hielo</v>
      </c>
      <c r="K14" s="314" t="s">
        <v>5697</v>
      </c>
      <c r="L14" s="137" t="s">
        <v>5698</v>
      </c>
      <c r="M14" s="317" t="str">
        <f>IFERROR(__xludf.DUMMYFUNCTION("GOOGLETRANSLATE(A14,""zh-tw"",""ru"")"),"морозная луна")</f>
        <v>морозная луна</v>
      </c>
      <c r="N14" s="318" t="str">
        <f>IFERROR(__xludf.DUMMYFUNCTION("GOOGLETRANSLATE(B14,""zh-tw"",""ru"")"),"Физическая атака: 20
Магическая атака: 14
Атрибут льда")</f>
        <v>Физическая атака: 20
Магическая атака: 14
Атрибут льда</v>
      </c>
      <c r="O14" s="315" t="s">
        <v>5699</v>
      </c>
      <c r="P14" s="316" t="s">
        <v>5700</v>
      </c>
      <c r="Q14" s="324" t="s">
        <v>5701</v>
      </c>
      <c r="R14" s="320" t="s">
        <v>5702</v>
      </c>
      <c r="S14" s="139" t="s">
        <v>5703</v>
      </c>
      <c r="T14" s="143" t="s">
        <v>5704</v>
      </c>
      <c r="U14" s="143"/>
      <c r="V14" s="143"/>
    </row>
    <row r="15">
      <c r="A15" s="315" t="s">
        <v>5705</v>
      </c>
      <c r="B15" s="316" t="s">
        <v>5706</v>
      </c>
      <c r="C15" s="315" t="s">
        <v>5707</v>
      </c>
      <c r="D15" s="316" t="str">
        <f>IFERROR(__xludf.DUMMYFUNCTION("GOOGLETRANSLATE(B15,""zh-tw"",""ja"")"),"物理攻撃力：28
魔法攻撃力：12
電撃属性")</f>
        <v>物理攻撃力：28
魔法攻撃力：12
電撃属性</v>
      </c>
      <c r="E15" s="315" t="s">
        <v>5708</v>
      </c>
      <c r="F15" s="316" t="s">
        <v>5709</v>
      </c>
      <c r="G15" s="315" t="str">
        <f>IFERROR(__xludf.DUMMYFUNCTION("GOOGLETRANSLATE(A15,""zh-tw"",""zh"")"),"会漏电的不良品")</f>
        <v>会漏电的不良品</v>
      </c>
      <c r="H15" s="316" t="str">
        <f>IFERROR(__xludf.DUMMYFUNCTION("GOOGLETRANSLATE(B15,""zh-tw"",""zh"")"),"物攻：28
魔攻：12
电属性")</f>
        <v>物攻：28
魔攻：12
电属性</v>
      </c>
      <c r="I15" s="314" t="s">
        <v>5710</v>
      </c>
      <c r="J15" s="143" t="str">
        <f>IFERROR(__xludf.DUMMYFUNCTION("GOOGLETRANSLATE(B15,""zh-tw"",""es-MX"")"),"Ataque físico: 28
Ataque mágico: 12
Atributo eléctrico")</f>
        <v>Ataque físico: 28
Ataque mágico: 12
Atributo eléctrico</v>
      </c>
      <c r="K15" s="314" t="s">
        <v>5711</v>
      </c>
      <c r="L15" s="143" t="str">
        <f>IFERROR(__xludf.DUMMYFUNCTION("GOOGLETRANSLATE(B15,""zh-tw"",""KO"")"),"물리 공격력: 28
마법 공격력: 12
전기 속성")</f>
        <v>물리 공격력: 28
마법 공격력: 12
전기 속성</v>
      </c>
      <c r="M15" s="317"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8"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5" t="s">
        <v>5712</v>
      </c>
      <c r="P15" s="316" t="s">
        <v>5713</v>
      </c>
      <c r="Q15" s="319" t="s">
        <v>5714</v>
      </c>
      <c r="R15" s="323" t="s">
        <v>5715</v>
      </c>
      <c r="S15" s="139" t="s">
        <v>5716</v>
      </c>
      <c r="T15" s="143" t="s">
        <v>5717</v>
      </c>
      <c r="U15" s="143"/>
      <c r="V15" s="143"/>
    </row>
    <row r="16">
      <c r="A16" s="315" t="s">
        <v>5718</v>
      </c>
      <c r="B16" s="316" t="s">
        <v>5719</v>
      </c>
      <c r="C16" s="315" t="s">
        <v>5720</v>
      </c>
      <c r="D16" s="316" t="str">
        <f>IFERROR(__xludf.DUMMYFUNCTION("GOOGLETRANSLATE(B16,""zh-tw"",""ja"")"),"物理攻撃：毒属性14")</f>
        <v>物理攻撃：毒属性14</v>
      </c>
      <c r="E16" s="315" t="s">
        <v>5721</v>
      </c>
      <c r="F16" s="316" t="s">
        <v>5722</v>
      </c>
      <c r="G16" s="315" t="str">
        <f>IFERROR(__xludf.DUMMYFUNCTION("GOOGLETRANSLATE(A16,""zh-tw"",""zh"")"),"毒孢针")</f>
        <v>毒孢针</v>
      </c>
      <c r="H16" s="316" t="str">
        <f>IFERROR(__xludf.DUMMYFUNCTION("GOOGLETRANSLATE(B16,""zh-tw"",""zh"")"),"物攻：14
毒属性")</f>
        <v>物攻：14
毒属性</v>
      </c>
      <c r="I16" s="314" t="s">
        <v>5723</v>
      </c>
      <c r="J16" s="143" t="str">
        <f>IFERROR(__xludf.DUMMYFUNCTION("GOOGLETRANSLATE(B16,""zh-tw"",""es-MX"")"),"Ataque físico: 14 Atributo Veneno")</f>
        <v>Ataque físico: 14 Atributo Veneno</v>
      </c>
      <c r="K16" s="314" t="s">
        <v>5724</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5725</v>
      </c>
      <c r="P16" s="316" t="s">
        <v>5726</v>
      </c>
      <c r="Q16" s="319" t="s">
        <v>5727</v>
      </c>
      <c r="R16" s="320" t="s">
        <v>5728</v>
      </c>
      <c r="S16" s="139" t="s">
        <v>5729</v>
      </c>
      <c r="T16" s="143" t="s">
        <v>5730</v>
      </c>
      <c r="U16" s="143"/>
      <c r="V16" s="143"/>
    </row>
    <row r="17">
      <c r="A17" s="315" t="s">
        <v>5731</v>
      </c>
      <c r="B17" s="316" t="s">
        <v>5732</v>
      </c>
      <c r="C17" s="315" t="s">
        <v>5733</v>
      </c>
      <c r="D17" s="316" t="str">
        <f>IFERROR(__xludf.DUMMYFUNCTION("GOOGLETRANSLATE(B17,""zh-tw"",""ja"")"),"物理攻撃：32 分割攻撃")</f>
        <v>物理攻撃：32 分割攻撃</v>
      </c>
      <c r="E17" s="314" t="s">
        <v>5734</v>
      </c>
      <c r="F17" s="137" t="s">
        <v>5735</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листьев ивы")</f>
        <v>Длинный меч из листьев ивы</v>
      </c>
      <c r="N17" s="318" t="str">
        <f>IFERROR(__xludf.DUMMYFUNCTION("GOOGLETRANSLATE(B17,""zh-tw"",""ru"")"),"Физическая атака: 32-я раздельная атака")</f>
        <v>Физическая атака: 32-я раздельная атака</v>
      </c>
      <c r="O17" s="315" t="s">
        <v>5736</v>
      </c>
      <c r="P17" s="316" t="s">
        <v>5737</v>
      </c>
      <c r="Q17" s="319" t="s">
        <v>5738</v>
      </c>
      <c r="R17" s="323" t="s">
        <v>5739</v>
      </c>
      <c r="S17" s="139" t="s">
        <v>5740</v>
      </c>
      <c r="T17" s="143" t="s">
        <v>5741</v>
      </c>
      <c r="U17" s="143"/>
      <c r="V17" s="143"/>
    </row>
    <row r="18" ht="49.5" customHeight="1">
      <c r="A18" s="315" t="s">
        <v>5742</v>
      </c>
      <c r="B18" s="316" t="s">
        <v>5743</v>
      </c>
      <c r="C18" s="315" t="s">
        <v>5744</v>
      </c>
      <c r="D18" s="316" t="str">
        <f>IFERROR(__xludf.DUMMYFUNCTION("GOOGLETRANSLATE(B18,""zh-tw"",""ja"")"),"物理攻撃力：48
魔法耐性：20
条件を満たす武器種")</f>
        <v>物理攻撃力：48
魔法耐性：20
条件を満たす武器種</v>
      </c>
      <c r="E18" s="315" t="s">
        <v>5745</v>
      </c>
      <c r="F18" s="316" t="s">
        <v>5746</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5747</v>
      </c>
      <c r="J18" s="143" t="str">
        <f>IFERROR(__xludf.DUMMYFUNCTION("GOOGLETRANSLATE(B18,""zh-tw"",""es-MX"")"),"Ataque físico: 48
Resistencia mágica: 20
Tipo de arma que cumple con los requisitos")</f>
        <v>Ataque físico: 48
Resistencia mágica: 20
Tipo de arma que cumple con los requisitos</v>
      </c>
      <c r="K18" s="314" t="s">
        <v>5748</v>
      </c>
      <c r="L18" s="143" t="str">
        <f>IFERROR(__xludf.DUMMYFUNCTION("GOOGLETRANSLATE(B18,""zh-tw"",""KO"")"),"물리 공격력: 48
마법 저항력: 20
조건을 충족하는 무기 종류")</f>
        <v>물리 공격력: 48
마법 저항력: 20
조건을 충족하는 무기 종류</v>
      </c>
      <c r="M18" s="317" t="str">
        <f>IFERROR(__xludf.DUMMYFUNCTION("GOOGLETRANSLATE(A18,""zh-tw"",""ru"")"),"Серебряный большой меч")</f>
        <v>Серебряный большой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5749</v>
      </c>
      <c r="P18" s="316" t="s">
        <v>5750</v>
      </c>
      <c r="Q18" s="319" t="s">
        <v>5751</v>
      </c>
      <c r="R18" s="320" t="s">
        <v>5752</v>
      </c>
      <c r="S18" s="139" t="s">
        <v>5753</v>
      </c>
      <c r="T18" s="143" t="s">
        <v>5754</v>
      </c>
      <c r="U18" s="143"/>
      <c r="V18" s="143"/>
    </row>
    <row r="19">
      <c r="A19" s="315" t="s">
        <v>5755</v>
      </c>
      <c r="B19" s="316" t="s">
        <v>5756</v>
      </c>
      <c r="C19" s="315" t="s">
        <v>5757</v>
      </c>
      <c r="D19" s="316" t="str">
        <f>IFERROR(__xludf.DUMMYFUNCTION("GOOGLETRANSLATE(B19,""zh-tw"",""ja"")"),"物理攻撃：1累積ダメージ武器")</f>
        <v>物理攻撃：1累積ダメージ武器</v>
      </c>
      <c r="E19" s="315" t="s">
        <v>5758</v>
      </c>
      <c r="F19" s="316" t="s">
        <v>5759</v>
      </c>
      <c r="G19" s="315" t="str">
        <f>IFERROR(__xludf.DUMMYFUNCTION("GOOGLETRANSLATE(A19,""zh-tw"",""zh"")"),"甜筒大剑")</f>
        <v>甜筒大剑</v>
      </c>
      <c r="H19" s="316" t="str">
        <f>IFERROR(__xludf.DUMMYFUNCTION("GOOGLETRANSLATE(B19,""zh-tw"",""zh"")"),"物攻：1
累计伤害型武器")</f>
        <v>物攻：1
累计伤害型武器</v>
      </c>
      <c r="I19" s="314" t="s">
        <v>5760</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공격력: 1 누적 데미지 무기")</f>
        <v>물리 공격력: 1 누적 데미지 무기</v>
      </c>
      <c r="M19" s="317" t="str">
        <f>IFERROR(__xludf.DUMMYFUNCTION("GOOGLETRANSLATE(A19,""zh-tw"",""ru"")"),"Меч из рожка мороженого")</f>
        <v>Меч из рожка мороженого</v>
      </c>
      <c r="N19" s="318" t="str">
        <f>IFERROR(__xludf.DUMMYFUNCTION("GOOGLETRANSLATE(B19,""zh-tw"",""ru"")"),"Физическая атака: 1 оружие с кумулятивным уроном")</f>
        <v>Физическая атака: 1 оружие с кумулятивным уроном</v>
      </c>
      <c r="O19" s="315" t="s">
        <v>5761</v>
      </c>
      <c r="P19" s="316" t="s">
        <v>5762</v>
      </c>
      <c r="Q19" s="319" t="s">
        <v>5763</v>
      </c>
      <c r="R19" s="320" t="s">
        <v>5764</v>
      </c>
      <c r="S19" s="139" t="s">
        <v>5765</v>
      </c>
      <c r="T19" s="143" t="s">
        <v>5766</v>
      </c>
      <c r="U19" s="143"/>
      <c r="V19" s="143"/>
    </row>
    <row r="20">
      <c r="A20" s="315" t="s">
        <v>5767</v>
      </c>
      <c r="B20" s="316" t="s">
        <v>5768</v>
      </c>
      <c r="C20" s="315" t="s">
        <v>5769</v>
      </c>
      <c r="D20" s="316" t="str">
        <f>IFERROR(__xludf.DUMMYFUNCTION("GOOGLETRANSLATE(B20,""zh-tw"",""ja"")"),"物理攻撃力：20
物理耐性：2
累積ステータスベースの武器")</f>
        <v>物理攻撃力：20
物理耐性：2
累積ステータスベースの武器</v>
      </c>
      <c r="E20" s="315" t="s">
        <v>5770</v>
      </c>
      <c r="F20" s="316" t="s">
        <v>5771</v>
      </c>
      <c r="G20" s="315" t="str">
        <f>IFERROR(__xludf.DUMMYFUNCTION("GOOGLETRANSLATE(A20,""zh-tw"",""zh"")"),"古树残骸")</f>
        <v>古树残骸</v>
      </c>
      <c r="H20" s="316" t="str">
        <f>IFERROR(__xludf.DUMMYFUNCTION("GOOGLETRANSLATE(B20,""zh-tw"",""zh"")"),"物攻：20
物抗：2
累计素质型武器")</f>
        <v>物攻：20
物抗：2
累计素质型武器</v>
      </c>
      <c r="I20" s="314" t="s">
        <v>5772</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 유적")</f>
        <v>고대 나무 유적</v>
      </c>
      <c r="L20" s="143" t="str">
        <f>IFERROR(__xludf.DUMMYFUNCTION("GOOGLETRANSLATE(B20,""zh-tw"",""KO"")"),"물리 공격력: 20
물리 저항력: 2
누적 능력치 기반 무기")</f>
        <v>물리 공격력: 20
물리 저항력: 2
누적 능력치 기반 무기</v>
      </c>
      <c r="M20" s="317" t="str">
        <f>IFERROR(__xludf.DUMMYFUNCTION("GOOGLETRANSLATE(A20,""zh-tw"",""ru"")"),"Останки древних деревьев")</f>
        <v>Останки древних деревьев</v>
      </c>
      <c r="N20" s="318"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5" t="s">
        <v>5773</v>
      </c>
      <c r="P20" s="316" t="s">
        <v>5774</v>
      </c>
      <c r="Q20" s="319" t="s">
        <v>5775</v>
      </c>
      <c r="R20" s="320" t="s">
        <v>5776</v>
      </c>
      <c r="S20" s="139" t="s">
        <v>5777</v>
      </c>
      <c r="T20" s="143" t="s">
        <v>5778</v>
      </c>
      <c r="U20" s="143"/>
      <c r="V20" s="143"/>
    </row>
    <row r="21">
      <c r="A21" s="315" t="s">
        <v>5779</v>
      </c>
      <c r="B21" s="316" t="s">
        <v>5780</v>
      </c>
      <c r="C21" s="315" t="s">
        <v>5781</v>
      </c>
      <c r="D21" s="316" t="str">
        <f>IFERROR(__xludf.DUMMYFUNCTION("GOOGLETRANSLATE(B21,""zh-tw"",""ja"")"),"物理攻撃力：40 剣波を発射する")</f>
        <v>物理攻撃力：40 剣波を発射する</v>
      </c>
      <c r="E21" s="315" t="s">
        <v>5782</v>
      </c>
      <c r="F21" s="316" t="s">
        <v>5783</v>
      </c>
      <c r="G21" s="315" t="str">
        <f>IFERROR(__xludf.DUMMYFUNCTION("GOOGLETRANSLATE(A21,""zh-tw"",""zh"")"),"斩裂剑提尔锋")</f>
        <v>斩裂剑提尔锋</v>
      </c>
      <c r="H21" s="316" t="str">
        <f>IFERROR(__xludf.DUMMYFUNCTION("GOOGLETRANSLATE(B21,""zh-tw"",""zh"")"),"物攻：40
发射剑波")</f>
        <v>物攻：40
发射剑波</v>
      </c>
      <c r="I21" s="314" t="s">
        <v>5784</v>
      </c>
      <c r="J21" s="143" t="str">
        <f>IFERROR(__xludf.DUMMYFUNCTION("GOOGLETRANSLATE(B21,""zh-tw"",""es-MX"")"),"Ataque físico: 40 Lanza onda de espada")</f>
        <v>Ataque físico: 40 Lanza onda de espada</v>
      </c>
      <c r="K21" s="321" t="str">
        <f>IFERROR(__xludf.DUMMYFUNCTION("GOOGLETRANSLATE(A21,""zh-tw"",""KO"")"),"절단검의 칼날, 티르의 칼날")</f>
        <v>절단검의 칼날, 티르의 칼날</v>
      </c>
      <c r="L21" s="143" t="str">
        <f>IFERROR(__xludf.DUMMYFUNCTION("GOOGLETRANSLATE(B21,""zh-tw"",""KO"")"),"물리 공격력 : 40 검파 발사")</f>
        <v>물리 공격력 : 40 검파 발사</v>
      </c>
      <c r="M21" s="317" t="str">
        <f>IFERROR(__xludf.DUMMYFUNCTION("GOOGLETRANSLATE(A21,""zh-tw"",""ru"")"),"Клинок Разрубающего Меча, Лезвие Тира")</f>
        <v>Клинок Разрубающего Меча, Лезвие Тира</v>
      </c>
      <c r="N21" s="318" t="str">
        <f>IFERROR(__xludf.DUMMYFUNCTION("GOOGLETRANSLATE(B21,""zh-tw"",""ru"")"),"Физическая атака: 40. Запускает волну мечом.")</f>
        <v>Физическая атака: 40. Запускает волну мечом.</v>
      </c>
      <c r="O21" s="315" t="s">
        <v>5785</v>
      </c>
      <c r="P21" s="316" t="s">
        <v>5786</v>
      </c>
      <c r="Q21" s="319" t="s">
        <v>5787</v>
      </c>
      <c r="R21" s="320" t="s">
        <v>5788</v>
      </c>
      <c r="S21" s="139" t="s">
        <v>5782</v>
      </c>
      <c r="T21" s="143" t="s">
        <v>5789</v>
      </c>
      <c r="U21" s="143"/>
      <c r="V21" s="143"/>
    </row>
    <row r="22">
      <c r="A22" s="315" t="s">
        <v>5790</v>
      </c>
      <c r="B22" s="316" t="s">
        <v>5791</v>
      </c>
      <c r="C22" s="315" t="s">
        <v>5792</v>
      </c>
      <c r="D22" s="316" t="str">
        <f>IFERROR(__xludf.DUMMYFUNCTION("GOOGLETRANSLATE(B22,""zh-tw"",""ja"")"),"物理攻撃：出血30")</f>
        <v>物理攻撃：出血30</v>
      </c>
      <c r="E22" s="315" t="s">
        <v>5793</v>
      </c>
      <c r="F22" s="316" t="s">
        <v>5794</v>
      </c>
      <c r="G22" s="315" t="str">
        <f>IFERROR(__xludf.DUMMYFUNCTION("GOOGLETRANSLATE(A22,""zh-tw"",""zh"")"),"来自地狱")</f>
        <v>来自地狱</v>
      </c>
      <c r="H22" s="316" t="str">
        <f>IFERROR(__xludf.DUMMYFUNCTION("GOOGLETRANSLATE(B22,""zh-tw"",""zh"")"),"物攻：30
出血")</f>
        <v>物攻：30
出血</v>
      </c>
      <c r="I22" s="314" t="s">
        <v>5795</v>
      </c>
      <c r="J22" s="143" t="str">
        <f>IFERROR(__xludf.DUMMYFUNCTION("GOOGLETRANSLATE(B22,""zh-tw"",""es-MX"")"),"Ataque físico: 30 sangrado")</f>
        <v>Ataque físico: 30 sangrado</v>
      </c>
      <c r="K22" s="314" t="s">
        <v>5796</v>
      </c>
      <c r="L22" s="143" t="str">
        <f>IFERROR(__xludf.DUMMYFUNCTION("GOOGLETRANSLATE(B22,""zh-tw"",""KO"")"),"물리 공격력: 30 출혈")</f>
        <v>물리 공격력: 30 출혈</v>
      </c>
      <c r="M22" s="317" t="str">
        <f>IFERROR(__xludf.DUMMYFUNCTION("GOOGLETRANSLATE(A22,""zh-tw"",""ru"")"),"Из ада")</f>
        <v>Из ада</v>
      </c>
      <c r="N22" s="318" t="str">
        <f>IFERROR(__xludf.DUMMYFUNCTION("GOOGLETRANSLATE(B22,""zh-tw"",""ru"")"),"Физическая атака: 30 кровотечения")</f>
        <v>Физическая атака: 30 кровотечения</v>
      </c>
      <c r="O22" s="315" t="s">
        <v>5797</v>
      </c>
      <c r="P22" s="316" t="s">
        <v>5798</v>
      </c>
      <c r="Q22" s="319" t="s">
        <v>5799</v>
      </c>
      <c r="R22" s="320" t="s">
        <v>5800</v>
      </c>
      <c r="S22" s="139" t="s">
        <v>5801</v>
      </c>
      <c r="T22" s="143" t="s">
        <v>5802</v>
      </c>
      <c r="U22" s="143"/>
      <c r="V22" s="143"/>
    </row>
    <row r="23">
      <c r="A23" s="315" t="s">
        <v>5803</v>
      </c>
      <c r="B23" s="316" t="s">
        <v>5804</v>
      </c>
      <c r="C23" s="315" t="s">
        <v>5805</v>
      </c>
      <c r="D23" s="316" t="str">
        <f>IFERROR(__xludf.DUMMYFUNCTION("GOOGLETRANSLATE(B23,""zh-tw"",""ja"")"),"物理攻撃：ノックダウン回復32")</f>
        <v>物理攻撃：ノックダウン回復32</v>
      </c>
      <c r="E23" s="315" t="s">
        <v>5806</v>
      </c>
      <c r="F23" s="316" t="s">
        <v>5807</v>
      </c>
      <c r="G23" s="315" t="str">
        <f>IFERROR(__xludf.DUMMYFUNCTION("GOOGLETRANSLATE(A23,""zh-tw"",""zh"")"),"寄生刃")</f>
        <v>寄生刃</v>
      </c>
      <c r="H23" s="316" t="str">
        <f>IFERROR(__xludf.DUMMYFUNCTION("GOOGLETRANSLATE(B23,""zh-tw"",""zh"")"),"物攻：32
击倒回复")</f>
        <v>物攻：32
击倒回复</v>
      </c>
      <c r="I23" s="314" t="s">
        <v>5808</v>
      </c>
      <c r="J23" s="143" t="str">
        <f>IFERROR(__xludf.DUMMYFUNCTION("GOOGLETRANSLATE(B23,""zh-tw"",""es-MX"")"),"Ataque físico: 32 Recuperación de derribo")</f>
        <v>Ataque físico: 32 Recuperación de derribo</v>
      </c>
      <c r="K23" s="314" t="s">
        <v>5809</v>
      </c>
      <c r="L23" s="137" t="s">
        <v>5810</v>
      </c>
      <c r="M23" s="317" t="str">
        <f>IFERROR(__xludf.DUMMYFUNCTION("GOOGLETRANSLATE(A23,""zh-tw"",""ru"")"),"Паразитарный клинок")</f>
        <v>Паразитарный клинок</v>
      </c>
      <c r="N23" s="318" t="str">
        <f>IFERROR(__xludf.DUMMYFUNCTION("GOOGLETRANSLATE(B23,""zh-tw"",""ru"")"),"Физическая атака: 32 восстановления после нокдауна")</f>
        <v>Физическая атака: 32 восстановления после нокдауна</v>
      </c>
      <c r="O23" s="315" t="s">
        <v>5811</v>
      </c>
      <c r="P23" s="316" t="s">
        <v>5812</v>
      </c>
      <c r="Q23" s="319" t="s">
        <v>5813</v>
      </c>
      <c r="R23" s="320" t="s">
        <v>5814</v>
      </c>
      <c r="S23" s="139" t="s">
        <v>5815</v>
      </c>
      <c r="T23" s="143" t="s">
        <v>5816</v>
      </c>
      <c r="U23" s="143"/>
      <c r="V23" s="143"/>
    </row>
    <row r="24">
      <c r="A24" s="322" t="s">
        <v>5817</v>
      </c>
      <c r="B24" s="47" t="s">
        <v>5818</v>
      </c>
      <c r="C24" s="322" t="s">
        <v>5819</v>
      </c>
      <c r="D24" s="47" t="s">
        <v>5820</v>
      </c>
      <c r="E24" s="322" t="s">
        <v>5821</v>
      </c>
      <c r="F24" s="47" t="s">
        <v>5822</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5823</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5824</v>
      </c>
      <c r="L24" s="143"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17" t="str">
        <f>IFERROR(__xludf.DUMMYFUNCTION("GOOGLETRANSLATE(A24,""zh-tw"",""ru"")"),"Пошли сломанный меч")</f>
        <v>Пошли сломанный меч</v>
      </c>
      <c r="N24" s="318"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2" t="s">
        <v>5825</v>
      </c>
      <c r="P24" s="47" t="s">
        <v>5826</v>
      </c>
      <c r="Q24" s="319" t="s">
        <v>5827</v>
      </c>
      <c r="R24" s="323" t="s">
        <v>5828</v>
      </c>
      <c r="S24" s="139" t="s">
        <v>5829</v>
      </c>
      <c r="T24" s="143" t="s">
        <v>5830</v>
      </c>
      <c r="U24" s="143"/>
      <c r="V24" s="143"/>
    </row>
    <row r="25">
      <c r="A25" s="322" t="s">
        <v>5831</v>
      </c>
      <c r="B25" s="137" t="s">
        <v>5832</v>
      </c>
      <c r="C25" s="322" t="s">
        <v>5831</v>
      </c>
      <c r="D25" s="137" t="s">
        <v>5833</v>
      </c>
      <c r="E25" s="322" t="s">
        <v>5834</v>
      </c>
      <c r="F25" s="137" t="s">
        <v>5835</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5836</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2" t="s">
        <v>5837</v>
      </c>
      <c r="P25" s="137" t="s">
        <v>5838</v>
      </c>
      <c r="Q25" s="319" t="s">
        <v>5839</v>
      </c>
      <c r="R25" s="323" t="s">
        <v>5840</v>
      </c>
      <c r="S25" s="139" t="s">
        <v>5841</v>
      </c>
      <c r="T25" s="143" t="s">
        <v>5842</v>
      </c>
      <c r="U25" s="143"/>
      <c r="V25" s="143"/>
    </row>
    <row r="26">
      <c r="A26" s="315" t="s">
        <v>5843</v>
      </c>
      <c r="B26" s="316" t="s">
        <v>5844</v>
      </c>
      <c r="C26" s="315" t="s">
        <v>5845</v>
      </c>
      <c r="D26" s="316" t="s">
        <v>5846</v>
      </c>
      <c r="E26" s="315" t="s">
        <v>5847</v>
      </c>
      <c r="F26" s="316" t="s">
        <v>5848</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커맨드 강화
*레어 가챠 아이템")</f>
        <v>물리 공격력: 36
특수 커맨드 강화
*레어 가챠 아이템</v>
      </c>
      <c r="M26" s="317" t="str">
        <f>IFERROR(__xludf.DUMMYFUNCTION("GOOGLETRANSLATE(A26,""zh-tw"",""ru"")"),"Древняя слава")</f>
        <v>Древняя слава</v>
      </c>
      <c r="N26" s="318"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5" t="s">
        <v>5849</v>
      </c>
      <c r="P26" s="316" t="s">
        <v>5850</v>
      </c>
      <c r="Q26" s="319" t="s">
        <v>5851</v>
      </c>
      <c r="R26" s="320" t="s">
        <v>5852</v>
      </c>
      <c r="S26" s="139" t="s">
        <v>5853</v>
      </c>
      <c r="T26" s="143" t="s">
        <v>5854</v>
      </c>
      <c r="U26" s="143"/>
      <c r="V26" s="143"/>
    </row>
    <row r="27">
      <c r="A27" s="315" t="s">
        <v>5855</v>
      </c>
      <c r="B27" s="316" t="s">
        <v>5856</v>
      </c>
      <c r="C27" s="315" t="s">
        <v>5857</v>
      </c>
      <c r="D27" s="316" t="str">
        <f>IFERROR(__xludf.DUMMYFUNCTION("GOOGLETRANSLATE(B27,""zh-tw"",""ja"")"),"物理攻撃力：32
魔法攻撃力：36
防御力無視、不可視の刃
*レアガチャアイテム")</f>
        <v>物理攻撃力：32
魔法攻撃力：36
防御力無視、不可視の刃
*レアガチャアイテム</v>
      </c>
      <c r="E27" s="315" t="s">
        <v>5858</v>
      </c>
      <c r="F27" s="316" t="s">
        <v>5859</v>
      </c>
      <c r="G27" s="315" t="str">
        <f>IFERROR(__xludf.DUMMYFUNCTION("GOOGLETRANSLATE(A27,""zh-tw"",""zh"")"),"克里乌之光")</f>
        <v>克里乌之光</v>
      </c>
      <c r="H27" s="316" t="s">
        <v>5860</v>
      </c>
      <c r="I27" s="314" t="s">
        <v>5858</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5" t="s">
        <v>5861</v>
      </c>
      <c r="P27" s="316" t="s">
        <v>5862</v>
      </c>
      <c r="Q27" s="319" t="s">
        <v>5863</v>
      </c>
      <c r="R27" s="320" t="s">
        <v>5864</v>
      </c>
      <c r="S27" s="139" t="s">
        <v>5858</v>
      </c>
      <c r="T27" s="143" t="s">
        <v>5865</v>
      </c>
      <c r="U27" s="143"/>
      <c r="V27" s="143"/>
    </row>
    <row r="28">
      <c r="A28" s="315" t="s">
        <v>5866</v>
      </c>
      <c r="B28" s="316" t="s">
        <v>5867</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5868</v>
      </c>
      <c r="F28" s="316" t="s">
        <v>5869</v>
      </c>
      <c r="G28" s="315" t="str">
        <f>IFERROR(__xludf.DUMMYFUNCTION("GOOGLETRANSLATE(A28,""zh-tw"",""zh"")"),"木弓")</f>
        <v>木弓</v>
      </c>
      <c r="H28" s="316" t="str">
        <f>IFERROR(__xludf.DUMMYFUNCTION("GOOGLETRANSLATE(B28,""zh-tw"",""zh"")"),"物攻：20
穿透(伤害递减)")</f>
        <v>物攻：20
穿透(伤害递减)</v>
      </c>
      <c r="I28" s="314" t="s">
        <v>5870</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공격력: 관통력 20 (데미지 감소)")</f>
        <v>물리 공격력: 관통력 20 (데미지 감소)</v>
      </c>
      <c r="M28" s="317" t="str">
        <f>IFERROR(__xludf.DUMMYFUNCTION("GOOGLETRANSLATE(A28,""zh-tw"",""ru"")"),"деревянный лук")</f>
        <v>деревянный лук</v>
      </c>
      <c r="N28" s="318" t="str">
        <f>IFERROR(__xludf.DUMMYFUNCTION("GOOGLETRANSLATE(B28,""zh-tw"",""ru"")"),"Физическая атака: 20 Пробитие (урон уменьшается)")</f>
        <v>Физическая атака: 20 Пробитие (урон уменьшается)</v>
      </c>
      <c r="O28" s="315" t="s">
        <v>5871</v>
      </c>
      <c r="P28" s="316" t="s">
        <v>5872</v>
      </c>
      <c r="Q28" s="319" t="s">
        <v>5873</v>
      </c>
      <c r="R28" s="320" t="s">
        <v>5874</v>
      </c>
      <c r="S28" s="139" t="s">
        <v>5875</v>
      </c>
      <c r="T28" s="143" t="s">
        <v>5876</v>
      </c>
      <c r="U28" s="143"/>
      <c r="V28" s="143"/>
    </row>
    <row r="29">
      <c r="A29" s="315" t="s">
        <v>5877</v>
      </c>
      <c r="B29" s="316" t="s">
        <v>5878</v>
      </c>
      <c r="C29" s="315" t="s">
        <v>5879</v>
      </c>
      <c r="D29" s="316" t="str">
        <f>IFERROR(__xludf.DUMMYFUNCTION("GOOGLETRANSLATE(B29,""zh-tw"",""ja"")"),"物理攻撃：貫通力24")</f>
        <v>物理攻撃：貫通力24</v>
      </c>
      <c r="E29" s="315" t="s">
        <v>5880</v>
      </c>
      <c r="F29" s="316" t="s">
        <v>5881</v>
      </c>
      <c r="G29" s="315" t="str">
        <f>IFERROR(__xludf.DUMMYFUNCTION("GOOGLETRANSLATE(A29,""zh-tw"",""zh"")"),"猎人之弓")</f>
        <v>猎人之弓</v>
      </c>
      <c r="H29" s="316" t="str">
        <f>IFERROR(__xludf.DUMMYFUNCTION("GOOGLETRANSLATE(B29,""zh-tw"",""zh"")"),"物攻：24
穿透")</f>
        <v>物攻：24
穿透</v>
      </c>
      <c r="I29" s="314" t="s">
        <v>5882</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 공격력: 24 관통력")</f>
        <v>물리 공격력: 24 관통력</v>
      </c>
      <c r="M29" s="317" t="str">
        <f>IFERROR(__xludf.DUMMYFUNCTION("GOOGLETRANSLATE(A29,""zh-tw"",""ru"")"),"Лук Охотника")</f>
        <v>Лук Охотника</v>
      </c>
      <c r="N29" s="318" t="str">
        <f>IFERROR(__xludf.DUMMYFUNCTION("GOOGLETRANSLATE(B29,""zh-tw"",""ru"")"),"Физическая атака: 24 Проникновение")</f>
        <v>Физическая атака: 24 Проникновение</v>
      </c>
      <c r="O29" s="315" t="s">
        <v>5883</v>
      </c>
      <c r="P29" s="316" t="s">
        <v>5884</v>
      </c>
      <c r="Q29" s="319" t="s">
        <v>5885</v>
      </c>
      <c r="R29" s="320" t="s">
        <v>5886</v>
      </c>
      <c r="S29" s="139" t="s">
        <v>5887</v>
      </c>
      <c r="T29" s="143" t="s">
        <v>5888</v>
      </c>
      <c r="U29" s="143"/>
      <c r="V29" s="143"/>
    </row>
    <row r="30">
      <c r="A30" s="315" t="s">
        <v>5889</v>
      </c>
      <c r="B30" s="316" t="s">
        <v>5890</v>
      </c>
      <c r="C30" s="315" t="s">
        <v>5891</v>
      </c>
      <c r="D30" s="316" t="str">
        <f>IFERROR(__xludf.DUMMYFUNCTION("GOOGLETRANSLATE(B30,""zh-tw"",""ja"")"),"物理攻撃力：18
魔法攻撃力：18
火属性")</f>
        <v>物理攻撃力：18
魔法攻撃力：18
火属性</v>
      </c>
      <c r="E30" s="315" t="s">
        <v>5892</v>
      </c>
      <c r="F30" s="316" t="s">
        <v>5893</v>
      </c>
      <c r="G30" s="315" t="str">
        <f>IFERROR(__xludf.DUMMYFUNCTION("GOOGLETRANSLATE(A30,""zh-tw"",""zh"")"),"火烧云")</f>
        <v>火烧云</v>
      </c>
      <c r="H30" s="316" t="str">
        <f>IFERROR(__xludf.DUMMYFUNCTION("GOOGLETRANSLATE(B30,""zh-tw"",""zh"")"),"物攻：18
魔攻：18
炎属性")</f>
        <v>物攻：18
魔攻：18
炎属性</v>
      </c>
      <c r="I30" s="314" t="s">
        <v>5894</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화염 속성")</f>
        <v>물리 공격력: 18
마법 공격력: 18
화염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Атрибут огня")</f>
        <v>Физическая атака: 18
Магическая атака: 18
Атрибут огня</v>
      </c>
      <c r="O30" s="315" t="s">
        <v>5895</v>
      </c>
      <c r="P30" s="316" t="s">
        <v>5896</v>
      </c>
      <c r="Q30" s="319" t="s">
        <v>5897</v>
      </c>
      <c r="R30" s="320" t="s">
        <v>5898</v>
      </c>
      <c r="S30" s="119" t="s">
        <v>5899</v>
      </c>
      <c r="T30" s="143" t="s">
        <v>5900</v>
      </c>
      <c r="U30" s="143"/>
      <c r="V30" s="143"/>
    </row>
    <row r="31">
      <c r="A31" s="315" t="s">
        <v>5901</v>
      </c>
      <c r="B31" s="316" t="s">
        <v>5902</v>
      </c>
      <c r="C31" s="315" t="s">
        <v>5901</v>
      </c>
      <c r="D31" s="316" t="str">
        <f>IFERROR(__xludf.DUMMYFUNCTION("GOOGLETRANSLATE(B31,""zh-tw"",""ja"")"),"物理攻撃力：16
魔法攻撃力：16
氷属性")</f>
        <v>物理攻撃力：16
魔法攻撃力：16
氷属性</v>
      </c>
      <c r="E31" s="315" t="s">
        <v>5903</v>
      </c>
      <c r="F31" s="316" t="s">
        <v>5904</v>
      </c>
      <c r="G31" s="315" t="str">
        <f>IFERROR(__xludf.DUMMYFUNCTION("GOOGLETRANSLATE(A31,""zh-tw"",""zh"")"),"雪见")</f>
        <v>雪见</v>
      </c>
      <c r="H31" s="316" t="str">
        <f>IFERROR(__xludf.DUMMYFUNCTION("GOOGLETRANSLATE(B31,""zh-tw"",""zh"")"),"物攻：16
魔攻：16
冰属性")</f>
        <v>物攻：16
魔攻：16
冰属性</v>
      </c>
      <c r="I31" s="314" t="s">
        <v>5905</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Атрибут льда")</f>
        <v>Физическая атака: 16
Магическая атака: 16
Атрибут льда</v>
      </c>
      <c r="O31" s="315" t="s">
        <v>5906</v>
      </c>
      <c r="P31" s="316" t="s">
        <v>5907</v>
      </c>
      <c r="Q31" s="319" t="s">
        <v>5908</v>
      </c>
      <c r="R31" s="320" t="s">
        <v>5909</v>
      </c>
      <c r="S31" s="139" t="s">
        <v>5910</v>
      </c>
      <c r="T31" s="143" t="s">
        <v>5911</v>
      </c>
      <c r="U31" s="143"/>
      <c r="V31" s="143"/>
    </row>
    <row r="32">
      <c r="A32" s="315" t="s">
        <v>5912</v>
      </c>
      <c r="B32" s="316" t="s">
        <v>5913</v>
      </c>
      <c r="C32" s="315" t="str">
        <f>IFERROR(__xludf.DUMMYFUNCTION("GOOGLETRANSLATE(A32,""zh-tw"",""ja"")"),"千鳥")</f>
        <v>千鳥</v>
      </c>
      <c r="D32" s="316" t="str">
        <f>IFERROR(__xludf.DUMMYFUNCTION("GOOGLETRANSLATE(B32,""zh-tw"",""ja"")"),"物理攻撃力：16
魔法攻撃力：16
雷属性")</f>
        <v>物理攻撃力：16
魔法攻撃力：16
雷属性</v>
      </c>
      <c r="E32" s="315" t="s">
        <v>5914</v>
      </c>
      <c r="F32" s="316" t="s">
        <v>5915</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«Молния»")</f>
        <v>Физическая атака: 16
Магическая атака: 16
Атрибут «Молния»</v>
      </c>
      <c r="O32" s="315" t="s">
        <v>5916</v>
      </c>
      <c r="P32" s="316" t="s">
        <v>5917</v>
      </c>
      <c r="Q32" s="319" t="s">
        <v>5918</v>
      </c>
      <c r="R32" s="320" t="s">
        <v>5919</v>
      </c>
      <c r="S32" s="139" t="s">
        <v>5914</v>
      </c>
      <c r="T32" s="143" t="s">
        <v>5920</v>
      </c>
      <c r="U32" s="143"/>
      <c r="V32" s="143"/>
    </row>
    <row r="33">
      <c r="A33" s="315" t="s">
        <v>5921</v>
      </c>
      <c r="B33" s="316" t="s">
        <v>5922</v>
      </c>
      <c r="C33" s="315" t="s">
        <v>5923</v>
      </c>
      <c r="D33" s="316" t="str">
        <f>IFERROR(__xludf.DUMMYFUNCTION("GOOGLETRANSLATE(B33,""zh-tw"",""ja"")"),"物理攻撃力：32（連射）")</f>
        <v>物理攻撃力：32（連射）</v>
      </c>
      <c r="E33" s="315" t="s">
        <v>5924</v>
      </c>
      <c r="F33" s="316" t="s">
        <v>5925</v>
      </c>
      <c r="G33" s="315" t="str">
        <f>IFERROR(__xludf.DUMMYFUNCTION("GOOGLETRANSLATE(A33,""zh-tw"",""zh"")"),"三头连弓地狱犬")</f>
        <v>三头连弓地狱犬</v>
      </c>
      <c r="H33" s="316" t="str">
        <f>IFERROR(__xludf.DUMMYFUNCTION("GOOGLETRANSLATE(B33,""zh-tw"",""zh"")"),"物攻：32
连发")</f>
        <v>物攻：32
连发</v>
      </c>
      <c r="I33" s="314" t="s">
        <v>5926</v>
      </c>
      <c r="J33" s="143" t="str">
        <f>IFERROR(__xludf.DUMMYFUNCTION("GOOGLETRANSLATE(B33,""zh-tw"",""es-MX"")"),"Ataque físico: 32 (Fuego rápido)")</f>
        <v>Ataque físico: 32 (Fuego rápido)</v>
      </c>
      <c r="K33" s="321" t="str">
        <f>IFERROR(__xludf.DUMMYFUNCTION("GOOGLETRANSLATE(A33,""zh-tw"",""KO"")"),"세 개의 머리를 가진 세르베루스")</f>
        <v>세 개의 머리를 가진 세르베루스</v>
      </c>
      <c r="L33" s="143" t="str">
        <f>IFERROR(__xludf.DUMMYFUNCTION("GOOGLETRANSLATE(B33,""zh-tw"",""KO"")"),"물리 공격력: 32 (연사)")</f>
        <v>물리 공격력: 32 (연사)</v>
      </c>
      <c r="M33" s="317" t="str">
        <f>IFERROR(__xludf.DUMMYFUNCTION("GOOGLETRANSLATE(A33,""zh-tw"",""ru"")"),"Трехголовый Цербер")</f>
        <v>Трехголовый Цербер</v>
      </c>
      <c r="N33" s="318" t="str">
        <f>IFERROR(__xludf.DUMMYFUNCTION("GOOGLETRANSLATE(B33,""zh-tw"",""ru"")"),"Физическая атака: 32 (Быстрая стрельба)")</f>
        <v>Физическая атака: 32 (Быстрая стрельба)</v>
      </c>
      <c r="O33" s="315" t="s">
        <v>5927</v>
      </c>
      <c r="P33" s="316" t="s">
        <v>5928</v>
      </c>
      <c r="Q33" s="319" t="s">
        <v>5929</v>
      </c>
      <c r="R33" s="320" t="s">
        <v>5930</v>
      </c>
      <c r="S33" s="139" t="s">
        <v>5931</v>
      </c>
      <c r="T33" s="143" t="s">
        <v>5932</v>
      </c>
      <c r="U33" s="143"/>
      <c r="V33" s="143"/>
    </row>
    <row r="34">
      <c r="A34" s="315" t="s">
        <v>5521</v>
      </c>
      <c r="B34" s="316" t="s">
        <v>5933</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5525</v>
      </c>
      <c r="F34" s="316" t="s">
        <v>5934</v>
      </c>
      <c r="G34" s="315" t="str">
        <f>IFERROR(__xludf.DUMMYFUNCTION("GOOGLETRANSLATE(A34,""zh-tw"",""zh"")"),"熔岩杖")</f>
        <v>熔岩杖</v>
      </c>
      <c r="H34" s="316" t="str">
        <f>IFERROR(__xludf.DUMMYFUNCTION("GOOGLETRANSLATE(B34,""zh-tw"",""zh"")"),"物攻：1
魔攻：66
炎属性")</f>
        <v>物攻：1
魔攻：66
炎属性</v>
      </c>
      <c r="I34" s="314" t="s">
        <v>5935</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화속성")</f>
        <v>물리 공격력: 1
마법 공격력: 66
화속성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5528</v>
      </c>
      <c r="P34" s="316" t="s">
        <v>5936</v>
      </c>
      <c r="Q34" s="319" t="s">
        <v>5937</v>
      </c>
      <c r="R34" s="323" t="s">
        <v>5938</v>
      </c>
      <c r="S34" s="139" t="s">
        <v>5532</v>
      </c>
      <c r="T34" s="143" t="s">
        <v>5939</v>
      </c>
      <c r="U34" s="143"/>
      <c r="V34" s="143"/>
    </row>
    <row r="35">
      <c r="A35" s="315" t="s">
        <v>5940</v>
      </c>
      <c r="B35" s="316" t="s">
        <v>5941</v>
      </c>
      <c r="C35" s="315" t="s">
        <v>5942</v>
      </c>
      <c r="D35" s="316" t="str">
        <f>IFERROR(__xludf.DUMMYFUNCTION("GOOGLETRANSLATE(B35,""zh-tw"",""ja"")"),"物理攻撃: 1 魔法攻撃: 55 氷属性")</f>
        <v>物理攻撃: 1 魔法攻撃: 55 氷属性</v>
      </c>
      <c r="E35" s="315" t="s">
        <v>5943</v>
      </c>
      <c r="F35" s="316" t="s">
        <v>5944</v>
      </c>
      <c r="G35" s="315" t="str">
        <f>IFERROR(__xludf.DUMMYFUNCTION("GOOGLETRANSLATE(A35,""zh-tw"",""zh"")"),"寒冰杖")</f>
        <v>寒冰杖</v>
      </c>
      <c r="H35" s="316" t="str">
        <f>IFERROR(__xludf.DUMMYFUNCTION("GOOGLETRANSLATE(B35,""zh-tw"",""zh"")"),"物攻：1
魔攻：55
冰属性")</f>
        <v>物攻：1
魔攻：55
冰属性</v>
      </c>
      <c r="I35" s="314" t="s">
        <v>5945</v>
      </c>
      <c r="J35" s="143" t="str">
        <f>IFERROR(__xludf.DUMMYFUNCTION("GOOGLETRANSLATE(B35,""zh-tw"",""es-MX"")"),"Ataque físico: 1 Ataque mágico: 55 Atributo de hielo")</f>
        <v>Ataque físico: 1 Ataque mágico: 55 Atributo de hielo</v>
      </c>
      <c r="K35" s="321" t="str">
        <f>IFERROR(__xludf.DUMMYFUNCTION("GOOGLETRANSLATE(A35,""zh-tw"",""KO"")"),"얼음 지팡이")</f>
        <v>얼음 지팡이</v>
      </c>
      <c r="L35" s="143" t="str">
        <f>IFERROR(__xludf.DUMMYFUNCTION("GOOGLETRANSLATE(B35,""zh-tw"",""KO"")"),"물리 공격력: 1 마법 공격력: 55 얼음 속성")</f>
        <v>물리 공격력: 1 마법 공격력: 55 얼음 속성</v>
      </c>
      <c r="M35" s="317" t="str">
        <f>IFERROR(__xludf.DUMMYFUNCTION("GOOGLETRANSLATE(A35,""zh-tw"",""ru"")"),"Ледяной посох")</f>
        <v>Ледяной посох</v>
      </c>
      <c r="N35" s="318" t="str">
        <f>IFERROR(__xludf.DUMMYFUNCTION("GOOGLETRANSLATE(B35,""zh-tw"",""ru"")"),"Физическая атака: 1 Магическая атака: 55 Атрибут льда")</f>
        <v>Физическая атака: 1 Магическая атака: 55 Атрибут льда</v>
      </c>
      <c r="O35" s="315" t="s">
        <v>5946</v>
      </c>
      <c r="P35" s="316" t="s">
        <v>5947</v>
      </c>
      <c r="Q35" s="319" t="s">
        <v>5948</v>
      </c>
      <c r="R35" s="320" t="s">
        <v>5949</v>
      </c>
      <c r="S35" s="139" t="s">
        <v>5950</v>
      </c>
      <c r="T35" s="143" t="s">
        <v>5951</v>
      </c>
      <c r="U35" s="143"/>
      <c r="V35" s="143"/>
    </row>
    <row r="36">
      <c r="A36" s="315" t="s">
        <v>5952</v>
      </c>
      <c r="B36" s="316" t="s">
        <v>5953</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5954</v>
      </c>
      <c r="F36" s="316" t="s">
        <v>5955</v>
      </c>
      <c r="G36" s="315" t="str">
        <f>IFERROR(__xludf.DUMMYFUNCTION("GOOGLETRANSLATE(A36,""zh-tw"",""zh"")"),"星月夜")</f>
        <v>星月夜</v>
      </c>
      <c r="H36" s="316" t="str">
        <f>IFERROR(__xludf.DUMMYFUNCTION("GOOGLETRANSLATE(B36,""zh-tw"",""zh"")"),"物攻：1
魔攻：68
黑洞")</f>
        <v>物攻：1
魔攻：68
黑洞</v>
      </c>
      <c r="I36" s="314" t="s">
        <v>5956</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5957</v>
      </c>
      <c r="P36" s="316" t="s">
        <v>5958</v>
      </c>
      <c r="Q36" s="319" t="s">
        <v>5959</v>
      </c>
      <c r="R36" s="320" t="s">
        <v>5960</v>
      </c>
      <c r="S36" s="139" t="s">
        <v>5961</v>
      </c>
      <c r="T36" s="143" t="s">
        <v>5962</v>
      </c>
      <c r="U36" s="143"/>
      <c r="V36" s="143"/>
    </row>
    <row r="37">
      <c r="A37" s="315" t="s">
        <v>5963</v>
      </c>
      <c r="B37" s="316" t="s">
        <v>5964</v>
      </c>
      <c r="C37" s="315" t="str">
        <f>IFERROR(__xludf.DUMMYFUNCTION("GOOGLETRANSLATE(A37,""zh-tw"",""ja"")"),"バナナ？")</f>
        <v>バナナ？</v>
      </c>
      <c r="D37" s="316" t="str">
        <f>IFERROR(__xludf.DUMMYFUNCTION("GOOGLETRANSLATE(B37,""zh-tw"",""ja"")"),"物理攻撃力：10爆発")</f>
        <v>物理攻撃力：10爆発</v>
      </c>
      <c r="E37" s="315" t="s">
        <v>5965</v>
      </c>
      <c r="F37" s="316" t="s">
        <v>5966</v>
      </c>
      <c r="G37" s="315" t="str">
        <f>IFERROR(__xludf.DUMMYFUNCTION("GOOGLETRANSLATE(A37,""zh-tw"",""zh"")"),"香蕉?")</f>
        <v>香蕉?</v>
      </c>
      <c r="H37" s="316" t="str">
        <f>IFERROR(__xludf.DUMMYFUNCTION("GOOGLETRANSLATE(B37,""zh-tw"",""zh"")"),"物攻：10
爆炸")</f>
        <v>物攻：10
爆炸</v>
      </c>
      <c r="I37" s="314" t="s">
        <v>5967</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공격력: 10 폭발")</f>
        <v>물리 공격력: 10 폭발</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5968</v>
      </c>
      <c r="P37" s="316" t="s">
        <v>5969</v>
      </c>
      <c r="Q37" s="319" t="s">
        <v>5970</v>
      </c>
      <c r="R37" s="320" t="s">
        <v>5971</v>
      </c>
      <c r="S37" s="139" t="s">
        <v>5965</v>
      </c>
      <c r="T37" s="143" t="s">
        <v>5972</v>
      </c>
      <c r="U37" s="143"/>
      <c r="V37" s="143"/>
    </row>
    <row r="38" ht="68.25" customHeight="1">
      <c r="A38" s="315" t="s">
        <v>5973</v>
      </c>
      <c r="B38" s="316" t="s">
        <v>5974</v>
      </c>
      <c r="C38" s="315" t="s">
        <v>5975</v>
      </c>
      <c r="D38" s="316" t="str">
        <f>IFERROR(__xludf.DUMMYFUNCTION("GOOGLETRANSLATE(B38,""zh-tw"",""ja"")"),"物理攻撃力：1
魔法攻撃力：1
アイテム吸収")</f>
        <v>物理攻撃力：1
魔法攻撃力：1
アイテム吸収</v>
      </c>
      <c r="E38" s="315" t="s">
        <v>5976</v>
      </c>
      <c r="F38" s="316" t="s">
        <v>5977</v>
      </c>
      <c r="G38" s="315" t="str">
        <f>IFERROR(__xludf.DUMMYFUNCTION("GOOGLETRANSLATE(A38,""zh-tw"",""zh"")"),"巨蜗吸尘器")</f>
        <v>巨蜗吸尘器</v>
      </c>
      <c r="H38" s="316" t="str">
        <f>IFERROR(__xludf.DUMMYFUNCTION("GOOGLETRANSLATE(B38,""zh-tw"",""zh"")"),"物攻：1
魔攻：1
吸取物品")</f>
        <v>物攻：1
魔攻：1
吸取物品</v>
      </c>
      <c r="I38" s="314" t="s">
        <v>5978</v>
      </c>
      <c r="J38" s="143" t="str">
        <f>IFERROR(__xludf.DUMMYFUNCTION("GOOGLETRANSLATE(B38,""zh-tw"",""es-MX"")"),"Ataque físico: 1
Ataque mágico: 1
Absorción de objetos")</f>
        <v>Ataque físico: 1
Ataque mágico: 1
Absorción de objetos</v>
      </c>
      <c r="K38" s="321" t="str">
        <f>IFERROR(__xludf.DUMMYFUNCTION("GOOGLETRANSLATE(A38,""zh-tw"",""KO"")"),"자이언트 스네일 진공 청소기")</f>
        <v>자이언트 스네일 진공 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пылесос-улитка")</f>
        <v>Гигантский пылесос-улитка</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5979</v>
      </c>
      <c r="P38" s="316" t="s">
        <v>5980</v>
      </c>
      <c r="Q38" s="319" t="s">
        <v>5981</v>
      </c>
      <c r="R38" s="320" t="s">
        <v>5982</v>
      </c>
      <c r="S38" s="139" t="s">
        <v>5983</v>
      </c>
      <c r="T38" s="143" t="s">
        <v>5984</v>
      </c>
      <c r="U38" s="143"/>
      <c r="V38" s="143"/>
    </row>
    <row r="39">
      <c r="A39" s="315" t="s">
        <v>5985</v>
      </c>
      <c r="B39" s="316" t="s">
        <v>5986</v>
      </c>
      <c r="C39" s="315" t="s">
        <v>5987</v>
      </c>
      <c r="D39" s="316" t="str">
        <f>IFERROR(__xludf.DUMMYFUNCTION("GOOGLETRANSLATE(B39,""zh-tw"",""ja"")"),"物理攻撃: 15 ターゲットをクランプする")</f>
        <v>物理攻撃: 15 ターゲットをクランプする</v>
      </c>
      <c r="E39" s="315" t="s">
        <v>5988</v>
      </c>
      <c r="F39" s="316" t="s">
        <v>5989</v>
      </c>
      <c r="G39" s="315" t="str">
        <f>IFERROR(__xludf.DUMMYFUNCTION("GOOGLETRANSLATE(A39,""zh-tw"",""zh"")"),"巨大蟹钳")</f>
        <v>巨大蟹钳</v>
      </c>
      <c r="H39" s="316" t="str">
        <f>IFERROR(__xludf.DUMMYFUNCTION("GOOGLETRANSLATE(B39,""zh-tw"",""zh"")"),"物攻：15
夹住目标")</f>
        <v>物攻：15
夹住目标</v>
      </c>
      <c r="I39" s="314" t="s">
        <v>5990</v>
      </c>
      <c r="J39" s="143" t="str">
        <f>IFERROR(__xludf.DUMMYFUNCTION("GOOGLETRANSLATE(B39,""zh-tw"",""es-MX"")"),"Ataque físico: 15 Sujeta al objetivo")</f>
        <v>Ataque físico: 15 Sujeta al objetivo</v>
      </c>
      <c r="K39" s="321" t="str">
        <f>IFERROR(__xludf.DUMMYFUNCTION("GOOGLETRANSLATE(A39,""zh-tw"",""KO"")"),"거대한 게 발톱")</f>
        <v>거대한 게 발톱</v>
      </c>
      <c r="L39" s="143" t="str">
        <f>IFERROR(__xludf.DUMMYFUNCTION("GOOGLETRANSLATE(B39,""zh-tw"",""KO"")"),"물리공격력 : 15 대상을 고정합니다.")</f>
        <v>물리공격력 : 15 대상을 고정합니다.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Захват цели")</f>
        <v>Физическая атака: 15 Захват цели</v>
      </c>
      <c r="O39" s="315" t="s">
        <v>5991</v>
      </c>
      <c r="P39" s="316" t="s">
        <v>5992</v>
      </c>
      <c r="Q39" s="319" t="s">
        <v>5993</v>
      </c>
      <c r="R39" s="320" t="s">
        <v>5994</v>
      </c>
      <c r="S39" s="139" t="s">
        <v>5995</v>
      </c>
      <c r="T39" s="143" t="s">
        <v>5996</v>
      </c>
      <c r="U39" s="143"/>
      <c r="V39" s="143"/>
    </row>
    <row r="40">
      <c r="A40" s="314" t="s">
        <v>5997</v>
      </c>
      <c r="B40" s="137" t="s">
        <v>5998</v>
      </c>
      <c r="C40" s="315" t="s">
        <v>5997</v>
      </c>
      <c r="D40" s="316" t="str">
        <f>IFERROR(__xludf.DUMMYFUNCTION("GOOGLETRANSLATE(B40,""zh-tw"",""ja"")"),"物理攻撃：スタンの確率36%")</f>
        <v>物理攻撃：スタンの確率36%</v>
      </c>
      <c r="E40" s="315" t="s">
        <v>5999</v>
      </c>
      <c r="F40" s="316" t="s">
        <v>6000</v>
      </c>
      <c r="G40" s="315" t="str">
        <f>IFERROR(__xludf.DUMMYFUNCTION("GOOGLETRANSLATE(A40,""zh-tw"",""zh"")"),"大木槌")</f>
        <v>大木槌</v>
      </c>
      <c r="H40" s="316" t="str">
        <f>IFERROR(__xludf.DUMMYFUNCTION("GOOGLETRANSLATE(B40,""zh-tw"",""zh"")"),"物攻：36
机率晕眩")</f>
        <v>物攻：36
机率晕眩</v>
      </c>
      <c r="I40" s="314" t="s">
        <v>6001</v>
      </c>
      <c r="J40" s="143" t="str">
        <f>IFERROR(__xludf.DUMMYFUNCTION("GOOGLETRANSLATE(B40,""zh-tw"",""es-MX"")"),"Ataque físico: 36% de probabilidad de aturdimiento")</f>
        <v>Ataque físico: 36% de probabilidad de aturdimiento</v>
      </c>
      <c r="K40" s="321" t="str">
        <f>IFERROR(__xludf.DUMMYFUNCTION("GOOGLETRANSLATE(A40,""zh-tw"",""KO"")"),"큰 나무 망치")</f>
        <v>큰 나무 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6002</v>
      </c>
      <c r="P40" s="316" t="s">
        <v>6003</v>
      </c>
      <c r="Q40" s="319" t="s">
        <v>6004</v>
      </c>
      <c r="R40" s="320" t="s">
        <v>6005</v>
      </c>
      <c r="S40" s="139" t="s">
        <v>6006</v>
      </c>
      <c r="T40" s="143" t="s">
        <v>6007</v>
      </c>
      <c r="U40" s="143"/>
      <c r="V40" s="143"/>
    </row>
    <row r="41">
      <c r="A41" s="321" t="s">
        <v>6008</v>
      </c>
      <c r="B41" s="143" t="s">
        <v>6009</v>
      </c>
      <c r="C41" s="321" t="s">
        <v>6008</v>
      </c>
      <c r="D41" s="143" t="s">
        <v>6010</v>
      </c>
      <c r="E41" s="321" t="s">
        <v>6011</v>
      </c>
      <c r="F41" s="137" t="s">
        <v>6012</v>
      </c>
      <c r="G41" s="315" t="str">
        <f>IFERROR(__xludf.DUMMYFUNCTION("GOOGLETRANSLATE(A41,""zh-tw"",""zh"")"),"日轮")</f>
        <v>日轮</v>
      </c>
      <c r="H41" s="316" t="str">
        <f>IFERROR(__xludf.DUMMYFUNCTION("GOOGLETRANSLATE(B41,""zh-tw"",""zh"")"),"物攻：12
魔攻：30
魔防：30
召唤陨石")</f>
        <v>物攻：12
魔攻：30
魔防：30
召唤陨石</v>
      </c>
      <c r="I41" s="314" t="s">
        <v>6011</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IFERROR(__xludf.DUMMYFUNCTION("GOOGLETRANSLATE(A41,""zh-tw"",""KO"")"),"썬 휠")</f>
        <v>썬 휠</v>
      </c>
      <c r="L41" s="143" t="str">
        <f>IFERROR(__xludf.DUMMYFUNCTION("GOOGLETRANSLATE(B41,""zh-tw"",""KO"")"),"물리 공격력: 12
마법 공격력: 30
마법 방어력: 30
유성 소환")</f>
        <v>물리 공격력: 12
마법 공격력: 30
마법 방어력: 30
유성 소환</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6013</v>
      </c>
      <c r="P41" s="47" t="s">
        <v>6014</v>
      </c>
      <c r="Q41" s="319" t="s">
        <v>6015</v>
      </c>
      <c r="R41" s="320" t="s">
        <v>6016</v>
      </c>
      <c r="S41" s="139" t="s">
        <v>6011</v>
      </c>
      <c r="T41" s="143" t="s">
        <v>6017</v>
      </c>
      <c r="U41" s="143"/>
      <c r="V41" s="143"/>
    </row>
    <row r="42">
      <c r="A42" s="321" t="s">
        <v>6018</v>
      </c>
      <c r="B42" s="137" t="s">
        <v>6019</v>
      </c>
      <c r="C42" s="321" t="s">
        <v>6020</v>
      </c>
      <c r="D42" s="143" t="s">
        <v>6021</v>
      </c>
      <c r="E42" s="321" t="s">
        <v>6022</v>
      </c>
      <c r="F42" s="143" t="s">
        <v>6023</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6024</v>
      </c>
      <c r="J42" s="143" t="str">
        <f>IFERROR(__xludf.DUMMYFUNCTION("GOOGLETRANSLATE(B42,""zh-tw"",""es-MX"")"),"Ataque físico: 18 Ataque mágico: 9 Arma tipo bumerán")</f>
        <v>Ataque físico: 18 Ataque mágico: 9 Arma tipo bumerán</v>
      </c>
      <c r="K42" s="321" t="str">
        <f>IFERROR(__xludf.DUMMYFUNCTION("GOOGLETRANSLATE(A42,""zh-tw"",""KO"")"),"덩의 우울한 낫")</f>
        <v>덩의 우울한 낫</v>
      </c>
      <c r="L42" s="143" t="str">
        <f>IFERROR(__xludf.DUMMYFUNCTION("GOOGLETRANSLATE(B42,""zh-tw"",""KO"")"),"물리 공격력: 18 마법 공격력: 9 부메랑 계열 무기")</f>
        <v>물리 공격력: 18 마법 공격력: 9 부메랑 계열 무기</v>
      </c>
      <c r="M42" s="317" t="str">
        <f>IFERROR(__xludf.DUMMYFUNCTION("GOOGLETRANSLATE(A42,""zh-tw"",""ru"")"),"Мрачный серп Дэнга")</f>
        <v>Мрачный серп Дэнга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6025</v>
      </c>
      <c r="P42" s="47" t="s">
        <v>6026</v>
      </c>
      <c r="Q42" s="319" t="s">
        <v>6027</v>
      </c>
      <c r="R42" s="320" t="s">
        <v>6028</v>
      </c>
      <c r="S42" s="139" t="s">
        <v>6029</v>
      </c>
      <c r="T42" s="143" t="s">
        <v>6030</v>
      </c>
      <c r="U42" s="143"/>
      <c r="V42" s="143"/>
    </row>
    <row r="43">
      <c r="A43" s="314" t="s">
        <v>6031</v>
      </c>
      <c r="B43" s="137" t="s">
        <v>6032</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6033</v>
      </c>
      <c r="F43" s="137" t="s">
        <v>6034</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6035</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독이나 출혈을 유발합니다. 중독은 보장됩니다.")</f>
        <v>물리 공격: 15% 확률로 독이나 출혈을 유발합니다. 중독은 보장됩니다.</v>
      </c>
      <c r="M43" s="317" t="str">
        <f>IFERROR(__xludf.DUMMYFUNCTION("GOOGLETRANSLATE(A43,""zh-tw"",""ru"")"),"Ржавый железный меч")</f>
        <v>Ржавый железный меч</v>
      </c>
      <c r="N43" s="318"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4" t="s">
        <v>6036</v>
      </c>
      <c r="P43" s="137" t="s">
        <v>6037</v>
      </c>
      <c r="Q43" s="319" t="s">
        <v>6038</v>
      </c>
      <c r="R43" s="320" t="s">
        <v>6039</v>
      </c>
      <c r="S43" s="139" t="s">
        <v>6040</v>
      </c>
      <c r="T43" s="143" t="s">
        <v>6041</v>
      </c>
      <c r="U43" s="143"/>
      <c r="V43" s="143"/>
    </row>
    <row r="44">
      <c r="A44" s="314" t="s">
        <v>6042</v>
      </c>
      <c r="B44" s="137" t="s">
        <v>6043</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6044</v>
      </c>
      <c r="F44" s="137" t="s">
        <v>6045</v>
      </c>
      <c r="G44" s="315" t="str">
        <f>IFERROR(__xludf.DUMMYFUNCTION("GOOGLETRANSLATE(A44,""zh-tw"",""zh"")"),"锻造锤")</f>
        <v>锻造锤</v>
      </c>
      <c r="H44" s="316" t="str">
        <f>IFERROR(__xludf.DUMMYFUNCTION("GOOGLETRANSLATE(B44,""zh-tw"",""zh"")"),"物攻：6
锻造用途，详情于TIPS")</f>
        <v>物攻：6
锻造用途，详情于TIPS</v>
      </c>
      <c r="I44" s="314" t="s">
        <v>6046</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IFERROR(__xludf.DUMMYFUNCTION("GOOGLETRANSLATE(B44,""zh-tw"",""KO"")"),"물리적 공격력: 6. 단조에 사용 가능. 자세한 내용은 TIPS를 참조하세요.")</f>
        <v>물리적 공격력: 6. 단조에 사용 가능. 자세한 내용은 TIPS를 참조하세요.</v>
      </c>
      <c r="M44" s="317" t="str">
        <f>IFERROR(__xludf.DUMMYFUNCTION("GOOGLETRANSLATE(A44,""zh-tw"",""ru"")"),"Кузнечный молот")</f>
        <v>Кузнечный молот</v>
      </c>
      <c r="N44" s="318"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4" t="s">
        <v>6047</v>
      </c>
      <c r="P44" s="137" t="s">
        <v>6048</v>
      </c>
      <c r="Q44" s="319" t="s">
        <v>6049</v>
      </c>
      <c r="R44" s="320" t="s">
        <v>6050</v>
      </c>
      <c r="S44" s="139" t="s">
        <v>6051</v>
      </c>
      <c r="T44" s="143" t="s">
        <v>6052</v>
      </c>
      <c r="U44" s="143"/>
      <c r="V44" s="143"/>
    </row>
    <row r="45">
      <c r="A45" s="315" t="s">
        <v>6053</v>
      </c>
      <c r="B45" s="316" t="s">
        <v>6054</v>
      </c>
      <c r="C45" s="315" t="s">
        <v>6055</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6056</v>
      </c>
      <c r="F45" s="316" t="s">
        <v>6057</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6058</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7" t="str">
        <f>IFERROR(__xludf.DUMMYFUNCTION("GOOGLETRANSLATE(A45,""zh-tw"",""ru"")"),"Блок 2")</f>
        <v>Блок 2</v>
      </c>
      <c r="N45" s="318"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5" t="s">
        <v>6059</v>
      </c>
      <c r="P45" s="316" t="s">
        <v>6060</v>
      </c>
      <c r="Q45" s="319" t="s">
        <v>6061</v>
      </c>
      <c r="R45" s="320" t="s">
        <v>6062</v>
      </c>
      <c r="S45" s="139" t="s">
        <v>6063</v>
      </c>
      <c r="T45" s="143" t="s">
        <v>6064</v>
      </c>
      <c r="U45" s="143"/>
      <c r="V45" s="143"/>
    </row>
    <row r="46">
      <c r="A46" s="314" t="s">
        <v>6065</v>
      </c>
      <c r="B46" s="137" t="s">
        <v>6066</v>
      </c>
      <c r="C46" s="314" t="s">
        <v>6067</v>
      </c>
      <c r="D46" s="137" t="s">
        <v>6068</v>
      </c>
      <c r="E46" s="314" t="s">
        <v>6069</v>
      </c>
      <c r="F46" s="137" t="s">
        <v>6070</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6071</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7" t="str">
        <f>IFERROR(__xludf.DUMMYFUNCTION("GOOGLETRANSLATE(A46,""zh-tw"",""ru"")"),"Поэма приливов")</f>
        <v>Поэма приливов</v>
      </c>
      <c r="N46" s="318"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4" t="s">
        <v>6072</v>
      </c>
      <c r="P46" s="137" t="s">
        <v>6073</v>
      </c>
      <c r="Q46" s="325" t="s">
        <v>6074</v>
      </c>
      <c r="R46" s="326" t="s">
        <v>6075</v>
      </c>
      <c r="S46" s="179" t="s">
        <v>6076</v>
      </c>
      <c r="T46" s="143" t="s">
        <v>6077</v>
      </c>
      <c r="U46" s="143"/>
      <c r="V46" s="143"/>
    </row>
    <row r="47">
      <c r="A47" s="322" t="s">
        <v>6078</v>
      </c>
      <c r="B47" s="137" t="s">
        <v>6079</v>
      </c>
      <c r="C47" s="314" t="s">
        <v>3936</v>
      </c>
      <c r="D47" s="137" t="s">
        <v>6080</v>
      </c>
      <c r="E47" s="314" t="s">
        <v>3950</v>
      </c>
      <c r="F47" s="137" t="s">
        <v>6081</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6082</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 검")</f>
        <v>당근 검</v>
      </c>
      <c r="L47" s="143"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7" t="str">
        <f>IFERROR(__xludf.DUMMYFUNCTION("GOOGLETRANSLATE(A47,""zh-tw"",""ru"")"),"Морковный меч")</f>
        <v>Морковный меч</v>
      </c>
      <c r="N47" s="318"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4" t="s">
        <v>3952</v>
      </c>
      <c r="P47" s="137" t="s">
        <v>6083</v>
      </c>
      <c r="Q47" s="319" t="s">
        <v>3953</v>
      </c>
      <c r="R47" s="320" t="s">
        <v>6084</v>
      </c>
      <c r="S47" s="139" t="s">
        <v>3955</v>
      </c>
      <c r="T47" s="143" t="s">
        <v>6085</v>
      </c>
      <c r="U47" s="143"/>
      <c r="V47" s="143"/>
    </row>
    <row r="48">
      <c r="A48" s="314" t="s">
        <v>6086</v>
      </c>
      <c r="B48" s="137" t="s">
        <v>6087</v>
      </c>
      <c r="C48" s="314" t="s">
        <v>6088</v>
      </c>
      <c r="D48" s="137" t="s">
        <v>6089</v>
      </c>
      <c r="E48" s="314" t="s">
        <v>3938</v>
      </c>
      <c r="F48" s="137" t="s">
        <v>6090</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6091</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IFERROR(__xludf.DUMMYFUNCTION("GOOGLETRANSLATE(A48,""zh-tw"",""KO"")"),"냉동 무 칼")</f>
        <v>냉동 무 칼</v>
      </c>
      <c r="L48" s="143" t="str">
        <f>IFERROR(__xludf.DUMMYFUNCTION("GOOGLETRANSLATE(B48,""zh-tw"",""KO"")"),"물리 공격력: 26
물리 방어력: 2
동결 효과
투척 관통 효과")</f>
        <v>물리 공격력: 26
물리 방어력: 2
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4" t="s">
        <v>3940</v>
      </c>
      <c r="P48" s="137" t="s">
        <v>6092</v>
      </c>
      <c r="Q48" s="327" t="s">
        <v>6093</v>
      </c>
      <c r="R48" s="328" t="s">
        <v>6094</v>
      </c>
      <c r="S48" s="139" t="s">
        <v>6095</v>
      </c>
      <c r="T48" s="143" t="s">
        <v>6096</v>
      </c>
      <c r="U48" s="143"/>
      <c r="V48" s="143"/>
    </row>
    <row r="49">
      <c r="A49" s="314" t="s">
        <v>6097</v>
      </c>
      <c r="B49" s="137" t="s">
        <v>6098</v>
      </c>
      <c r="C49" s="314" t="s">
        <v>6099</v>
      </c>
      <c r="D49" s="137" t="s">
        <v>6100</v>
      </c>
      <c r="E49" s="314" t="s">
        <v>6101</v>
      </c>
      <c r="F49" s="137" t="s">
        <v>6102</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6103</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 칼")</f>
        <v>성형 무 칼</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IFERROR(__xludf.DUMMYFUNCTION("GOOGLETRANSLATE(A49,""zh-tw"",""ru"")"),"Формованный меч из редиса")</f>
        <v>Формованный меч из редиса</v>
      </c>
      <c r="N49" s="318"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4" t="s">
        <v>6104</v>
      </c>
      <c r="P49" s="137" t="s">
        <v>6105</v>
      </c>
      <c r="Q49" s="327" t="s">
        <v>6106</v>
      </c>
      <c r="R49" s="328" t="s">
        <v>6107</v>
      </c>
      <c r="S49" s="139" t="s">
        <v>6108</v>
      </c>
      <c r="T49" s="143" t="s">
        <v>6109</v>
      </c>
      <c r="U49" s="143"/>
      <c r="V49" s="143"/>
    </row>
    <row r="50">
      <c r="A50" s="321" t="s">
        <v>6110</v>
      </c>
      <c r="B50" s="143" t="s">
        <v>6111</v>
      </c>
      <c r="C50" s="321" t="s">
        <v>6112</v>
      </c>
      <c r="D50" s="143" t="s">
        <v>6113</v>
      </c>
      <c r="E50" s="321" t="s">
        <v>6114</v>
      </c>
      <c r="F50" s="143" t="s">
        <v>6115</v>
      </c>
      <c r="G50" s="321" t="s">
        <v>6116</v>
      </c>
      <c r="H50" s="143" t="s">
        <v>6117</v>
      </c>
      <c r="I50" s="314" t="s">
        <v>6118</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공격력: 4 곤충 박멸")</f>
        <v>마법 공격력: 4 곤충 박멸</v>
      </c>
      <c r="M50" s="317" t="str">
        <f>IFERROR(__xludf.DUMMYFUNCTION("GOOGLETRANSLATE(A50,""zh-tw"",""ru"")"),"Инсектицидная палочка")</f>
        <v>Инсектицидная палочка</v>
      </c>
      <c r="N50" s="318" t="str">
        <f>IFERROR(__xludf.DUMMYFUNCTION("GOOGLETRANSLATE(B50,""zh-tw"",""ru"")"),"Магическая атака: уничтожение 4 насекомых")</f>
        <v>Магическая атака: уничтожение 4 насекомых</v>
      </c>
      <c r="O50" s="314" t="s">
        <v>6119</v>
      </c>
      <c r="P50" s="137" t="s">
        <v>6120</v>
      </c>
      <c r="Q50" s="329"/>
      <c r="R50" s="172" t="s">
        <v>6121</v>
      </c>
      <c r="S50" s="139" t="s">
        <v>6122</v>
      </c>
      <c r="T50" s="143" t="s">
        <v>6123</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6124</v>
      </c>
      <c r="B3" s="88" t="s">
        <v>6125</v>
      </c>
      <c r="C3" s="311" t="str">
        <f>IFERROR(__xludf.DUMMYFUNCTION("GOOGLETRANSLATE(A3,""zh-tw"",""ja"")"),"設備プロジェクト")</f>
        <v>設備プロジェクト</v>
      </c>
      <c r="D3" s="85" t="str">
        <f>IFERROR(__xludf.DUMMYFUNCTION("GOOGLETRANSLATE(B3,""zh-tw"",""ja"")"),"装備の属性")</f>
        <v>装備の属性</v>
      </c>
      <c r="E3" s="333" t="s">
        <v>6126</v>
      </c>
      <c r="F3" s="25" t="s">
        <v>5557</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IFERROR(__xludf.DUMMYFUNCTION("GOOGLETRANSLATE(B3,""zh-tw"",""ru"")"),"Атрибуты оборудования")</f>
        <v>Атрибуты оборудования</v>
      </c>
      <c r="O3" s="309" t="s">
        <v>6127</v>
      </c>
      <c r="P3" s="88" t="s">
        <v>6128</v>
      </c>
      <c r="Q3" s="334" t="s">
        <v>6129</v>
      </c>
      <c r="R3" s="313" t="s">
        <v>5561</v>
      </c>
      <c r="S3" s="310" t="s">
        <v>6130</v>
      </c>
      <c r="T3" s="54" t="s">
        <v>5563</v>
      </c>
      <c r="U3" s="30"/>
      <c r="V3" s="30"/>
      <c r="W3" s="30"/>
      <c r="X3" s="30"/>
      <c r="Y3" s="30"/>
      <c r="Z3" s="30"/>
    </row>
    <row r="4">
      <c r="A4" s="315" t="s">
        <v>6131</v>
      </c>
      <c r="B4" s="316" t="s">
        <v>6132</v>
      </c>
      <c r="C4" s="314" t="s">
        <v>6133</v>
      </c>
      <c r="D4" s="137" t="s">
        <v>6134</v>
      </c>
      <c r="E4" s="314" t="s">
        <v>6135</v>
      </c>
      <c r="F4" s="137" t="s">
        <v>6136</v>
      </c>
      <c r="G4" s="321" t="str">
        <f>IFERROR(__xludf.DUMMYFUNCTION("GOOGLETRANSLATE(A4,""zh-tw"",""zh"")"),"妹妹脱下的内裤")</f>
        <v>妹妹脱下的内裤</v>
      </c>
      <c r="H4" s="143" t="str">
        <f>IFERROR(__xludf.DUMMYFUNCTION("GOOGLETRANSLATE(B4,""zh-tw"",""zh"")"),"低体力回复")</f>
        <v>低体力回复</v>
      </c>
      <c r="I4" s="314" t="s">
        <v>6137</v>
      </c>
      <c r="J4" s="137" t="s">
        <v>6138</v>
      </c>
      <c r="K4" s="314" t="s">
        <v>6139</v>
      </c>
      <c r="L4" s="137" t="s">
        <v>6140</v>
      </c>
      <c r="M4" s="317" t="str">
        <f>IFERROR(__xludf.DUMMYFUNCTION("GOOGLETRANSLATE(A4,""zh-tw"",""ru"")"),"Нижнее белье моей сестры")</f>
        <v>Нижнее белье моей сестры</v>
      </c>
      <c r="N4" s="318" t="str">
        <f>IFERROR(__xludf.DUMMYFUNCTION("GOOGLETRANSLATE(B4,""zh-tw"",""ru"")"),"Низкое восстановление выносливости")</f>
        <v>Низкое восстановление выносливости</v>
      </c>
      <c r="O4" s="315" t="s">
        <v>6141</v>
      </c>
      <c r="P4" s="316" t="s">
        <v>6142</v>
      </c>
      <c r="Q4" s="335" t="s">
        <v>6143</v>
      </c>
      <c r="R4" s="320" t="s">
        <v>6144</v>
      </c>
      <c r="S4" s="314" t="s">
        <v>6145</v>
      </c>
      <c r="T4" s="143" t="s">
        <v>6146</v>
      </c>
      <c r="U4" s="30"/>
      <c r="V4" s="30"/>
      <c r="W4" s="30"/>
      <c r="X4" s="30"/>
      <c r="Y4" s="30"/>
      <c r="Z4" s="30"/>
    </row>
    <row r="5">
      <c r="A5" s="315" t="s">
        <v>6147</v>
      </c>
      <c r="B5" s="316" t="s">
        <v>6148</v>
      </c>
      <c r="C5" s="314" t="s">
        <v>6149</v>
      </c>
      <c r="D5" s="143" t="str">
        <f>IFERROR(__xludf.DUMMYFUNCTION("GOOGLETRANSLATE(B5,""zh-tw"",""ja"")"),"性欲が増し、全属性が10%増加します。")</f>
        <v>性欲が増し、全属性が10%増加します。</v>
      </c>
      <c r="E5" s="314" t="s">
        <v>6150</v>
      </c>
      <c r="F5" s="137" t="s">
        <v>6151</v>
      </c>
      <c r="G5" s="321" t="str">
        <f>IFERROR(__xludf.DUMMYFUNCTION("GOOGLETRANSLATE(A5,""zh-tw"",""zh"")"),"少女的笑容")</f>
        <v>少女的笑容</v>
      </c>
      <c r="H5" s="143" t="str">
        <f>IFERROR(__xludf.DUMMYFUNCTION("GOOGLETRANSLATE(B5,""zh-tw"",""zh"")"),"性欲上升，全属性上升10%")</f>
        <v>性欲上升，全属性上升10%</v>
      </c>
      <c r="I5" s="314" t="s">
        <v>6152</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6153</v>
      </c>
      <c r="M5" s="317" t="str">
        <f>IFERROR(__xludf.DUMMYFUNCTION("GOOGLETRANSLATE(A5,""zh-tw"",""ru"")"),"Улыбка девушки")</f>
        <v>Улыбка девушки</v>
      </c>
      <c r="N5" s="318" t="str">
        <f>IFERROR(__xludf.DUMMYFUNCTION("GOOGLETRANSLATE(B5,""zh-tw"",""ru"")"),"Повышение либидо; все показатели увеличиваются на 10%.")</f>
        <v>Повышение либидо; все показатели увеличиваются на 10%.</v>
      </c>
      <c r="O5" s="315" t="s">
        <v>6154</v>
      </c>
      <c r="P5" s="316" t="s">
        <v>6155</v>
      </c>
      <c r="Q5" s="335" t="s">
        <v>6156</v>
      </c>
      <c r="R5" s="320" t="s">
        <v>6157</v>
      </c>
      <c r="S5" s="321" t="s">
        <v>6158</v>
      </c>
      <c r="T5" s="143" t="s">
        <v>6159</v>
      </c>
      <c r="U5" s="30"/>
      <c r="V5" s="30"/>
      <c r="W5" s="30"/>
      <c r="X5" s="30"/>
      <c r="Y5" s="30"/>
      <c r="Z5" s="30"/>
    </row>
    <row r="6">
      <c r="A6" s="315" t="s">
        <v>6160</v>
      </c>
      <c r="B6" s="316" t="s">
        <v>816</v>
      </c>
      <c r="C6" s="321" t="str">
        <f>IFERROR(__xludf.DUMMYFUNCTION("GOOGLETRANSLATE(A6,""zh-tw"",""ja"")"),"フライドポテト")</f>
        <v>フライドポテト</v>
      </c>
      <c r="D6" s="143" t="str">
        <f>IFERROR(__xludf.DUMMYFUNCTION("GOOGLETRANSLATE(B6,""zh-tw"",""ja"")"),"-")</f>
        <v>-</v>
      </c>
      <c r="E6" s="314" t="s">
        <v>6161</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6162</v>
      </c>
      <c r="P6" s="316" t="s">
        <v>6163</v>
      </c>
      <c r="Q6" s="335" t="s">
        <v>6164</v>
      </c>
      <c r="R6" s="320" t="s">
        <v>816</v>
      </c>
      <c r="S6" s="321" t="s">
        <v>6165</v>
      </c>
      <c r="T6" s="143" t="s">
        <v>816</v>
      </c>
      <c r="U6" s="30"/>
      <c r="V6" s="30"/>
      <c r="W6" s="30"/>
      <c r="X6" s="30"/>
      <c r="Y6" s="30"/>
      <c r="Z6" s="30"/>
    </row>
    <row r="7">
      <c r="A7" s="315" t="s">
        <v>6166</v>
      </c>
      <c r="B7" s="316" t="s">
        <v>6167</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6168</v>
      </c>
      <c r="F7" s="137" t="s">
        <v>6169</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6170</v>
      </c>
      <c r="M7" s="317" t="str">
        <f>IFERROR(__xludf.DUMMYFUNCTION("GOOGLETRANSLATE(A7,""zh-tw"",""ru"")"),"туалетная бумага")</f>
        <v>туалетная бумага</v>
      </c>
      <c r="N7" s="318" t="str">
        <f>IFERROR(__xludf.DUMMYFUNCTION("GOOGLETRANSLATE(B7,""zh-tw"",""ru"")"),"Физическая защита: 1. Уменьшает урон от кровотечения.")</f>
        <v>Физическая защита: 1. Уменьшает урон от кровотечения.</v>
      </c>
      <c r="O7" s="315" t="s">
        <v>6171</v>
      </c>
      <c r="P7" s="316" t="s">
        <v>6172</v>
      </c>
      <c r="Q7" s="335" t="s">
        <v>6173</v>
      </c>
      <c r="R7" s="323" t="s">
        <v>6174</v>
      </c>
      <c r="S7" s="321" t="s">
        <v>6175</v>
      </c>
      <c r="T7" s="143" t="s">
        <v>6176</v>
      </c>
      <c r="U7" s="30"/>
      <c r="V7" s="30"/>
      <c r="W7" s="30"/>
      <c r="X7" s="30"/>
      <c r="Y7" s="30"/>
      <c r="Z7" s="30"/>
    </row>
    <row r="8">
      <c r="A8" s="315" t="s">
        <v>6177</v>
      </c>
      <c r="B8" s="316" t="s">
        <v>6178</v>
      </c>
      <c r="C8" s="314" t="s">
        <v>6179</v>
      </c>
      <c r="D8" s="143" t="str">
        <f>IFERROR(__xludf.DUMMYFUNCTION("GOOGLETRANSLATE(B8,""zh-tw"",""ja"")"),"運：10（回復確率）")</f>
        <v>運：10（回復確率）</v>
      </c>
      <c r="E8" s="314" t="s">
        <v>6180</v>
      </c>
      <c r="F8" s="137" t="s">
        <v>6181</v>
      </c>
      <c r="G8" s="321" t="str">
        <f>IFERROR(__xludf.DUMMYFUNCTION("GOOGLETRANSLATE(A8,""zh-tw"",""zh"")"),"苹果头套")</f>
        <v>苹果头套</v>
      </c>
      <c r="H8" s="143" t="str">
        <f>IFERROR(__xludf.DUMMYFUNCTION("GOOGLETRANSLATE(B8,""zh-tw"",""zh"")"),"幸运：10
概率回复")</f>
        <v>幸运：10
概率回复</v>
      </c>
      <c r="I8" s="314" t="s">
        <v>6182</v>
      </c>
      <c r="J8" s="137" t="s">
        <v>6183</v>
      </c>
      <c r="K8" s="314" t="s">
        <v>6184</v>
      </c>
      <c r="L8" s="137" t="s">
        <v>6185</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6186</v>
      </c>
      <c r="P8" s="316" t="s">
        <v>6187</v>
      </c>
      <c r="Q8" s="335" t="s">
        <v>6188</v>
      </c>
      <c r="R8" s="320" t="s">
        <v>6189</v>
      </c>
      <c r="S8" s="321" t="s">
        <v>6190</v>
      </c>
      <c r="T8" s="143" t="s">
        <v>6191</v>
      </c>
      <c r="U8" s="30"/>
      <c r="V8" s="30"/>
      <c r="W8" s="30"/>
      <c r="X8" s="30"/>
      <c r="Y8" s="30"/>
      <c r="Z8" s="30"/>
    </row>
    <row r="9">
      <c r="A9" s="315" t="s">
        <v>6192</v>
      </c>
      <c r="B9" s="316" t="s">
        <v>6193</v>
      </c>
      <c r="C9" s="314" t="s">
        <v>6194</v>
      </c>
      <c r="D9" s="143" t="str">
        <f>IFERROR(__xludf.DUMMYFUNCTION("GOOGLETRANSLATE(B9,""zh-tw"",""ja"")"),"物理攻撃：5。攻撃力と攻撃速度が向上します。")</f>
        <v>物理攻撃：5。攻撃力と攻撃速度が向上します。</v>
      </c>
      <c r="E9" s="314" t="s">
        <v>6195</v>
      </c>
      <c r="F9" s="137" t="s">
        <v>6196</v>
      </c>
      <c r="G9" s="321" t="str">
        <f>IFERROR(__xludf.DUMMYFUNCTION("GOOGLETRANSLATE(A9,""zh-tw"",""zh"")"),"借来的猫爪")</f>
        <v>借来的猫爪</v>
      </c>
      <c r="H9" s="143" t="str">
        <f>IFERROR(__xludf.DUMMYFUNCTION("GOOGLETRANSLATE(B9,""zh-tw"",""zh"")"),"物攻：5
攻击力、攻速上升")</f>
        <v>物攻：5
攻击力、攻速上升</v>
      </c>
      <c r="I9" s="314" t="s">
        <v>6197</v>
      </c>
      <c r="J9" s="143" t="str">
        <f>IFERROR(__xludf.DUMMYFUNCTION("GOOGLETRANSLATE(B9,""zh-tw"",""es-MX"")"),"Ataque físico: 5. Aumenta el poder de ataque y la velocidad de ataque.")</f>
        <v>Ataque físico: 5. Aumenta el poder de ataque y la velocidad de ataque.</v>
      </c>
      <c r="K9" s="314" t="s">
        <v>6198</v>
      </c>
      <c r="L9" s="137" t="s">
        <v>6199</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6200</v>
      </c>
      <c r="P9" s="316" t="s">
        <v>6201</v>
      </c>
      <c r="Q9" s="335" t="s">
        <v>6202</v>
      </c>
      <c r="R9" s="320" t="s">
        <v>6203</v>
      </c>
      <c r="S9" s="321" t="s">
        <v>6204</v>
      </c>
      <c r="T9" s="143" t="s">
        <v>6205</v>
      </c>
      <c r="U9" s="30"/>
      <c r="V9" s="30"/>
      <c r="W9" s="30"/>
      <c r="X9" s="30"/>
      <c r="Y9" s="30"/>
      <c r="Z9" s="30"/>
    </row>
    <row r="10">
      <c r="A10" s="315" t="s">
        <v>6206</v>
      </c>
      <c r="B10" s="316" t="s">
        <v>6207</v>
      </c>
      <c r="C10" s="314" t="s">
        <v>6208</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6209</v>
      </c>
      <c r="F10" s="137" t="s">
        <v>6210</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6211</v>
      </c>
      <c r="L10" s="137" t="s">
        <v>6212</v>
      </c>
      <c r="M10" s="317" t="str">
        <f>IFERROR(__xludf.DUMMYFUNCTION("GOOGLETRANSLATE(A10,""zh-tw"",""ru"")"),"одолженные кошачьи лапки")</f>
        <v>одолженные кошачьи лапки</v>
      </c>
      <c r="N10" s="318"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5" t="s">
        <v>6213</v>
      </c>
      <c r="P10" s="316" t="s">
        <v>6214</v>
      </c>
      <c r="Q10" s="335" t="s">
        <v>6215</v>
      </c>
      <c r="R10" s="320" t="s">
        <v>6216</v>
      </c>
      <c r="S10" s="321" t="s">
        <v>6217</v>
      </c>
      <c r="T10" s="143" t="s">
        <v>6218</v>
      </c>
      <c r="U10" s="30"/>
      <c r="V10" s="30"/>
      <c r="W10" s="30"/>
      <c r="X10" s="30"/>
      <c r="Y10" s="30"/>
      <c r="Z10" s="30"/>
    </row>
    <row r="11">
      <c r="A11" s="315" t="s">
        <v>5294</v>
      </c>
      <c r="B11" s="316" t="s">
        <v>6219</v>
      </c>
      <c r="C11" s="314" t="s">
        <v>5296</v>
      </c>
      <c r="D11" s="143" t="str">
        <f>IFERROR(__xludf.DUMMYFUNCTION("GOOGLETRANSLATE(B11,""zh-tw"",""ja"")"),"攻撃速度と攻撃回数を1増加します。")</f>
        <v>攻撃速度と攻撃回数を1増加します。</v>
      </c>
      <c r="E11" s="314" t="s">
        <v>5298</v>
      </c>
      <c r="F11" s="137" t="s">
        <v>6220</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5300</v>
      </c>
      <c r="L11" s="137" t="s">
        <v>6221</v>
      </c>
      <c r="M11" s="317" t="str">
        <f>IFERROR(__xludf.DUMMYFUNCTION("GOOGLETRANSLATE(A11,""zh-tw"",""ru"")"),"Перчатки «кошачьи лапки»")</f>
        <v>Перчатки «кошачьи лапки»</v>
      </c>
      <c r="N11" s="318" t="str">
        <f>IFERROR(__xludf.DUMMYFUNCTION("GOOGLETRANSLATE(B11,""zh-tw"",""ru"")"),"Увеличьте скорость атаки и количество атак на 1.")</f>
        <v>Увеличьте скорость атаки и количество атак на 1.</v>
      </c>
      <c r="O11" s="315" t="s">
        <v>5302</v>
      </c>
      <c r="P11" s="316" t="s">
        <v>6222</v>
      </c>
      <c r="Q11" s="335" t="s">
        <v>6223</v>
      </c>
      <c r="R11" s="320" t="s">
        <v>6224</v>
      </c>
      <c r="S11" s="321" t="s">
        <v>5306</v>
      </c>
      <c r="T11" s="143" t="s">
        <v>6225</v>
      </c>
      <c r="U11" s="30"/>
      <c r="V11" s="30"/>
      <c r="W11" s="30"/>
      <c r="X11" s="30"/>
      <c r="Y11" s="30"/>
      <c r="Z11" s="30"/>
    </row>
    <row r="12">
      <c r="A12" s="315" t="s">
        <v>6226</v>
      </c>
      <c r="B12" s="316" t="s">
        <v>6227</v>
      </c>
      <c r="C12" s="314" t="s">
        <v>6228</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6229</v>
      </c>
      <c r="F12" s="137" t="s">
        <v>6230</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6231</v>
      </c>
      <c r="L12" s="137" t="s">
        <v>6232</v>
      </c>
      <c r="M12" s="317" t="str">
        <f>IFERROR(__xludf.DUMMYFUNCTION("GOOGLETRANSLATE(A12,""zh-tw"",""ru"")"),"Повязка на голову Perseverance")</f>
        <v>Повязка на голову Perseverance</v>
      </c>
      <c r="N12" s="318"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5" t="s">
        <v>6233</v>
      </c>
      <c r="P12" s="316" t="s">
        <v>6234</v>
      </c>
      <c r="Q12" s="335" t="s">
        <v>6235</v>
      </c>
      <c r="R12" s="320" t="s">
        <v>6236</v>
      </c>
      <c r="S12" s="321" t="s">
        <v>6237</v>
      </c>
      <c r="T12" s="143" t="s">
        <v>6238</v>
      </c>
      <c r="U12" s="30"/>
      <c r="V12" s="30"/>
      <c r="W12" s="30"/>
      <c r="X12" s="30"/>
      <c r="Y12" s="30"/>
      <c r="Z12" s="30"/>
    </row>
    <row r="13">
      <c r="A13" s="315" t="s">
        <v>6239</v>
      </c>
      <c r="B13" s="316" t="s">
        <v>6240</v>
      </c>
      <c r="C13" s="321" t="str">
        <f>IFERROR(__xludf.DUMMYFUNCTION("GOOGLETRANSLATE(A13,""zh-tw"",""ja"")"),"招き猫")</f>
        <v>招き猫</v>
      </c>
      <c r="D13" s="137" t="s">
        <v>6241</v>
      </c>
      <c r="E13" s="314" t="s">
        <v>6242</v>
      </c>
      <c r="F13" s="137" t="s">
        <v>6243</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6244</v>
      </c>
      <c r="L13" s="137" t="s">
        <v>6245</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6246</v>
      </c>
      <c r="P13" s="316" t="s">
        <v>6247</v>
      </c>
      <c r="Q13" s="335" t="s">
        <v>6248</v>
      </c>
      <c r="R13" s="320" t="s">
        <v>6249</v>
      </c>
      <c r="S13" s="321" t="s">
        <v>6250</v>
      </c>
      <c r="T13" s="143" t="s">
        <v>6251</v>
      </c>
      <c r="U13" s="30"/>
      <c r="V13" s="30"/>
      <c r="W13" s="30"/>
      <c r="X13" s="30"/>
      <c r="Y13" s="30"/>
      <c r="Z13" s="30"/>
    </row>
    <row r="14">
      <c r="A14" s="315" t="s">
        <v>6252</v>
      </c>
      <c r="B14" s="316" t="s">
        <v>6253</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6254</v>
      </c>
      <c r="F14" s="137" t="s">
        <v>6255</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IFERROR(__xludf.DUMMYFUNCTION("GOOGLETRANSLATE(A14,""zh-tw"",""KO"")"),"화난 주먹")</f>
        <v>화난 주먹</v>
      </c>
      <c r="L14" s="137" t="s">
        <v>6256</v>
      </c>
      <c r="M14" s="317" t="str">
        <f>IFERROR(__xludf.DUMMYFUNCTION("GOOGLETRANSLATE(A14,""zh-tw"",""ru"")"),"Злой кулак")</f>
        <v>Злой кулак</v>
      </c>
      <c r="N14" s="318" t="str">
        <f>IFERROR(__xludf.DUMMYFUNCTION("GOOGLETRANSLATE(B14,""zh-tw"",""ru"")"),"Физическая атака: 1
Магическая атака: 8
Атака с автокругом")</f>
        <v>Физическая атака: 1
Магическая атака: 8
Атака с автокругом</v>
      </c>
      <c r="O14" s="315" t="s">
        <v>6257</v>
      </c>
      <c r="P14" s="316" t="s">
        <v>6258</v>
      </c>
      <c r="Q14" s="335" t="s">
        <v>6259</v>
      </c>
      <c r="R14" s="323" t="s">
        <v>6260</v>
      </c>
      <c r="S14" s="321" t="s">
        <v>6261</v>
      </c>
      <c r="T14" s="143" t="s">
        <v>6262</v>
      </c>
      <c r="U14" s="30"/>
      <c r="V14" s="30"/>
      <c r="W14" s="30"/>
      <c r="X14" s="30"/>
      <c r="Y14" s="30"/>
      <c r="Z14" s="30"/>
    </row>
    <row r="15">
      <c r="A15" s="315" t="s">
        <v>6263</v>
      </c>
      <c r="B15" s="316" t="s">
        <v>6253</v>
      </c>
      <c r="C15" s="314" t="s">
        <v>6264</v>
      </c>
      <c r="D15" s="137" t="s">
        <v>6265</v>
      </c>
      <c r="E15" s="314" t="s">
        <v>6266</v>
      </c>
      <c r="F15" s="137" t="s">
        <v>6267</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6268</v>
      </c>
      <c r="L15" s="137" t="s">
        <v>6256</v>
      </c>
      <c r="M15" s="317" t="str">
        <f>IFERROR(__xludf.DUMMYFUNCTION("GOOGLETRANSLATE(A15,""zh-tw"",""ru"")"),"Объятия Змеи")</f>
        <v>Объятия Змеи</v>
      </c>
      <c r="N15" s="318" t="str">
        <f>IFERROR(__xludf.DUMMYFUNCTION("GOOGLETRANSLATE(B15,""zh-tw"",""ru"")"),"Физическая атака: 1
Магическая атака: 8
Атака с автокругом")</f>
        <v>Физическая атака: 1
Магическая атака: 8
Атака с автокругом</v>
      </c>
      <c r="O15" s="315" t="s">
        <v>6269</v>
      </c>
      <c r="P15" s="316" t="s">
        <v>6270</v>
      </c>
      <c r="Q15" s="335" t="s">
        <v>6271</v>
      </c>
      <c r="R15" s="323" t="s">
        <v>6272</v>
      </c>
      <c r="S15" s="321" t="s">
        <v>6273</v>
      </c>
      <c r="T15" s="143" t="s">
        <v>6274</v>
      </c>
      <c r="U15" s="30"/>
      <c r="V15" s="30"/>
      <c r="W15" s="30"/>
      <c r="X15" s="30"/>
      <c r="Y15" s="30"/>
      <c r="Z15" s="30"/>
    </row>
    <row r="16">
      <c r="A16" s="315" t="s">
        <v>6275</v>
      </c>
      <c r="B16" s="316" t="s">
        <v>6276</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6277</v>
      </c>
      <c r="F16" s="137" t="s">
        <v>6278</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5398</v>
      </c>
      <c r="L16" s="137" t="s">
        <v>6279</v>
      </c>
      <c r="M16" s="317" t="str">
        <f>IFERROR(__xludf.DUMMYFUNCTION("GOOGLETRANSLATE(A16,""zh-tw"",""ru"")"),"Перья жар-птицы")</f>
        <v>Перья жар-птицы</v>
      </c>
      <c r="N16" s="318"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5" t="s">
        <v>5401</v>
      </c>
      <c r="P16" s="316" t="s">
        <v>6280</v>
      </c>
      <c r="Q16" s="335" t="s">
        <v>6281</v>
      </c>
      <c r="R16" s="323" t="s">
        <v>6282</v>
      </c>
      <c r="S16" s="321" t="s">
        <v>6283</v>
      </c>
      <c r="T16" s="143" t="s">
        <v>6284</v>
      </c>
      <c r="U16" s="30"/>
      <c r="V16" s="30"/>
      <c r="W16" s="30"/>
      <c r="X16" s="30"/>
      <c r="Y16" s="30"/>
      <c r="Z16" s="30"/>
    </row>
    <row r="17">
      <c r="A17" s="315" t="s">
        <v>6285</v>
      </c>
      <c r="B17" s="316" t="s">
        <v>6286</v>
      </c>
      <c r="C17" s="314" t="s">
        <v>6287</v>
      </c>
      <c r="D17" s="143" t="str">
        <f>IFERROR(__xludf.DUMMYFUNCTION("GOOGLETRANSLATE(B17,""zh-tw"",""ja"")"),"物理防御力: 2
魔法耐性: 15
落下ダメージ軽減")</f>
        <v>物理防御力: 2
魔法耐性: 15
落下ダメージ軽減</v>
      </c>
      <c r="E17" s="314" t="s">
        <v>6288</v>
      </c>
      <c r="F17" s="137" t="s">
        <v>6289</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6290</v>
      </c>
      <c r="L17" s="137" t="s">
        <v>6291</v>
      </c>
      <c r="M17" s="317" t="str">
        <f>IFERROR(__xludf.DUMMYFUNCTION("GOOGLETRANSLATE(A17,""zh-tw"",""ru"")"),"Кольцо из костей повешенного")</f>
        <v>Кольцо из костей повешенного</v>
      </c>
      <c r="N17" s="318"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5" t="s">
        <v>6292</v>
      </c>
      <c r="P17" s="316" t="s">
        <v>6293</v>
      </c>
      <c r="Q17" s="335" t="s">
        <v>6294</v>
      </c>
      <c r="R17" s="323" t="s">
        <v>6295</v>
      </c>
      <c r="S17" s="321" t="s">
        <v>6296</v>
      </c>
      <c r="T17" s="143" t="s">
        <v>6297</v>
      </c>
      <c r="U17" s="30"/>
      <c r="V17" s="30"/>
      <c r="W17" s="30"/>
      <c r="X17" s="30"/>
      <c r="Y17" s="30"/>
      <c r="Z17" s="30"/>
    </row>
    <row r="18">
      <c r="A18" s="314" t="s">
        <v>6298</v>
      </c>
      <c r="B18" s="137" t="s">
        <v>6299</v>
      </c>
      <c r="C18" s="314" t="s">
        <v>6300</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6301</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 손목 보호대")</f>
        <v>무술 손목 보호대</v>
      </c>
      <c r="L18" s="143"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17" t="str">
        <f>IFERROR(__xludf.DUMMYFUNCTION("GOOGLETRANSLATE(A18,""zh-tw"",""ru"")"),"Наручи для боевых искусств")</f>
        <v>Наручи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5" t="s">
        <v>6302</v>
      </c>
      <c r="P18" s="316" t="s">
        <v>6303</v>
      </c>
      <c r="Q18" s="335" t="s">
        <v>6304</v>
      </c>
      <c r="R18" s="323" t="s">
        <v>6305</v>
      </c>
      <c r="S18" s="321" t="s">
        <v>6306</v>
      </c>
      <c r="T18" s="143" t="s">
        <v>6307</v>
      </c>
      <c r="U18" s="30"/>
      <c r="V18" s="30"/>
      <c r="W18" s="30"/>
      <c r="X18" s="30"/>
      <c r="Y18" s="30"/>
      <c r="Z18" s="30"/>
    </row>
    <row r="19">
      <c r="A19" s="315" t="s">
        <v>6308</v>
      </c>
      <c r="B19" s="316" t="s">
        <v>6309</v>
      </c>
      <c r="C19" s="314" t="s">
        <v>6310</v>
      </c>
      <c r="D19" s="143" t="str">
        <f>IFERROR(__xludf.DUMMYFUNCTION("GOOGLETRANSLATE(B19,""zh-tw"",""ja"")"),"物理防御力：2
魔法耐性：10
フラッシュステップ効果強化")</f>
        <v>物理防御力：2
魔法耐性：10
フラッシュステップ効果強化</v>
      </c>
      <c r="E19" s="314" t="s">
        <v>6311</v>
      </c>
      <c r="F19" s="137" t="s">
        <v>6312</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IFERROR(__xludf.DUMMYFUNCTION("GOOGLETRANSLATE(A19,""zh-tw"",""KO"")"),"무술가의 신발")</f>
        <v>무술가의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6313</v>
      </c>
      <c r="P19" s="316" t="s">
        <v>6314</v>
      </c>
      <c r="Q19" s="335" t="s">
        <v>6315</v>
      </c>
      <c r="R19" s="323" t="s">
        <v>6316</v>
      </c>
      <c r="S19" s="321" t="s">
        <v>6317</v>
      </c>
      <c r="T19" s="143" t="s">
        <v>6318</v>
      </c>
      <c r="U19" s="30"/>
      <c r="V19" s="30"/>
      <c r="W19" s="30"/>
      <c r="X19" s="30"/>
      <c r="Y19" s="30"/>
      <c r="Z19" s="30"/>
    </row>
    <row r="20">
      <c r="A20" s="315" t="s">
        <v>6319</v>
      </c>
      <c r="B20" s="316" t="s">
        <v>6320</v>
      </c>
      <c r="C20" s="314" t="s">
        <v>6321</v>
      </c>
      <c r="D20" s="143" t="str">
        <f>IFERROR(__xludf.DUMMYFUNCTION("GOOGLETRANSLATE(B20,""zh-tw"",""ja"")"),"物理防御力: 1
幸運: 60
アイテムドロップ率アップ")</f>
        <v>物理防御力: 1
幸運: 60
アイテムドロップ率アップ</v>
      </c>
      <c r="E20" s="314" t="s">
        <v>6322</v>
      </c>
      <c r="F20" s="137" t="s">
        <v>6323</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획득률 증가")</f>
        <v>물리 방어력: 1
행운: 60
아이템 획득률 증가</v>
      </c>
      <c r="M20" s="317" t="str">
        <f>IFERROR(__xludf.DUMMYFUNCTION("GOOGLETRANSLATE(A20,""zh-tw"",""ru"")"),"Милые ушки зайчика")</f>
        <v>Милые ушки зайчика</v>
      </c>
      <c r="N20" s="318"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5" t="s">
        <v>6324</v>
      </c>
      <c r="P20" s="316" t="s">
        <v>6325</v>
      </c>
      <c r="Q20" s="335" t="s">
        <v>6326</v>
      </c>
      <c r="R20" s="323" t="s">
        <v>6327</v>
      </c>
      <c r="S20" s="321" t="s">
        <v>6328</v>
      </c>
      <c r="T20" s="143" t="s">
        <v>6329</v>
      </c>
      <c r="U20" s="30"/>
      <c r="V20" s="30"/>
      <c r="W20" s="30"/>
      <c r="X20" s="30"/>
      <c r="Y20" s="30"/>
      <c r="Z20" s="30"/>
    </row>
    <row r="21">
      <c r="A21" s="315" t="s">
        <v>6330</v>
      </c>
      <c r="B21" s="316" t="s">
        <v>6331</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6332</v>
      </c>
      <c r="F21" s="137" t="s">
        <v>6333</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6334</v>
      </c>
      <c r="L21" s="137" t="s">
        <v>6335</v>
      </c>
      <c r="M21" s="317" t="str">
        <f>IFERROR(__xludf.DUMMYFUNCTION("GOOGLETRANSLATE(A21,""zh-tw"",""ru"")"),"Униформа горничной")</f>
        <v>Униформа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6336</v>
      </c>
      <c r="P21" s="316" t="s">
        <v>6337</v>
      </c>
      <c r="Q21" s="335" t="s">
        <v>6338</v>
      </c>
      <c r="R21" s="320" t="s">
        <v>6339</v>
      </c>
      <c r="S21" s="321" t="s">
        <v>6340</v>
      </c>
      <c r="T21" s="143" t="s">
        <v>6341</v>
      </c>
      <c r="U21" s="30"/>
      <c r="V21" s="30"/>
      <c r="W21" s="30"/>
      <c r="X21" s="30"/>
      <c r="Y21" s="30"/>
      <c r="Z21" s="30"/>
    </row>
    <row r="22">
      <c r="A22" s="315" t="s">
        <v>6342</v>
      </c>
      <c r="B22" s="316" t="s">
        <v>6343</v>
      </c>
      <c r="C22" s="314" t="s">
        <v>6344</v>
      </c>
      <c r="D22" s="143" t="str">
        <f>IFERROR(__xludf.DUMMYFUNCTION("GOOGLETRANSLATE(B22,""zh-tw"",""ja"")"),"魔法攻撃力：20
魔法耐性：10
詠唱速度が上昇し、最大魔法威力が上昇")</f>
        <v>魔法攻撃力：20
魔法耐性：10
詠唱速度が上昇し、最大魔法威力が上昇</v>
      </c>
      <c r="E22" s="314" t="s">
        <v>6345</v>
      </c>
      <c r="F22" s="137" t="s">
        <v>6346</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6347</v>
      </c>
      <c r="L22" s="137" t="s">
        <v>6348</v>
      </c>
      <c r="M22" s="317" t="str">
        <f>IFERROR(__xludf.DUMMYFUNCTION("GOOGLETRANSLATE(A22,""zh-tw"",""ru"")"),"Магический кристаллический кластер")</f>
        <v>Магический кристаллический кластер</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6349</v>
      </c>
      <c r="P22" s="316" t="s">
        <v>6350</v>
      </c>
      <c r="Q22" s="335" t="s">
        <v>6351</v>
      </c>
      <c r="R22" s="323" t="s">
        <v>6352</v>
      </c>
      <c r="S22" s="321" t="s">
        <v>6353</v>
      </c>
      <c r="T22" s="143" t="s">
        <v>6354</v>
      </c>
      <c r="U22" s="30"/>
      <c r="V22" s="30"/>
      <c r="W22" s="30"/>
      <c r="X22" s="30"/>
      <c r="Y22" s="30"/>
      <c r="Z22" s="30"/>
    </row>
    <row r="23">
      <c r="A23" s="315" t="s">
        <v>6355</v>
      </c>
      <c r="B23" s="316" t="s">
        <v>6356</v>
      </c>
      <c r="C23" s="314" t="s">
        <v>6357</v>
      </c>
      <c r="D23" s="143" t="str">
        <f>IFERROR(__xludf.DUMMYFUNCTION("GOOGLETRANSLATE(B23,""zh-tw"",""ja"")"),"魔法攻撃力：35
魔法耐性：20
詠唱速度が上昇し、最大魔法威力が上昇")</f>
        <v>魔法攻撃力：35
魔法耐性：20
詠唱速度が上昇し、最大魔法威力が上昇</v>
      </c>
      <c r="E23" s="314" t="s">
        <v>6358</v>
      </c>
      <c r="F23" s="137" t="s">
        <v>6359</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6360</v>
      </c>
      <c r="L23" s="137" t="s">
        <v>6361</v>
      </c>
      <c r="M23" s="317" t="str">
        <f>IFERROR(__xludf.DUMMYFUNCTION("GOOGLETRANSLATE(A23,""zh-tw"",""ru"")"),"Кристаллический кластер глубокой магии")</f>
        <v>Кристаллический кластер глубокой магии</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6362</v>
      </c>
      <c r="P23" s="316" t="s">
        <v>6363</v>
      </c>
      <c r="Q23" s="335" t="s">
        <v>6364</v>
      </c>
      <c r="R23" s="323" t="s">
        <v>6365</v>
      </c>
      <c r="S23" s="321" t="s">
        <v>6366</v>
      </c>
      <c r="T23" s="143" t="s">
        <v>6367</v>
      </c>
      <c r="U23" s="30"/>
      <c r="V23" s="30"/>
      <c r="W23" s="30"/>
      <c r="X23" s="30"/>
      <c r="Y23" s="30"/>
      <c r="Z23" s="30"/>
    </row>
    <row r="24">
      <c r="A24" s="315" t="s">
        <v>6368</v>
      </c>
      <c r="B24" s="316" t="s">
        <v>6369</v>
      </c>
      <c r="C24" s="314" t="s">
        <v>6370</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6371</v>
      </c>
      <c r="F24" s="137" t="s">
        <v>6372</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6373</v>
      </c>
      <c r="M24" s="317" t="str">
        <f>IFERROR(__xludf.DUMMYFUNCTION("GOOGLETRANSLATE(A24,""zh-tw"",""ru"")"),"Проклятый плод")</f>
        <v>Проклятый плод</v>
      </c>
      <c r="N24" s="318"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5" t="s">
        <v>6374</v>
      </c>
      <c r="P24" s="316" t="s">
        <v>6375</v>
      </c>
      <c r="Q24" s="335" t="s">
        <v>6376</v>
      </c>
      <c r="R24" s="320" t="s">
        <v>6377</v>
      </c>
      <c r="S24" s="321" t="s">
        <v>6378</v>
      </c>
      <c r="T24" s="143" t="s">
        <v>6379</v>
      </c>
      <c r="U24" s="30"/>
      <c r="V24" s="30"/>
      <c r="W24" s="30"/>
      <c r="X24" s="30"/>
      <c r="Y24" s="30"/>
      <c r="Z24" s="30"/>
    </row>
    <row r="25">
      <c r="A25" s="315" t="s">
        <v>6380</v>
      </c>
      <c r="B25" s="316" t="s">
        <v>6381</v>
      </c>
      <c r="C25" s="314" t="s">
        <v>6382</v>
      </c>
      <c r="D25" s="143"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4" t="s">
        <v>6383</v>
      </c>
      <c r="F25" s="137" t="s">
        <v>6384</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21" t="str">
        <f>IFERROR(__xludf.DUMMYFUNCTION("GOOGLETRANSLATE(A25,""zh-tw"",""KO"")"),"불행한 탄생")</f>
        <v>불행한 탄생</v>
      </c>
      <c r="L25" s="137" t="s">
        <v>6385</v>
      </c>
      <c r="M25" s="317" t="str">
        <f>IFERROR(__xludf.DUMMYFUNCTION("GOOGLETRANSLATE(A25,""zh-tw"",""ru"")"),"Неудачное рождение")</f>
        <v>Неудачное рождение</v>
      </c>
      <c r="N25" s="318"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15" t="s">
        <v>6386</v>
      </c>
      <c r="P25" s="316" t="s">
        <v>6387</v>
      </c>
      <c r="Q25" s="335" t="s">
        <v>6388</v>
      </c>
      <c r="R25" s="323" t="s">
        <v>6389</v>
      </c>
      <c r="S25" s="321" t="s">
        <v>6390</v>
      </c>
      <c r="T25" s="143" t="s">
        <v>6391</v>
      </c>
      <c r="U25" s="30"/>
      <c r="V25" s="30"/>
      <c r="W25" s="30"/>
      <c r="X25" s="30"/>
      <c r="Y25" s="30"/>
      <c r="Z25" s="30"/>
    </row>
    <row r="26">
      <c r="A26" s="314" t="s">
        <v>6392</v>
      </c>
      <c r="B26" s="137" t="s">
        <v>6393</v>
      </c>
      <c r="C26" s="314" t="s">
        <v>6394</v>
      </c>
      <c r="D26" s="137" t="s">
        <v>6395</v>
      </c>
      <c r="E26" s="314" t="s">
        <v>6396</v>
      </c>
      <c r="F26" s="137" t="s">
        <v>6397</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6398</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5" t="s">
        <v>6399</v>
      </c>
      <c r="P26" s="316" t="s">
        <v>6400</v>
      </c>
      <c r="Q26" s="335" t="s">
        <v>6401</v>
      </c>
      <c r="R26" s="336" t="s">
        <v>6402</v>
      </c>
      <c r="S26" s="321" t="s">
        <v>6403</v>
      </c>
      <c r="T26" s="143" t="s">
        <v>6404</v>
      </c>
      <c r="U26" s="30"/>
      <c r="V26" s="30"/>
      <c r="W26" s="30"/>
      <c r="X26" s="30"/>
      <c r="Y26" s="30"/>
      <c r="Z26" s="30"/>
    </row>
    <row r="27">
      <c r="A27" s="314" t="s">
        <v>6405</v>
      </c>
      <c r="B27" s="137" t="s">
        <v>6406</v>
      </c>
      <c r="C27" s="314" t="s">
        <v>6407</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6408</v>
      </c>
      <c r="F27" s="137" t="s">
        <v>6409</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6410</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6411</v>
      </c>
      <c r="L27" s="137" t="s">
        <v>6412</v>
      </c>
      <c r="M27" s="317" t="str">
        <f>IFERROR(__xludf.DUMMYFUNCTION("GOOGLETRANSLATE(A27,""zh-tw"",""ru"")"),"Незавершённый Святой Грааль")</f>
        <v>Незавершённый Святой Грааль</v>
      </c>
      <c r="N27" s="318"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15" t="s">
        <v>6413</v>
      </c>
      <c r="P27" s="316" t="s">
        <v>6414</v>
      </c>
      <c r="Q27" s="335" t="s">
        <v>6415</v>
      </c>
      <c r="R27" s="320" t="s">
        <v>6416</v>
      </c>
      <c r="S27" s="337" t="s">
        <v>6408</v>
      </c>
      <c r="T27" s="143" t="s">
        <v>6417</v>
      </c>
      <c r="U27" s="30"/>
      <c r="V27" s="30"/>
      <c r="W27" s="30"/>
      <c r="X27" s="30"/>
      <c r="Y27" s="30"/>
      <c r="Z27" s="30"/>
    </row>
    <row r="28">
      <c r="A28" s="314" t="s">
        <v>6418</v>
      </c>
      <c r="B28" s="137" t="s">
        <v>6419</v>
      </c>
      <c r="C28" s="314" t="s">
        <v>6420</v>
      </c>
      <c r="D28" s="143" t="str">
        <f>IFERROR(__xludf.DUMMYFUNCTION("GOOGLETRANSLATE(B28,""zh-tw"",""ja"")"),"爆発効果または爆発軽減を発動する確率が低い。")</f>
        <v>爆発効果または爆発軽減を発動する確率が低い。</v>
      </c>
      <c r="E28" s="314" t="s">
        <v>6421</v>
      </c>
      <c r="F28" s="137" t="s">
        <v>6422</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6423</v>
      </c>
      <c r="L28" s="137" t="s">
        <v>6424</v>
      </c>
      <c r="M28" s="317" t="str">
        <f>IFERROR(__xludf.DUMMYFUNCTION("GOOGLETRANSLATE(A28,""zh-tw"",""ru"")"),"Душа бомбардировщика")</f>
        <v>Душа бомбардировщика</v>
      </c>
      <c r="N28" s="318"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5" t="s">
        <v>6425</v>
      </c>
      <c r="P28" s="316" t="s">
        <v>6426</v>
      </c>
      <c r="Q28" s="335" t="s">
        <v>6427</v>
      </c>
      <c r="R28" s="320" t="s">
        <v>6428</v>
      </c>
      <c r="S28" s="321" t="s">
        <v>6429</v>
      </c>
      <c r="T28" s="143" t="s">
        <v>6430</v>
      </c>
      <c r="U28" s="30"/>
      <c r="V28" s="30"/>
      <c r="W28" s="30"/>
      <c r="X28" s="30"/>
      <c r="Y28" s="30"/>
      <c r="Z28" s="30"/>
    </row>
    <row r="29">
      <c r="A29" s="314" t="s">
        <v>6431</v>
      </c>
      <c r="B29" s="137" t="s">
        <v>6432</v>
      </c>
      <c r="C29" s="314" t="s">
        <v>6433</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6434</v>
      </c>
      <c r="F29" s="137" t="s">
        <v>6435</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6436</v>
      </c>
      <c r="L29" s="137" t="s">
        <v>6437</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6438</v>
      </c>
      <c r="P29" s="316" t="s">
        <v>6439</v>
      </c>
      <c r="Q29" s="335" t="s">
        <v>6440</v>
      </c>
      <c r="R29" s="323" t="s">
        <v>6441</v>
      </c>
      <c r="S29" s="321" t="s">
        <v>6442</v>
      </c>
      <c r="T29" s="143" t="s">
        <v>6443</v>
      </c>
      <c r="U29" s="30"/>
      <c r="V29" s="30"/>
      <c r="W29" s="30"/>
      <c r="X29" s="30"/>
      <c r="Y29" s="30"/>
      <c r="Z29" s="30"/>
    </row>
    <row r="30">
      <c r="A30" s="315" t="s">
        <v>6444</v>
      </c>
      <c r="B30" s="316" t="s">
        <v>6445</v>
      </c>
      <c r="C30" s="314" t="s">
        <v>6446</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6447</v>
      </c>
      <c r="F30" s="137" t="s">
        <v>6448</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6449</v>
      </c>
      <c r="L30" s="137" t="s">
        <v>6450</v>
      </c>
      <c r="M30" s="317" t="str">
        <f>IFERROR(__xludf.DUMMYFUNCTION("GOOGLETRANSLATE(A30,""zh-tw"",""ru"")"),"Перчатки магического поглощения")</f>
        <v>Перчатки магического поглощения</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6451</v>
      </c>
      <c r="P30" s="316" t="s">
        <v>6452</v>
      </c>
      <c r="Q30" s="335" t="s">
        <v>6453</v>
      </c>
      <c r="R30" s="323" t="s">
        <v>6454</v>
      </c>
      <c r="S30" s="321" t="s">
        <v>6455</v>
      </c>
      <c r="T30" s="143" t="s">
        <v>6456</v>
      </c>
      <c r="U30" s="30"/>
      <c r="V30" s="30"/>
      <c r="W30" s="30"/>
      <c r="X30" s="30"/>
      <c r="Y30" s="30"/>
      <c r="Z30" s="30"/>
    </row>
    <row r="31">
      <c r="A31" s="315" t="s">
        <v>6457</v>
      </c>
      <c r="B31" s="316" t="s">
        <v>6458</v>
      </c>
      <c r="C31" s="314" t="s">
        <v>6459</v>
      </c>
      <c r="D31" s="143" t="str">
        <f>IFERROR(__xludf.DUMMYFUNCTION("GOOGLETRANSLATE(B31,""zh-tw"",""ja"")"),"物理攻撃: 2 物理防御: 6 ダメージを与えるアーマー")</f>
        <v>物理攻撃: 2 物理防御: 6 ダメージを与えるアーマー</v>
      </c>
      <c r="E31" s="314" t="s">
        <v>6460</v>
      </c>
      <c r="F31" s="137" t="s">
        <v>6461</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6462</v>
      </c>
      <c r="L31" s="137" t="s">
        <v>6463</v>
      </c>
      <c r="M31" s="317" t="str">
        <f>IFERROR(__xludf.DUMMYFUNCTION("GOOGLETRANSLATE(A31,""zh-tw"",""ru"")"),"Броня с пронзительными гвоздями")</f>
        <v>Броня с пронзительными гвоздями</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6464</v>
      </c>
      <c r="P31" s="316" t="s">
        <v>6465</v>
      </c>
      <c r="Q31" s="335" t="s">
        <v>6466</v>
      </c>
      <c r="R31" s="320" t="s">
        <v>6467</v>
      </c>
      <c r="S31" s="321" t="s">
        <v>6468</v>
      </c>
      <c r="T31" s="143" t="s">
        <v>6469</v>
      </c>
      <c r="U31" s="30"/>
      <c r="V31" s="30"/>
      <c r="W31" s="30"/>
      <c r="X31" s="30"/>
      <c r="Y31" s="30"/>
      <c r="Z31" s="30"/>
    </row>
    <row r="32">
      <c r="A32" s="315" t="s">
        <v>6470</v>
      </c>
      <c r="B32" s="316" t="s">
        <v>6471</v>
      </c>
      <c r="C32" s="314" t="s">
        <v>6472</v>
      </c>
      <c r="D32" s="143" t="str">
        <f>IFERROR(__xludf.DUMMYFUNCTION("GOOGLETRANSLATE(B32,""zh-tw"",""ja"")"),"物理攻撃力：4
物理防御力：2
ダメージを与えるアーマー")</f>
        <v>物理攻撃力：4
物理防御力：2
ダメージを与えるアーマー</v>
      </c>
      <c r="E32" s="314" t="s">
        <v>6473</v>
      </c>
      <c r="F32" s="137" t="s">
        <v>6474</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6475</v>
      </c>
      <c r="L32" s="137" t="s">
        <v>6476</v>
      </c>
      <c r="M32" s="317" t="str">
        <f>IFERROR(__xludf.DUMMYFUNCTION("GOOGLETRANSLATE(A32,""zh-tw"",""ru"")"),"Пирсинг шлема")</f>
        <v>Пирсинг шлема</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6477</v>
      </c>
      <c r="P32" s="316" t="s">
        <v>6478</v>
      </c>
      <c r="Q32" s="335" t="s">
        <v>6479</v>
      </c>
      <c r="R32" s="320" t="s">
        <v>6480</v>
      </c>
      <c r="S32" s="321" t="s">
        <v>6481</v>
      </c>
      <c r="T32" s="143" t="s">
        <v>6482</v>
      </c>
      <c r="U32" s="30"/>
      <c r="V32" s="30"/>
      <c r="W32" s="30"/>
      <c r="X32" s="30"/>
      <c r="Y32" s="30"/>
      <c r="Z32" s="30"/>
    </row>
    <row r="33">
      <c r="A33" s="315" t="s">
        <v>6483</v>
      </c>
      <c r="B33" s="316" t="s">
        <v>6484</v>
      </c>
      <c r="C33" s="314" t="s">
        <v>6485</v>
      </c>
      <c r="D33" s="143" t="str">
        <f>IFERROR(__xludf.DUMMYFUNCTION("GOOGLETRANSLATE(B33,""zh-tw"",""ja"")"),"物理攻撃: 2 物理防御: 2 ダメージを与えるアーマー")</f>
        <v>物理攻撃: 2 物理防御: 2 ダメージを与えるアーマー</v>
      </c>
      <c r="E33" s="314" t="s">
        <v>6486</v>
      </c>
      <c r="F33" s="137" t="s">
        <v>6487</v>
      </c>
      <c r="G33" s="321" t="str">
        <f>IFERROR(__xludf.DUMMYFUNCTION("GOOGLETRANSLATE(A33,""zh-tw"",""zh"")"),"穿刺钉鞋")</f>
        <v>穿刺钉鞋</v>
      </c>
      <c r="H33" s="143" t="str">
        <f>IFERROR(__xludf.DUMMYFUNCTION("GOOGLETRANSLATE(B33,""zh-tw"",""zh"")"),"物攻：2
物防：2
伤害型防具")</f>
        <v>物攻：2
物防：2
伤害型防具</v>
      </c>
      <c r="I33" s="314" t="s">
        <v>6488</v>
      </c>
      <c r="J33" s="143" t="str">
        <f>IFERROR(__xludf.DUMMYFUNCTION("GOOGLETRANSLATE(B33,""zh-tw"",""es-MX"")"),"Ataque físico: 2 Defensa física: 2 Armadura que inflige daño")</f>
        <v>Ataque físico: 2 Defensa física: 2 Armadura que inflige daño</v>
      </c>
      <c r="K33" s="314" t="s">
        <v>6489</v>
      </c>
      <c r="L33" s="137" t="s">
        <v>6490</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6491</v>
      </c>
      <c r="P33" s="316" t="s">
        <v>6492</v>
      </c>
      <c r="Q33" s="335" t="s">
        <v>6493</v>
      </c>
      <c r="R33" s="320" t="s">
        <v>6494</v>
      </c>
      <c r="S33" s="321" t="s">
        <v>6486</v>
      </c>
      <c r="T33" s="143" t="s">
        <v>6495</v>
      </c>
      <c r="U33" s="30"/>
      <c r="V33" s="30"/>
      <c r="W33" s="30"/>
      <c r="X33" s="30"/>
      <c r="Y33" s="30"/>
      <c r="Z33" s="30"/>
    </row>
    <row r="34">
      <c r="A34" s="315" t="s">
        <v>6496</v>
      </c>
      <c r="B34" s="316" t="s">
        <v>6497</v>
      </c>
      <c r="C34" s="314" t="s">
        <v>6498</v>
      </c>
      <c r="D34" s="143" t="str">
        <f>IFERROR(__xludf.DUMMYFUNCTION("GOOGLETRANSLATE(B34,""zh-tw"",""ja"")"),"物理攻撃力：5
物理防御力：1
ダメージを与えるアーマー")</f>
        <v>物理攻撃力：5
物理防御力：1
ダメージを与えるアーマー</v>
      </c>
      <c r="E34" s="314" t="s">
        <v>6499</v>
      </c>
      <c r="F34" s="137" t="s">
        <v>6500</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6501</v>
      </c>
      <c r="L34" s="137" t="s">
        <v>6502</v>
      </c>
      <c r="M34" s="317" t="str">
        <f>IFERROR(__xludf.DUMMYFUNCTION("GOOGLETRANSLATE(A34,""zh-tw"",""ru"")"),"Броня для прокалывания рук")</f>
        <v>Броня для прокалывания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6503</v>
      </c>
      <c r="P34" s="316" t="s">
        <v>6504</v>
      </c>
      <c r="Q34" s="335" t="s">
        <v>6505</v>
      </c>
      <c r="R34" s="320" t="s">
        <v>6506</v>
      </c>
      <c r="S34" s="321" t="s">
        <v>6507</v>
      </c>
      <c r="T34" s="143" t="s">
        <v>6508</v>
      </c>
      <c r="U34" s="30"/>
      <c r="V34" s="30"/>
      <c r="W34" s="30"/>
      <c r="X34" s="30"/>
      <c r="Y34" s="30"/>
      <c r="Z34" s="30"/>
    </row>
    <row r="35">
      <c r="A35" s="315" t="s">
        <v>6509</v>
      </c>
      <c r="B35" s="316" t="s">
        <v>6510</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6511</v>
      </c>
      <c r="F35" s="137" t="s">
        <v>6512</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6513</v>
      </c>
      <c r="L35" s="137" t="s">
        <v>6514</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5" t="s">
        <v>6515</v>
      </c>
      <c r="P35" s="316" t="s">
        <v>6516</v>
      </c>
      <c r="Q35" s="335" t="s">
        <v>6517</v>
      </c>
      <c r="R35" s="323" t="s">
        <v>6518</v>
      </c>
      <c r="S35" s="321" t="s">
        <v>6519</v>
      </c>
      <c r="T35" s="143" t="s">
        <v>6520</v>
      </c>
      <c r="U35" s="30"/>
      <c r="V35" s="30"/>
      <c r="W35" s="30"/>
      <c r="X35" s="30"/>
      <c r="Y35" s="30"/>
      <c r="Z35" s="30"/>
    </row>
    <row r="36">
      <c r="A36" s="315" t="s">
        <v>6521</v>
      </c>
      <c r="B36" s="316" t="s">
        <v>6522</v>
      </c>
      <c r="C36" s="314" t="s">
        <v>6523</v>
      </c>
      <c r="D36" s="143" t="str">
        <f>IFERROR(__xludf.DUMMYFUNCTION("GOOGLETRANSLATE(B36,""zh-tw"",""ja"")"),"物理攻撃：3 物理防御：3 HPが少ないときに攻撃力と防御力が上昇します。")</f>
        <v>物理攻撃：3 物理防御：3 HPが少ないときに攻撃力と防御力が上昇します。</v>
      </c>
      <c r="E36" s="314" t="s">
        <v>6524</v>
      </c>
      <c r="F36" s="137" t="s">
        <v>6525</v>
      </c>
      <c r="G36" s="321" t="str">
        <f>IFERROR(__xludf.DUMMYFUNCTION("GOOGLETRANSLATE(A36,""zh-tw"",""zh"")"),"骑士护臂")</f>
        <v>骑士护臂</v>
      </c>
      <c r="H36" s="143" t="str">
        <f>IFERROR(__xludf.DUMMYFUNCTION("GOOGLETRANSLATE(B36,""zh-tw"",""zh"")"),"物攻：3
物防：3
低体力加攻击、防御")</f>
        <v>物攻：3
物防：3
低体力加攻击、防御</v>
      </c>
      <c r="I36" s="314" t="s">
        <v>6526</v>
      </c>
      <c r="J36" s="143" t="str">
        <f>IFERROR(__xludf.DUMMYFUNCTION("GOOGLETRANSLATE(B36,""zh-tw"",""es-MX"")"),"Ataque físico: 3 Defensa física: 3 Aumenta el ataque y la defensa cuando los HP son bajos.")</f>
        <v>Ataque físico: 3 Defensa física: 3 Aumenta el ataque y la defensa cuando los HP son bajos.</v>
      </c>
      <c r="K36" s="315" t="s">
        <v>6527</v>
      </c>
      <c r="L36" s="137" t="s">
        <v>6528</v>
      </c>
      <c r="M36" s="317" t="str">
        <f>IFERROR(__xludf.DUMMYFUNCTION("GOOGLETRANSLATE(A36,""zh-tw"",""ru"")"),"Наручи рыцаря")</f>
        <v>Наручи рыцаря</v>
      </c>
      <c r="N36" s="318"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5" t="s">
        <v>6529</v>
      </c>
      <c r="P36" s="316" t="s">
        <v>6530</v>
      </c>
      <c r="Q36" s="335" t="s">
        <v>6531</v>
      </c>
      <c r="R36" s="336" t="s">
        <v>6532</v>
      </c>
      <c r="S36" s="321" t="s">
        <v>6533</v>
      </c>
      <c r="T36" s="143" t="s">
        <v>6534</v>
      </c>
      <c r="U36" s="30"/>
      <c r="V36" s="30"/>
      <c r="W36" s="30"/>
      <c r="X36" s="30"/>
      <c r="Y36" s="30"/>
      <c r="Z36" s="30"/>
    </row>
    <row r="37">
      <c r="A37" s="315" t="s">
        <v>6535</v>
      </c>
      <c r="B37" s="316" t="s">
        <v>6536</v>
      </c>
      <c r="C37" s="314" t="s">
        <v>6537</v>
      </c>
      <c r="D37" s="143" t="str">
        <f>IFERROR(__xludf.DUMMYFUNCTION("GOOGLETRANSLATE(B37,""zh-tw"",""ja"")"),"物理防御力：2
魔法耐性：2
スタミナ低下、移動速度上昇")</f>
        <v>物理防御力：2
魔法耐性：2
スタミナ低下、移動速度上昇</v>
      </c>
      <c r="E37" s="314" t="s">
        <v>6538</v>
      </c>
      <c r="F37" s="137" t="s">
        <v>6539</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6540</v>
      </c>
      <c r="L37" s="137" t="s">
        <v>6541</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6542</v>
      </c>
      <c r="P37" s="316" t="s">
        <v>6543</v>
      </c>
      <c r="Q37" s="335" t="s">
        <v>6544</v>
      </c>
      <c r="R37" s="323" t="s">
        <v>6545</v>
      </c>
      <c r="S37" s="321" t="s">
        <v>6546</v>
      </c>
      <c r="T37" s="143" t="s">
        <v>6547</v>
      </c>
      <c r="U37" s="30"/>
      <c r="V37" s="30"/>
      <c r="W37" s="30"/>
      <c r="X37" s="30"/>
      <c r="Y37" s="30"/>
      <c r="Z37" s="30"/>
    </row>
    <row r="38">
      <c r="A38" s="315" t="s">
        <v>6548</v>
      </c>
      <c r="B38" s="316" t="s">
        <v>6549</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6550</v>
      </c>
      <c r="F38" s="137" t="s">
        <v>6551</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6552</v>
      </c>
      <c r="L38" s="137" t="s">
        <v>6553</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5" t="s">
        <v>6554</v>
      </c>
      <c r="P38" s="316" t="s">
        <v>6555</v>
      </c>
      <c r="Q38" s="335" t="s">
        <v>6556</v>
      </c>
      <c r="R38" s="323" t="s">
        <v>6557</v>
      </c>
      <c r="S38" s="321" t="s">
        <v>6558</v>
      </c>
      <c r="T38" s="143" t="s">
        <v>6559</v>
      </c>
      <c r="U38" s="30"/>
      <c r="V38" s="30"/>
      <c r="W38" s="30"/>
      <c r="X38" s="30"/>
      <c r="Y38" s="30"/>
      <c r="Z38" s="30"/>
    </row>
    <row r="39">
      <c r="A39" s="322" t="s">
        <v>6560</v>
      </c>
      <c r="B39" s="137" t="s">
        <v>6561</v>
      </c>
      <c r="C39" s="314" t="s">
        <v>6562</v>
      </c>
      <c r="D39" s="137" t="s">
        <v>6563</v>
      </c>
      <c r="E39" s="314" t="s">
        <v>6564</v>
      </c>
      <c r="F39" s="137" t="s">
        <v>6565</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6566</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5" t="s">
        <v>6567</v>
      </c>
      <c r="P39" s="316" t="s">
        <v>6568</v>
      </c>
      <c r="Q39" s="335" t="s">
        <v>6569</v>
      </c>
      <c r="R39" s="338" t="s">
        <v>6570</v>
      </c>
      <c r="S39" s="321" t="s">
        <v>6571</v>
      </c>
      <c r="T39" s="143" t="s">
        <v>6572</v>
      </c>
      <c r="U39" s="30"/>
      <c r="V39" s="30"/>
      <c r="W39" s="30"/>
      <c r="X39" s="30"/>
      <c r="Y39" s="30"/>
      <c r="Z39" s="30"/>
    </row>
    <row r="40">
      <c r="A40" s="314" t="s">
        <v>6573</v>
      </c>
      <c r="B40" s="137" t="s">
        <v>6574</v>
      </c>
      <c r="C40" s="314" t="s">
        <v>6575</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6576</v>
      </c>
      <c r="F40" s="137" t="s">
        <v>6577</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6578</v>
      </c>
      <c r="L40" s="137" t="s">
        <v>6579</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6580</v>
      </c>
      <c r="P40" s="316" t="s">
        <v>6581</v>
      </c>
      <c r="Q40" s="335" t="s">
        <v>6582</v>
      </c>
      <c r="R40" s="320" t="s">
        <v>6583</v>
      </c>
      <c r="S40" s="321" t="s">
        <v>6584</v>
      </c>
      <c r="T40" s="143" t="s">
        <v>6585</v>
      </c>
      <c r="U40" s="30"/>
      <c r="V40" s="30"/>
      <c r="W40" s="30"/>
      <c r="X40" s="30"/>
      <c r="Y40" s="30"/>
      <c r="Z40" s="30"/>
    </row>
    <row r="41">
      <c r="A41" s="314" t="s">
        <v>6586</v>
      </c>
      <c r="B41" s="137" t="s">
        <v>6587</v>
      </c>
      <c r="C41" s="314" t="s">
        <v>6588</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6589</v>
      </c>
      <c r="F41" s="137" t="s">
        <v>6590</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6591</v>
      </c>
      <c r="L41" s="137" t="s">
        <v>6592</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5" t="s">
        <v>6593</v>
      </c>
      <c r="P41" s="316" t="s">
        <v>6594</v>
      </c>
      <c r="Q41" s="335" t="s">
        <v>6595</v>
      </c>
      <c r="R41" s="320" t="s">
        <v>6596</v>
      </c>
      <c r="S41" s="321" t="s">
        <v>6597</v>
      </c>
      <c r="T41" s="143" t="s">
        <v>6598</v>
      </c>
      <c r="U41" s="30"/>
      <c r="V41" s="30"/>
      <c r="W41" s="30"/>
      <c r="X41" s="30"/>
      <c r="Y41" s="30"/>
      <c r="Z41" s="30"/>
    </row>
    <row r="42">
      <c r="A42" s="322" t="s">
        <v>6599</v>
      </c>
      <c r="B42" s="137" t="s">
        <v>6600</v>
      </c>
      <c r="C42" s="314" t="s">
        <v>6601</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6602</v>
      </c>
      <c r="F42" s="137" t="s">
        <v>6603</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6604</v>
      </c>
      <c r="L42" s="137" t="s">
        <v>6605</v>
      </c>
      <c r="M42" s="317" t="str">
        <f>IFERROR(__xludf.DUMMYFUNCTION("GOOGLETRANSLATE(A42,""zh-tw"",""ru"")"),"Легкие шаги падшего мага")</f>
        <v>Легкие шаги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6606</v>
      </c>
      <c r="P42" s="316" t="s">
        <v>6607</v>
      </c>
      <c r="Q42" s="335" t="s">
        <v>6608</v>
      </c>
      <c r="R42" s="323" t="s">
        <v>6609</v>
      </c>
      <c r="S42" s="321" t="s">
        <v>6610</v>
      </c>
      <c r="T42" s="143" t="s">
        <v>6611</v>
      </c>
      <c r="U42" s="30"/>
      <c r="V42" s="30"/>
      <c r="W42" s="30"/>
      <c r="X42" s="30"/>
      <c r="Y42" s="30"/>
      <c r="Z42" s="30"/>
    </row>
    <row r="43">
      <c r="A43" s="314" t="s">
        <v>6612</v>
      </c>
      <c r="B43" s="137" t="s">
        <v>6613</v>
      </c>
      <c r="C43" s="314" t="s">
        <v>6614</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6615</v>
      </c>
      <c r="F43" s="137" t="s">
        <v>6616</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6617</v>
      </c>
      <c r="L43" s="137" t="s">
        <v>6618</v>
      </c>
      <c r="M43" s="317" t="str">
        <f>IFERROR(__xludf.DUMMYFUNCTION("GOOGLETRANSLATE(A43,""zh-tw"",""ru"")"),"Повязка на голову «Духовное единство»")</f>
        <v>Повязка на голову «Духовное единство»</v>
      </c>
      <c r="N43" s="318"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5" t="s">
        <v>6619</v>
      </c>
      <c r="P43" s="316" t="s">
        <v>6620</v>
      </c>
      <c r="Q43" s="335" t="s">
        <v>6621</v>
      </c>
      <c r="R43" s="323" t="s">
        <v>6622</v>
      </c>
      <c r="S43" s="321" t="s">
        <v>6623</v>
      </c>
      <c r="T43" s="143" t="s">
        <v>6624</v>
      </c>
      <c r="U43" s="30"/>
      <c r="V43" s="30"/>
      <c r="W43" s="30"/>
      <c r="X43" s="30"/>
      <c r="Y43" s="30"/>
      <c r="Z43" s="30"/>
    </row>
    <row r="44">
      <c r="A44" s="314" t="s">
        <v>6625</v>
      </c>
      <c r="B44" s="137" t="s">
        <v>6626</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6627</v>
      </c>
      <c r="F44" s="137" t="s">
        <v>6628</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6629</v>
      </c>
      <c r="L44" s="137" t="s">
        <v>6630</v>
      </c>
      <c r="M44" s="317" t="str">
        <f>IFERROR(__xludf.DUMMYFUNCTION("GOOGLETRANSLATE(A44,""zh-tw"",""ru"")"),"Ночной туманный фантом")</f>
        <v>Ночной туманный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5" t="s">
        <v>6631</v>
      </c>
      <c r="P44" s="316" t="s">
        <v>6632</v>
      </c>
      <c r="Q44" s="335" t="s">
        <v>6633</v>
      </c>
      <c r="R44" s="320" t="s">
        <v>6634</v>
      </c>
      <c r="S44" s="321" t="s">
        <v>6635</v>
      </c>
      <c r="T44" s="143" t="s">
        <v>6636</v>
      </c>
      <c r="U44" s="30"/>
      <c r="V44" s="30"/>
      <c r="W44" s="30"/>
      <c r="X44" s="30"/>
      <c r="Y44" s="30"/>
      <c r="Z44" s="30"/>
    </row>
    <row r="45">
      <c r="A45" s="314" t="s">
        <v>6637</v>
      </c>
      <c r="B45" s="137" t="s">
        <v>6638</v>
      </c>
      <c r="C45" s="314" t="s">
        <v>6639</v>
      </c>
      <c r="D45" s="137" t="s">
        <v>6640</v>
      </c>
      <c r="E45" s="314" t="s">
        <v>6641</v>
      </c>
      <c r="F45" s="137" t="s">
        <v>6642</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6643</v>
      </c>
      <c r="L45" s="137" t="s">
        <v>6644</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5" t="s">
        <v>6645</v>
      </c>
      <c r="P45" s="316" t="s">
        <v>6646</v>
      </c>
      <c r="Q45" s="335" t="s">
        <v>6647</v>
      </c>
      <c r="R45" s="320" t="s">
        <v>6648</v>
      </c>
      <c r="S45" s="321" t="s">
        <v>6649</v>
      </c>
      <c r="T45" s="143" t="s">
        <v>6650</v>
      </c>
      <c r="U45" s="30"/>
      <c r="V45" s="30"/>
      <c r="W45" s="30"/>
      <c r="X45" s="30"/>
      <c r="Y45" s="30"/>
      <c r="Z45" s="30"/>
    </row>
    <row r="46">
      <c r="A46" s="315" t="s">
        <v>6651</v>
      </c>
      <c r="B46" s="316" t="s">
        <v>6652</v>
      </c>
      <c r="C46" s="314" t="s">
        <v>6653</v>
      </c>
      <c r="D46" s="137" t="s">
        <v>6654</v>
      </c>
      <c r="E46" s="314" t="s">
        <v>6655</v>
      </c>
      <c r="F46" s="137" t="s">
        <v>6656</v>
      </c>
      <c r="G46" s="321" t="str">
        <f>IFERROR(__xludf.DUMMYFUNCTION("GOOGLETRANSLATE(A46,""zh-tw"",""zh"")"),"晴天娃娃")</f>
        <v>晴天娃娃</v>
      </c>
      <c r="H46" s="143" t="str">
        <f>IFERROR(__xludf.DUMMYFUNCTION("GOOGLETRANSLATE(B46,""zh-tw"",""zh"")"),"魔抗：10
幸运：10
第二天晴天")</f>
        <v>魔抗：10
幸运：10
第二天晴天</v>
      </c>
      <c r="I46" s="314" t="s">
        <v>6655</v>
      </c>
      <c r="J46" s="143" t="str">
        <f>IFERROR(__xludf.DUMMYFUNCTION("GOOGLETRANSLATE(B46,""zh-tw"",""es-MX"")"),"Resistencia mágica: 10
Suerte: 10
Día soleado al día siguiente")</f>
        <v>Resistencia mágica: 10
Suerte: 10
Día soleado al día siguiente</v>
      </c>
      <c r="K46" s="314" t="s">
        <v>6657</v>
      </c>
      <c r="L46" s="137" t="s">
        <v>6658</v>
      </c>
      <c r="M46" s="317" t="str">
        <f>IFERROR(__xludf.DUMMYFUNCTION("GOOGLETRANSLATE(A46,""zh-tw"",""ru"")"),"Солнечная кукла")</f>
        <v>Солнечная кукла</v>
      </c>
      <c r="N46" s="318" t="str">
        <f>IFERROR(__xludf.DUMMYFUNCTION("GOOGLETRANSLATE(B46,""zh-tw"",""ru"")"),"Сопротивление магии: 10
Удача: 10
Следующий день: солнечно")</f>
        <v>Сопротивление магии: 10
Удача: 10
Следующий день: солнечно</v>
      </c>
      <c r="O46" s="315" t="s">
        <v>6659</v>
      </c>
      <c r="P46" s="316" t="s">
        <v>6660</v>
      </c>
      <c r="Q46" s="339" t="s">
        <v>6661</v>
      </c>
      <c r="R46" s="320" t="s">
        <v>6662</v>
      </c>
      <c r="S46" s="321" t="s">
        <v>6663</v>
      </c>
      <c r="T46" s="143" t="s">
        <v>6664</v>
      </c>
      <c r="U46" s="30"/>
      <c r="V46" s="30"/>
      <c r="W46" s="30"/>
      <c r="X46" s="30"/>
      <c r="Y46" s="30"/>
      <c r="Z46" s="30"/>
    </row>
    <row r="47">
      <c r="A47" s="315" t="s">
        <v>6665</v>
      </c>
      <c r="B47" s="316" t="s">
        <v>6666</v>
      </c>
      <c r="C47" s="314" t="s">
        <v>6667</v>
      </c>
      <c r="D47" s="137" t="s">
        <v>6668</v>
      </c>
      <c r="E47" s="314" t="s">
        <v>6669</v>
      </c>
      <c r="F47" s="137" t="s">
        <v>6670</v>
      </c>
      <c r="G47" s="321" t="str">
        <f>IFERROR(__xludf.DUMMYFUNCTION("GOOGLETRANSLATE(A47,""zh-tw"",""zh"")"),"阴天娃娃")</f>
        <v>阴天娃娃</v>
      </c>
      <c r="H47" s="143" t="str">
        <f>IFERROR(__xludf.DUMMYFUNCTION("GOOGLETRANSLATE(B47,""zh-tw"",""zh"")"),"魔抗：10
幸运：10
第二天阴天")</f>
        <v>魔抗：10
幸运：10
第二天阴天</v>
      </c>
      <c r="I47" s="314" t="s">
        <v>6669</v>
      </c>
      <c r="J47" s="143" t="str">
        <f>IFERROR(__xludf.DUMMYFUNCTION("GOOGLETRANSLATE(B47,""zh-tw"",""es-MX"")"),"Resistencia Mágica: 10
Suerte: 10
El segundo día estuvo nublado.")</f>
        <v>Resistencia Mágica: 10
Suerte: 10
El segundo día estuvo nublado.</v>
      </c>
      <c r="K47" s="315" t="s">
        <v>6671</v>
      </c>
      <c r="L47" s="137" t="s">
        <v>6672</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6673</v>
      </c>
      <c r="P47" s="316" t="s">
        <v>6674</v>
      </c>
      <c r="Q47" s="339" t="s">
        <v>6675</v>
      </c>
      <c r="R47" s="320" t="s">
        <v>6676</v>
      </c>
      <c r="S47" s="321" t="s">
        <v>6677</v>
      </c>
      <c r="T47" s="143" t="s">
        <v>6678</v>
      </c>
      <c r="U47" s="30"/>
      <c r="V47" s="30"/>
      <c r="W47" s="30"/>
      <c r="X47" s="30"/>
      <c r="Y47" s="30"/>
      <c r="Z47" s="30"/>
    </row>
    <row r="48">
      <c r="A48" s="315" t="s">
        <v>6679</v>
      </c>
      <c r="B48" s="316" t="s">
        <v>6680</v>
      </c>
      <c r="C48" s="314" t="s">
        <v>6681</v>
      </c>
      <c r="D48" s="137" t="s">
        <v>6682</v>
      </c>
      <c r="E48" s="314" t="s">
        <v>6683</v>
      </c>
      <c r="F48" s="137" t="s">
        <v>6684</v>
      </c>
      <c r="G48" s="321" t="str">
        <f>IFERROR(__xludf.DUMMYFUNCTION("GOOGLETRANSLATE(A48,""zh-tw"",""zh"")"),"雨天娃娃")</f>
        <v>雨天娃娃</v>
      </c>
      <c r="H48" s="143" t="str">
        <f>IFERROR(__xludf.DUMMYFUNCTION("GOOGLETRANSLATE(B48,""zh-tw"",""zh"")"),"魔抗：10
幸运：10
第二天雨天")</f>
        <v>魔抗：10
幸运：10
第二天雨天</v>
      </c>
      <c r="I48" s="314" t="s">
        <v>6683</v>
      </c>
      <c r="J48" s="143" t="str">
        <f>IFERROR(__xludf.DUMMYFUNCTION("GOOGLETRANSLATE(B48,""zh-tw"",""es-MX"")"),"Resistencia Mágica: 10
Suerte: 10
El día siguiente llovió.")</f>
        <v>Resistencia Mágica: 10
Suerte: 10
El día siguiente llovió.</v>
      </c>
      <c r="K48" s="314" t="s">
        <v>6685</v>
      </c>
      <c r="L48" s="137" t="s">
        <v>6686</v>
      </c>
      <c r="M48" s="317" t="str">
        <f>IFERROR(__xludf.DUMMYFUNCTION("GOOGLETRANSLATE(A48,""zh-tw"",""ru"")"),"Кукла Дождливый День")</f>
        <v>Кукла Дождливый День</v>
      </c>
      <c r="N48" s="318"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5" t="s">
        <v>6687</v>
      </c>
      <c r="P48" s="316" t="s">
        <v>6688</v>
      </c>
      <c r="Q48" s="339" t="s">
        <v>6689</v>
      </c>
      <c r="R48" s="320" t="s">
        <v>6690</v>
      </c>
      <c r="S48" s="321" t="s">
        <v>6691</v>
      </c>
      <c r="T48" s="143" t="s">
        <v>6692</v>
      </c>
      <c r="U48" s="30"/>
      <c r="V48" s="30"/>
      <c r="W48" s="30"/>
      <c r="X48" s="30"/>
      <c r="Y48" s="30"/>
      <c r="Z48" s="30"/>
    </row>
    <row r="49">
      <c r="A49" s="314" t="s">
        <v>6693</v>
      </c>
      <c r="B49" s="137" t="s">
        <v>6694</v>
      </c>
      <c r="C49" s="314" t="s">
        <v>6693</v>
      </c>
      <c r="D49" s="143" t="str">
        <f>IFERROR(__xludf.DUMMYFUNCTION("GOOGLETRANSLATE(B49,""zh-tw"",""ja"")"),"物理防御力：1
魔法耐性：10
幸運：5
最大HPを増加")</f>
        <v>物理防御力：1
魔法耐性：10
幸運：5
最大HPを増加</v>
      </c>
      <c r="E49" s="314" t="s">
        <v>6695</v>
      </c>
      <c r="F49" s="137" t="s">
        <v>6696</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6697</v>
      </c>
      <c r="L49" s="137" t="s">
        <v>6698</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5" t="s">
        <v>6699</v>
      </c>
      <c r="P49" s="316" t="s">
        <v>6700</v>
      </c>
      <c r="Q49" s="335" t="s">
        <v>6701</v>
      </c>
      <c r="R49" s="320" t="s">
        <v>6702</v>
      </c>
      <c r="S49" s="321" t="s">
        <v>6703</v>
      </c>
      <c r="T49" s="143" t="s">
        <v>6704</v>
      </c>
      <c r="U49" s="30"/>
      <c r="V49" s="30"/>
      <c r="W49" s="30"/>
      <c r="X49" s="30"/>
      <c r="Y49" s="30"/>
      <c r="Z49" s="30"/>
    </row>
    <row r="50">
      <c r="A50" s="314" t="s">
        <v>5252</v>
      </c>
      <c r="B50" s="137" t="s">
        <v>6705</v>
      </c>
      <c r="C50" s="314" t="s">
        <v>5254</v>
      </c>
      <c r="D50" s="143" t="str">
        <f>IFERROR(__xludf.DUMMYFUNCTION("GOOGLETRANSLATE(B50,""zh-tw"",""ja"")"),"魔法耐性: 30 回復不能、7秒間無敵")</f>
        <v>魔法耐性: 30 回復不能、7秒間無敵</v>
      </c>
      <c r="E50" s="314" t="s">
        <v>5256</v>
      </c>
      <c r="F50" s="137" t="s">
        <v>6706</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5258</v>
      </c>
      <c r="L50" s="137" t="s">
        <v>6707</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5" t="s">
        <v>5260</v>
      </c>
      <c r="P50" s="316" t="s">
        <v>6708</v>
      </c>
      <c r="Q50" s="335" t="s">
        <v>5262</v>
      </c>
      <c r="R50" s="323" t="s">
        <v>6709</v>
      </c>
      <c r="S50" s="321" t="s">
        <v>5264</v>
      </c>
      <c r="T50" s="143" t="s">
        <v>6710</v>
      </c>
      <c r="U50" s="30"/>
      <c r="V50" s="30"/>
      <c r="W50" s="30"/>
      <c r="X50" s="30"/>
      <c r="Y50" s="30"/>
      <c r="Z50" s="30"/>
    </row>
    <row r="51">
      <c r="A51" s="314" t="s">
        <v>6711</v>
      </c>
      <c r="B51" s="137" t="s">
        <v>6712</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6713</v>
      </c>
      <c r="F51" s="137" t="s">
        <v>6714</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6715</v>
      </c>
      <c r="M51" s="317" t="str">
        <f>IFERROR(__xludf.DUMMYFUNCTION("GOOGLETRANSLATE(A51,""zh-tw"",""ru"")"),"Копилка")</f>
        <v>Копилка</v>
      </c>
      <c r="N51" s="318" t="str">
        <f>IFERROR(__xludf.DUMMYFUNCTION("GOOGLETRANSLATE(B51,""zh-tw"",""ru"")"),"Удача: 40 Найти деньги (Эволюция с 1 миллионом), Хрупкий")</f>
        <v>Удача: 40 Найти деньги (Эволюция с 1 миллионом), Хрупкий</v>
      </c>
      <c r="O51" s="315" t="s">
        <v>6716</v>
      </c>
      <c r="P51" s="316" t="s">
        <v>6717</v>
      </c>
      <c r="Q51" s="335" t="s">
        <v>6718</v>
      </c>
      <c r="R51" s="320" t="s">
        <v>6719</v>
      </c>
      <c r="S51" s="321" t="s">
        <v>6720</v>
      </c>
      <c r="T51" s="143" t="s">
        <v>6721</v>
      </c>
      <c r="U51" s="30"/>
      <c r="V51" s="30"/>
      <c r="W51" s="30"/>
      <c r="X51" s="30"/>
      <c r="Y51" s="30"/>
      <c r="Z51" s="30"/>
    </row>
    <row r="52">
      <c r="A52" s="314" t="s">
        <v>6722</v>
      </c>
      <c r="B52" s="137" t="s">
        <v>6723</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6724</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IFERROR(__xludf.DUMMYFUNCTION("GOOGLETRANSLATE(A52,""zh-tw"",""KO"")"),"탐욕스러운 돼지 저금통")</f>
        <v>탐욕스러운 돼지 저금통</v>
      </c>
      <c r="L52" s="137" t="s">
        <v>6725</v>
      </c>
      <c r="M52" s="317" t="str">
        <f>IFERROR(__xludf.DUMMYFUNCTION("GOOGLETRANSLATE(A52,""zh-tw"",""ru"")"),"Жадная копилка")</f>
        <v>Жадная копилка</v>
      </c>
      <c r="N52" s="318"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5" t="s">
        <v>6726</v>
      </c>
      <c r="P52" s="316" t="s">
        <v>6727</v>
      </c>
      <c r="Q52" s="335" t="s">
        <v>6728</v>
      </c>
      <c r="R52" s="323" t="s">
        <v>6729</v>
      </c>
      <c r="S52" s="321" t="s">
        <v>6730</v>
      </c>
      <c r="T52" s="137" t="s">
        <v>6731</v>
      </c>
      <c r="U52" s="30"/>
      <c r="V52" s="30"/>
      <c r="W52" s="30"/>
      <c r="X52" s="30"/>
      <c r="Y52" s="30"/>
      <c r="Z52" s="30"/>
    </row>
    <row r="53">
      <c r="A53" s="314" t="s">
        <v>6732</v>
      </c>
      <c r="B53" s="137" t="s">
        <v>6733</v>
      </c>
      <c r="C53" s="314" t="s">
        <v>6734</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6735</v>
      </c>
      <c r="F53" s="137" t="s">
        <v>6736</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6737</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6738</v>
      </c>
      <c r="P53" s="316" t="s">
        <v>6739</v>
      </c>
      <c r="Q53" s="335" t="s">
        <v>6740</v>
      </c>
      <c r="R53" s="336" t="s">
        <v>6741</v>
      </c>
      <c r="S53" s="321" t="s">
        <v>6742</v>
      </c>
      <c r="T53" s="143" t="s">
        <v>6743</v>
      </c>
      <c r="U53" s="30"/>
      <c r="V53" s="30"/>
      <c r="W53" s="30"/>
      <c r="X53" s="30"/>
      <c r="Y53" s="30"/>
      <c r="Z53" s="30"/>
    </row>
    <row r="54">
      <c r="A54" s="314" t="s">
        <v>6744</v>
      </c>
      <c r="B54" s="137" t="s">
        <v>6745</v>
      </c>
      <c r="C54" s="314" t="s">
        <v>6746</v>
      </c>
      <c r="D54" s="137" t="s">
        <v>6747</v>
      </c>
      <c r="E54" s="314" t="s">
        <v>6748</v>
      </c>
      <c r="F54" s="137" t="s">
        <v>6749</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6750</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의상")</f>
        <v>고양이 의상</v>
      </c>
      <c r="L54" s="137" t="s">
        <v>6751</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6752</v>
      </c>
      <c r="P54" s="316" t="s">
        <v>6753</v>
      </c>
      <c r="Q54" s="335" t="s">
        <v>6754</v>
      </c>
      <c r="R54" s="323" t="s">
        <v>6755</v>
      </c>
      <c r="S54" s="321" t="s">
        <v>6756</v>
      </c>
      <c r="T54" s="143" t="s">
        <v>6757</v>
      </c>
      <c r="U54" s="30"/>
      <c r="V54" s="30"/>
      <c r="W54" s="30"/>
      <c r="X54" s="30"/>
      <c r="Y54" s="30"/>
      <c r="Z54" s="30"/>
    </row>
    <row r="55">
      <c r="A55" s="314" t="s">
        <v>6758</v>
      </c>
      <c r="B55" s="137" t="s">
        <v>6759</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6760</v>
      </c>
      <c r="F55" s="137" t="s">
        <v>6761</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5539</v>
      </c>
      <c r="L55" s="137" t="s">
        <v>6762</v>
      </c>
      <c r="M55" s="317" t="str">
        <f>IFERROR(__xludf.DUMMYFUNCTION("GOOGLETRANSLATE(A55,""zh-tw"",""ru"")"),"Кольцо лавы")</f>
        <v>Кольцо лавы</v>
      </c>
      <c r="N55" s="318"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5" t="s">
        <v>5541</v>
      </c>
      <c r="P55" s="316" t="s">
        <v>6763</v>
      </c>
      <c r="Q55" s="335" t="s">
        <v>6764</v>
      </c>
      <c r="R55" s="320" t="s">
        <v>6765</v>
      </c>
      <c r="S55" s="321" t="s">
        <v>6766</v>
      </c>
      <c r="T55" s="143" t="s">
        <v>6767</v>
      </c>
      <c r="U55" s="30"/>
      <c r="V55" s="30"/>
      <c r="W55" s="30"/>
      <c r="X55" s="30"/>
      <c r="Y55" s="30"/>
      <c r="Z55" s="30"/>
    </row>
    <row r="56">
      <c r="A56" s="314" t="s">
        <v>6768</v>
      </c>
      <c r="B56" s="316" t="s">
        <v>6769</v>
      </c>
      <c r="C56" s="314" t="s">
        <v>6770</v>
      </c>
      <c r="D56" s="137" t="s">
        <v>6771</v>
      </c>
      <c r="E56" s="314" t="s">
        <v>6772</v>
      </c>
      <c r="F56" s="137" t="s">
        <v>6773</v>
      </c>
      <c r="G56" s="321" t="str">
        <f>IFERROR(__xludf.DUMMYFUNCTION("GOOGLETRANSLATE(A56,""zh-tw"",""zh"")"),"炎天娃娃")</f>
        <v>炎天娃娃</v>
      </c>
      <c r="H56" s="143" t="str">
        <f>IFERROR(__xludf.DUMMYFUNCTION("GOOGLETRANSLATE(B56,""zh-tw"",""zh"")"),"魔抗：10
幸运：10
第二天炎热")</f>
        <v>魔抗：10
幸运：10
第二天炎热</v>
      </c>
      <c r="I56" s="314" t="s">
        <v>6772</v>
      </c>
      <c r="J56" s="143" t="str">
        <f>IFERROR(__xludf.DUMMYFUNCTION("GOOGLETRANSLATE(B56,""zh-tw"",""es-MX"")"),"Resistencia Mágica: 10
Suerte: 10
El día siguiente fue caluroso.")</f>
        <v>Resistencia Mágica: 10
Suerte: 10
El día siguiente fue caluroso.</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5" t="s">
        <v>6774</v>
      </c>
      <c r="P56" s="316" t="s">
        <v>6775</v>
      </c>
      <c r="Q56" s="339" t="s">
        <v>6776</v>
      </c>
      <c r="R56" s="320" t="s">
        <v>6777</v>
      </c>
      <c r="S56" s="321" t="s">
        <v>6778</v>
      </c>
      <c r="T56" s="143" t="s">
        <v>6779</v>
      </c>
      <c r="U56" s="30"/>
      <c r="V56" s="30"/>
      <c r="W56" s="30"/>
      <c r="X56" s="30"/>
      <c r="Y56" s="30"/>
      <c r="Z56" s="30"/>
    </row>
    <row r="57">
      <c r="A57" s="314" t="s">
        <v>6780</v>
      </c>
      <c r="B57" s="137" t="s">
        <v>6781</v>
      </c>
      <c r="C57" s="314" t="s">
        <v>6782</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4" t="s">
        <v>6783</v>
      </c>
      <c r="F57" s="137" t="s">
        <v>6784</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6785</v>
      </c>
      <c r="J57" s="137" t="s">
        <v>6786</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7" t="str">
        <f>IFERROR(__xludf.DUMMYFUNCTION("GOOGLETRANSLATE(A57,""zh-tw"",""ru"")"),"Перчатки, ломающие лицо")</f>
        <v>Перчатки, ломающие лицо</v>
      </c>
      <c r="N57" s="318"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5" t="s">
        <v>6787</v>
      </c>
      <c r="P57" s="316" t="s">
        <v>6788</v>
      </c>
      <c r="Q57" s="335" t="s">
        <v>6789</v>
      </c>
      <c r="R57" s="323" t="s">
        <v>6790</v>
      </c>
      <c r="S57" s="321" t="s">
        <v>6791</v>
      </c>
      <c r="T57" s="143" t="s">
        <v>6792</v>
      </c>
      <c r="U57" s="30"/>
      <c r="V57" s="30"/>
      <c r="W57" s="30"/>
      <c r="X57" s="30"/>
      <c r="Y57" s="30"/>
      <c r="Z57" s="30"/>
    </row>
    <row r="58">
      <c r="A58" s="321" t="s">
        <v>6793</v>
      </c>
      <c r="B58" s="143" t="s">
        <v>6794</v>
      </c>
      <c r="C58" s="314" t="s">
        <v>6795</v>
      </c>
      <c r="D58" s="143" t="s">
        <v>6796</v>
      </c>
      <c r="E58" s="321" t="s">
        <v>6797</v>
      </c>
      <c r="F58" s="143" t="s">
        <v>6798</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홍옥수 펜던트")</f>
        <v>붉은 홍옥수 펜던트</v>
      </c>
      <c r="L58" s="143"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4" t="s">
        <v>6797</v>
      </c>
      <c r="P58" s="137" t="s">
        <v>6799</v>
      </c>
      <c r="Q58" s="340" t="s">
        <v>6800</v>
      </c>
      <c r="R58" s="341" t="s">
        <v>6801</v>
      </c>
      <c r="S58" s="321" t="s">
        <v>6802</v>
      </c>
      <c r="T58" s="143" t="s">
        <v>6803</v>
      </c>
      <c r="U58" s="30"/>
      <c r="V58" s="30"/>
      <c r="W58" s="30"/>
      <c r="X58" s="30"/>
      <c r="Y58" s="30"/>
      <c r="Z58" s="30"/>
    </row>
    <row r="59">
      <c r="A59" s="321" t="s">
        <v>6804</v>
      </c>
      <c r="B59" s="143" t="s">
        <v>6805</v>
      </c>
      <c r="C59" s="314" t="s">
        <v>6806</v>
      </c>
      <c r="D59" s="143" t="s">
        <v>6807</v>
      </c>
      <c r="E59" s="321" t="s">
        <v>6808</v>
      </c>
      <c r="F59" s="137" t="s">
        <v>6809</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17" t="str">
        <f>IFERROR(__xludf.DUMMYFUNCTION("GOOGLETRANSLATE(A59,""zh-tw"",""ru"")"),"Проклятая рука Шерис")</f>
        <v>Проклятая рука Шерис</v>
      </c>
      <c r="N59" s="318"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4" t="s">
        <v>6810</v>
      </c>
      <c r="P59" s="137" t="s">
        <v>6811</v>
      </c>
      <c r="Q59" s="342" t="s">
        <v>6812</v>
      </c>
      <c r="R59" s="323" t="s">
        <v>6813</v>
      </c>
      <c r="S59" s="321" t="s">
        <v>6814</v>
      </c>
      <c r="T59" s="143" t="s">
        <v>6815</v>
      </c>
      <c r="U59" s="30"/>
      <c r="V59" s="30"/>
      <c r="W59" s="30"/>
      <c r="X59" s="30"/>
      <c r="Y59" s="30"/>
      <c r="Z59" s="30"/>
    </row>
    <row r="60">
      <c r="A60" s="321" t="s">
        <v>6816</v>
      </c>
      <c r="B60" s="143" t="s">
        <v>6817</v>
      </c>
      <c r="C60" s="314" t="s">
        <v>6818</v>
      </c>
      <c r="D60" s="137" t="s">
        <v>6819</v>
      </c>
      <c r="E60" s="314" t="s">
        <v>6820</v>
      </c>
      <c r="F60" s="137" t="s">
        <v>6821</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물결")</f>
        <v>큐피드의 물결</v>
      </c>
      <c r="L60" s="143"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7" t="str">
        <f>IFERROR(__xludf.DUMMYFUNCTION("GOOGLETRANSLATE(A60,""zh-tw"",""ru"")"),"Волна Купидона")</f>
        <v>Волна Купидона</v>
      </c>
      <c r="N60" s="318"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4" t="s">
        <v>6822</v>
      </c>
      <c r="P60" s="137" t="s">
        <v>6823</v>
      </c>
      <c r="Q60" s="340" t="s">
        <v>6824</v>
      </c>
      <c r="R60" s="338" t="s">
        <v>6825</v>
      </c>
      <c r="S60" s="321" t="s">
        <v>6826</v>
      </c>
      <c r="T60" s="143" t="s">
        <v>6827</v>
      </c>
      <c r="U60" s="30"/>
      <c r="V60" s="30"/>
      <c r="W60" s="30"/>
      <c r="X60" s="30"/>
      <c r="Y60" s="30"/>
      <c r="Z60" s="30"/>
    </row>
    <row r="61">
      <c r="A61" s="314" t="s">
        <v>6828</v>
      </c>
      <c r="B61" s="137" t="s">
        <v>6829</v>
      </c>
      <c r="C61" s="314" t="s">
        <v>6830</v>
      </c>
      <c r="D61" s="137" t="s">
        <v>6831</v>
      </c>
      <c r="E61" s="314" t="s">
        <v>6832</v>
      </c>
      <c r="F61" s="137" t="s">
        <v>6833</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7" t="str">
        <f>IFERROR(__xludf.DUMMYFUNCTION("GOOGLETRANSLATE(A61,""zh-tw"",""ru"")"),"Абсолютная Территория")</f>
        <v>Абсолютная Территория</v>
      </c>
      <c r="N61" s="318"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4" t="s">
        <v>6834</v>
      </c>
      <c r="P61" s="137" t="s">
        <v>6835</v>
      </c>
      <c r="Q61" s="335" t="s">
        <v>6836</v>
      </c>
      <c r="R61" s="323" t="s">
        <v>6837</v>
      </c>
      <c r="S61" s="321" t="s">
        <v>6838</v>
      </c>
      <c r="T61" s="143" t="s">
        <v>6839</v>
      </c>
      <c r="U61" s="30"/>
      <c r="V61" s="30"/>
      <c r="W61" s="30"/>
      <c r="X61" s="30"/>
      <c r="Y61" s="30"/>
      <c r="Z61" s="30"/>
    </row>
    <row r="62">
      <c r="A62" s="322" t="s">
        <v>6840</v>
      </c>
      <c r="B62" s="137" t="s">
        <v>6841</v>
      </c>
      <c r="C62" s="322" t="s">
        <v>6842</v>
      </c>
      <c r="D62" s="137" t="s">
        <v>6843</v>
      </c>
      <c r="E62" s="322" t="s">
        <v>6844</v>
      </c>
      <c r="F62" s="137" t="s">
        <v>6845</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향상된 화속성")</f>
        <v>마법 공격력: 25
마법 방어력: 15
향상된 화속성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1" t="s">
        <v>6846</v>
      </c>
      <c r="P62" s="137" t="s">
        <v>6847</v>
      </c>
      <c r="Q62" s="335" t="s">
        <v>6848</v>
      </c>
      <c r="R62" s="323" t="s">
        <v>6849</v>
      </c>
      <c r="S62" s="321" t="s">
        <v>6844</v>
      </c>
      <c r="T62" s="143" t="s">
        <v>6850</v>
      </c>
      <c r="U62" s="30"/>
      <c r="V62" s="30"/>
      <c r="W62" s="30"/>
      <c r="X62" s="30"/>
      <c r="Y62" s="30"/>
      <c r="Z62" s="30"/>
    </row>
    <row r="63">
      <c r="A63" s="322" t="s">
        <v>6851</v>
      </c>
      <c r="B63" s="47" t="s">
        <v>6852</v>
      </c>
      <c r="C63" s="314" t="s">
        <v>6853</v>
      </c>
      <c r="D63" s="137" t="s">
        <v>6854</v>
      </c>
      <c r="E63" s="322" t="s">
        <v>6855</v>
      </c>
      <c r="F63" s="47" t="s">
        <v>6856</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7" t="str">
        <f>IFERROR(__xludf.DUMMYFUNCTION("GOOGLETRANSLATE(A63,""zh-tw"",""ru"")"),"Контракт обратного проклятия")</f>
        <v>Контракт обратного проклятия</v>
      </c>
      <c r="N63" s="318"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1" t="s">
        <v>6857</v>
      </c>
      <c r="P63" s="143" t="s">
        <v>6858</v>
      </c>
      <c r="Q63" s="335" t="s">
        <v>6859</v>
      </c>
      <c r="R63" s="336" t="s">
        <v>6860</v>
      </c>
      <c r="S63" s="321" t="s">
        <v>6861</v>
      </c>
      <c r="T63" s="143" t="s">
        <v>6862</v>
      </c>
      <c r="U63" s="30"/>
      <c r="V63" s="30"/>
      <c r="W63" s="30"/>
      <c r="X63" s="30"/>
      <c r="Y63" s="30"/>
      <c r="Z63" s="30"/>
    </row>
    <row r="64">
      <c r="A64" s="314" t="s">
        <v>6863</v>
      </c>
      <c r="B64" s="137" t="s">
        <v>6864</v>
      </c>
      <c r="C64" s="314" t="s">
        <v>6865</v>
      </c>
      <c r="D64" s="143" t="str">
        <f>IFERROR(__xludf.DUMMYFUNCTION("GOOGLETRANSLATE(B64,""zh-tw"",""ja"")"),"物理防御力：3
魔法耐性：10
草の上にいる間、スタミナが回復する")</f>
        <v>物理防御力：3
魔法耐性：10
草の上にいる間、スタミナが回復する</v>
      </c>
      <c r="E64" s="314" t="s">
        <v>6866</v>
      </c>
      <c r="F64" s="137" t="s">
        <v>6867</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있는 동안 지구력 회복")</f>
        <v>물리 방어력: 3
마법 저항력: 10
풀밭에 서 있는 동안 지구력 회복</v>
      </c>
      <c r="M64" s="317" t="str">
        <f>IFERROR(__xludf.DUMMYFUNCTION("GOOGLETRANSLATE(A64,""zh-tw"",""ru"")"),"Наряд охотника")</f>
        <v>Наряд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6868</v>
      </c>
      <c r="R64" s="320" t="s">
        <v>6869</v>
      </c>
      <c r="S64" s="321" t="s">
        <v>6870</v>
      </c>
      <c r="T64" s="143" t="s">
        <v>6871</v>
      </c>
      <c r="U64" s="30"/>
      <c r="V64" s="30"/>
      <c r="W64" s="30"/>
      <c r="X64" s="30"/>
      <c r="Y64" s="30"/>
      <c r="Z64" s="30"/>
    </row>
    <row r="65">
      <c r="A65" s="314" t="s">
        <v>6872</v>
      </c>
      <c r="B65" s="137" t="s">
        <v>6873</v>
      </c>
      <c r="C65" s="314" t="s">
        <v>6874</v>
      </c>
      <c r="D65" s="143" t="str">
        <f>IFERROR(__xludf.DUMMYFUNCTION("GOOGLETRANSLATE(B65,""zh-tw"",""ja"")"),"物理防御力：1 若干の改善：最大スタミナ、移動速度、装備容量")</f>
        <v>物理防御力：1 若干の改善：最大スタミナ、移動速度、装備容量</v>
      </c>
      <c r="E65" s="314" t="s">
        <v>6875</v>
      </c>
      <c r="F65" s="137" t="s">
        <v>6876</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IFERROR(__xludf.DUMMYFUNCTION("GOOGLETRANSLATE(A65,""zh-tw"",""KO"")"),"사냥꾼의 벨트")</f>
        <v>사냥꾼의 벨트</v>
      </c>
      <c r="L65" s="143" t="str">
        <f>IFERROR(__xludf.DUMMYFUNCTION("GOOGLETRANSLATE(B65,""zh-tw"",""KO"")"),"물리 방어력: 1 소폭 향상: 최대 체력, 이동 속도, 장비 수용량")</f>
        <v>물리 방어력: 1 소폭 향상: 최대 체력, 이동 속도, 장비 수용량</v>
      </c>
      <c r="M65" s="317" t="str">
        <f>IFERROR(__xludf.DUMMYFUNCTION("GOOGLETRANSLATE(A65,""zh-tw"",""ru"")"),"Пояс Охотника")</f>
        <v>Пояс Охотника</v>
      </c>
      <c r="N65" s="318"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6877</v>
      </c>
      <c r="R65" s="323" t="s">
        <v>6878</v>
      </c>
      <c r="S65" s="321" t="s">
        <v>6879</v>
      </c>
      <c r="T65" s="143" t="s">
        <v>6880</v>
      </c>
      <c r="U65" s="30"/>
      <c r="V65" s="30"/>
      <c r="W65" s="30"/>
      <c r="X65" s="30"/>
      <c r="Y65" s="30"/>
      <c r="Z65" s="30"/>
    </row>
    <row r="66">
      <c r="A66" s="314" t="s">
        <v>6881</v>
      </c>
      <c r="B66" s="137" t="s">
        <v>6882</v>
      </c>
      <c r="C66" s="314" t="s">
        <v>6883</v>
      </c>
      <c r="D66" s="143" t="str">
        <f>IFERROR(__xludf.DUMMYFUNCTION("GOOGLETRANSLATE(B66,""zh-tw"",""ja"")"),"物理攻撃力：6
幸運：20
肉のドロップ率が2倍（魚のフライを含む）")</f>
        <v>物理攻撃力：6
幸運：20
肉のドロップ率が2倍（魚のフライを含む）</v>
      </c>
      <c r="E66" s="314" t="s">
        <v>6884</v>
      </c>
      <c r="F66" s="137" t="s">
        <v>6885</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드랍률 2배 증가 (생선튀김 포함)")</f>
        <v>물리 공격력: 6
행운: 20
고기 드랍률 2배 증가 (생선튀김 포함)</v>
      </c>
      <c r="M66" s="317" t="str">
        <f>IFERROR(__xludf.DUMMYFUNCTION("GOOGLETRANSLATE(A66,""zh-tw"",""ru"")"),"Кинжал охотника")</f>
        <v>Кинжал охотника</v>
      </c>
      <c r="N66" s="318"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6886</v>
      </c>
      <c r="R66" s="320" t="s">
        <v>6887</v>
      </c>
      <c r="S66" s="321" t="s">
        <v>6888</v>
      </c>
      <c r="T66" s="143" t="s">
        <v>6889</v>
      </c>
      <c r="U66" s="30"/>
      <c r="V66" s="30"/>
      <c r="W66" s="30"/>
      <c r="X66" s="30"/>
      <c r="Y66" s="30"/>
      <c r="Z66" s="30"/>
    </row>
    <row r="67">
      <c r="A67" s="314" t="s">
        <v>6890</v>
      </c>
      <c r="B67" s="137" t="s">
        <v>6891</v>
      </c>
      <c r="C67" s="314" t="s">
        <v>6892</v>
      </c>
      <c r="D67" s="143" t="str">
        <f>IFERROR(__xludf.DUMMYFUNCTION("GOOGLETRANSLATE(B67,""zh-tw"",""ja"")"),"物理防御力：20
魔法耐性：60
水泳速度が上昇し、陸上移動速度が低下")</f>
        <v>物理防御力：20
魔法耐性：60
水泳速度が上昇し、陸上移動速度が低下</v>
      </c>
      <c r="E67" s="314" t="s">
        <v>6893</v>
      </c>
      <c r="F67" s="137" t="s">
        <v>6894</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IFERROR(__xludf.DUMMYFUNCTION("GOOGLETRANSLATE(A67,""zh-tw"",""KO"")"),"녹색 거북이 껍질")</f>
        <v>녹색 거북이 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6895</v>
      </c>
      <c r="R67" s="320" t="s">
        <v>6896</v>
      </c>
      <c r="S67" s="321" t="s">
        <v>6897</v>
      </c>
      <c r="T67" s="143" t="s">
        <v>6898</v>
      </c>
      <c r="U67" s="30"/>
      <c r="V67" s="30"/>
      <c r="W67" s="30"/>
      <c r="X67" s="30"/>
      <c r="Y67" s="30"/>
      <c r="Z67" s="30"/>
    </row>
    <row r="68">
      <c r="A68" s="314" t="s">
        <v>6899</v>
      </c>
      <c r="B68" s="137" t="s">
        <v>6900</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6901</v>
      </c>
      <c r="F68" s="137" t="s">
        <v>6902</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검")</f>
        <v>보석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IFERROR(__xludf.DUMMYFUNCTION("GOOGLETRANSLATE(A68,""zh-tw"",""ru"")"),"Драгоценный меч")</f>
        <v>Драгоценный меч</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6903</v>
      </c>
      <c r="R68" s="336" t="s">
        <v>6904</v>
      </c>
      <c r="S68" s="321" t="s">
        <v>6905</v>
      </c>
      <c r="T68" s="143" t="s">
        <v>6906</v>
      </c>
      <c r="U68" s="30"/>
      <c r="V68" s="30"/>
      <c r="W68" s="30"/>
      <c r="X68" s="30"/>
      <c r="Y68" s="30"/>
      <c r="Z68" s="30"/>
    </row>
    <row r="69">
      <c r="A69" s="314" t="s">
        <v>6907</v>
      </c>
      <c r="B69" s="137" t="s">
        <v>6908</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6909</v>
      </c>
      <c r="F69" s="137" t="s">
        <v>6910</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6911</v>
      </c>
      <c r="R69" s="323" t="s">
        <v>6912</v>
      </c>
      <c r="S69" s="321" t="s">
        <v>6913</v>
      </c>
      <c r="T69" s="143" t="s">
        <v>6914</v>
      </c>
      <c r="U69" s="30"/>
      <c r="V69" s="30"/>
      <c r="W69" s="30"/>
      <c r="X69" s="30"/>
      <c r="Y69" s="30"/>
      <c r="Z69" s="30"/>
    </row>
    <row r="70">
      <c r="A70" s="314" t="s">
        <v>6915</v>
      </c>
      <c r="B70" s="137" t="s">
        <v>6916</v>
      </c>
      <c r="C70" s="314" t="s">
        <v>6917</v>
      </c>
      <c r="D70" s="143" t="str">
        <f>IFERROR(__xludf.DUMMYFUNCTION("GOOGLETRANSLATE(B70,""zh-tw"",""ja"")"),"物理攻撃力：4
物理防御力：1
物理攻撃力 +15%
")</f>
        <v>物理攻撃力：4
物理防御力：1
物理攻撃力 +15%
</v>
      </c>
      <c r="E70" s="314" t="s">
        <v>6918</v>
      </c>
      <c r="F70" s="137" t="s">
        <v>6919</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반지")</f>
        <v>날카로운 칼날 반지</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6920</v>
      </c>
      <c r="R70" s="323" t="s">
        <v>6921</v>
      </c>
      <c r="S70" s="321" t="s">
        <v>6922</v>
      </c>
      <c r="T70" s="143" t="s">
        <v>6923</v>
      </c>
      <c r="U70" s="30"/>
      <c r="V70" s="30"/>
      <c r="W70" s="30"/>
      <c r="X70" s="30"/>
      <c r="Y70" s="30"/>
      <c r="Z70" s="30"/>
    </row>
    <row r="71">
      <c r="A71" s="314" t="s">
        <v>6924</v>
      </c>
      <c r="B71" s="137" t="s">
        <v>6925</v>
      </c>
      <c r="C71" s="314" t="s">
        <v>6924</v>
      </c>
      <c r="D71" s="137" t="s">
        <v>6926</v>
      </c>
      <c r="E71" s="314" t="s">
        <v>6927</v>
      </c>
      <c r="F71" s="137" t="s">
        <v>6928</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7" t="str">
        <f>IFERROR(__xludf.DUMMYFUNCTION("GOOGLETRANSLATE(A71,""zh-tw"",""ru"")"),"Такидзаси")</f>
        <v>Такидзаси</v>
      </c>
      <c r="N71" s="318"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6927</v>
      </c>
      <c r="R71" s="336" t="s">
        <v>6929</v>
      </c>
      <c r="S71" s="321" t="s">
        <v>6927</v>
      </c>
      <c r="T71" s="143" t="s">
        <v>6930</v>
      </c>
      <c r="U71" s="30"/>
      <c r="V71" s="30"/>
      <c r="W71" s="30"/>
      <c r="X71" s="30"/>
      <c r="Y71" s="30"/>
      <c r="Z71" s="30"/>
    </row>
    <row r="72">
      <c r="A72" s="314" t="s">
        <v>6931</v>
      </c>
      <c r="B72" s="137" t="s">
        <v>6932</v>
      </c>
      <c r="C72" s="314" t="s">
        <v>6933</v>
      </c>
      <c r="D72" s="143" t="str">
        <f>IFERROR(__xludf.DUMMYFUNCTION("GOOGLETRANSLATE(B72,""zh-tw"",""ja"")"),"物理防御力：15
魔法耐性：10
詳細はヒントをご覧ください")</f>
        <v>物理防御力：15
魔法耐性：10
詳細はヒントをご覧ください</v>
      </c>
      <c r="E72" s="314" t="s">
        <v>6934</v>
      </c>
      <c r="F72" s="137" t="s">
        <v>6935</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팁에 있습니다")</f>
        <v>물리 방어력: 15
마법 저항력: 10
자세한 설명은 팁에 있습니다</v>
      </c>
      <c r="M72" s="317" t="str">
        <f>IFERROR(__xludf.DUMMYFUNCTION("GOOGLETRANSLATE(A72,""zh-tw"",""ru"")"),"Железный орел")</f>
        <v>Железный орел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6936</v>
      </c>
      <c r="R72" s="320" t="s">
        <v>6937</v>
      </c>
      <c r="S72" s="321" t="s">
        <v>6938</v>
      </c>
      <c r="T72" s="143" t="s">
        <v>6939</v>
      </c>
      <c r="U72" s="30"/>
      <c r="V72" s="30"/>
      <c r="W72" s="30"/>
      <c r="X72" s="30"/>
      <c r="Y72" s="30"/>
      <c r="Z72" s="30"/>
    </row>
    <row r="73">
      <c r="A73" s="314" t="s">
        <v>6940</v>
      </c>
      <c r="B73" s="137" t="s">
        <v>6941</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6942</v>
      </c>
      <c r="F73" s="137" t="s">
        <v>6943</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7" t="str">
        <f>IFERROR(__xludf.DUMMYFUNCTION("GOOGLETRANSLATE(A73,""zh-tw"",""ru"")"),"Значки Гокен-куна")</f>
        <v>Значки Гокен-куна</v>
      </c>
      <c r="N73" s="318"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6944</v>
      </c>
      <c r="R73" s="323" t="s">
        <v>6945</v>
      </c>
      <c r="S73" s="321" t="s">
        <v>6946</v>
      </c>
      <c r="T73" s="143" t="s">
        <v>6947</v>
      </c>
      <c r="U73" s="30"/>
      <c r="V73" s="30"/>
      <c r="W73" s="30"/>
      <c r="X73" s="30"/>
      <c r="Y73" s="30"/>
      <c r="Z73" s="30"/>
    </row>
    <row r="74">
      <c r="A74" s="314" t="s">
        <v>6948</v>
      </c>
      <c r="B74" s="137" t="s">
        <v>6949</v>
      </c>
      <c r="C74" s="314" t="s">
        <v>6950</v>
      </c>
      <c r="D74" s="143" t="str">
        <f>IFERROR(__xludf.DUMMYFUNCTION("GOOGLETRANSLATE(B74,""zh-tw"",""ja"")"),"コマンドタイプの装備
(スキルスロット参照)")</f>
        <v>コマンドタイプの装備
(スキルスロット参照)</v>
      </c>
      <c r="E74" s="314" t="s">
        <v>6951</v>
      </c>
      <c r="F74" s="137" t="s">
        <v>6952</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다시 가져와!")</f>
        <v>딸기를 다시 가져와!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снаряжение
(См. слоты навыков)")</f>
        <v>Командное снаряжение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6953</v>
      </c>
      <c r="R74" s="320" t="s">
        <v>6954</v>
      </c>
      <c r="S74" s="321" t="s">
        <v>6955</v>
      </c>
      <c r="T74" s="143" t="s">
        <v>6956</v>
      </c>
      <c r="U74" s="30"/>
      <c r="V74" s="30"/>
      <c r="W74" s="30"/>
      <c r="X74" s="30"/>
      <c r="Y74" s="30"/>
      <c r="Z74" s="30"/>
    </row>
    <row r="75">
      <c r="A75" s="322" t="s">
        <v>5017</v>
      </c>
      <c r="B75" s="137" t="s">
        <v>6957</v>
      </c>
      <c r="C75" s="314" t="s">
        <v>6958</v>
      </c>
      <c r="D75" s="137" t="s">
        <v>6959</v>
      </c>
      <c r="E75" s="314" t="s">
        <v>5023</v>
      </c>
      <c r="F75" s="137" t="s">
        <v>6960</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IFERROR(__xludf.DUMMYFUNCTION("GOOGLETRANSLATE(B75,""zh-tw"",""KO"")"),"던지기 공격. 물에 닿으면 사라지며, 죽을 수도 있습니다. 행운: 10")</f>
        <v>던지기 공격. 물에 닿으면 사라지며, 죽을 수도 있습니다. 행운: 10</v>
      </c>
      <c r="M75" s="317" t="str">
        <f>IFERROR(__xludf.DUMMYFUNCTION("GOOGLETRANSLATE(A75,""zh-tw"",""ru"")"),"◉▽◉ (Синий)")</f>
        <v>◉▽◉ (Синий)</v>
      </c>
      <c r="N75" s="318"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4" t="s">
        <v>5026</v>
      </c>
      <c r="P75" s="137" t="s">
        <v>6961</v>
      </c>
      <c r="Q75" s="335" t="s">
        <v>5029</v>
      </c>
      <c r="R75" s="320" t="s">
        <v>6962</v>
      </c>
      <c r="S75" s="321" t="s">
        <v>5032</v>
      </c>
      <c r="T75" s="143" t="s">
        <v>6963</v>
      </c>
      <c r="U75" s="30"/>
      <c r="V75" s="30"/>
      <c r="W75" s="30"/>
      <c r="X75" s="30"/>
      <c r="Y75" s="30"/>
      <c r="Z75" s="30"/>
    </row>
    <row r="76">
      <c r="A76" s="321" t="s">
        <v>5035</v>
      </c>
      <c r="B76" s="137" t="s">
        <v>6964</v>
      </c>
      <c r="C76" s="321" t="s">
        <v>5035</v>
      </c>
      <c r="D76" s="137" t="s">
        <v>6965</v>
      </c>
      <c r="E76" s="314" t="s">
        <v>5039</v>
      </c>
      <c r="F76" s="137" t="s">
        <v>6966</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IFERROR(__xludf.DUMMYFUNCTION("GOOGLETRANSLATE(B76,""zh-tw"",""KO"")"),"던지기 공격. 물에 닿으면 사라지며, 죽을 수도 있습니다. 행운: 20")</f>
        <v>던지기 공격. 물에 닿으면 사라지며, 죽을 수도 있습니다. 행운: 20</v>
      </c>
      <c r="M76" s="317" t="str">
        <f>IFERROR(__xludf.DUMMYFUNCTION("GOOGLETRANSLATE(A76,""zh-tw"",""ru"")"),"◉▽◉(фиолетовый)")</f>
        <v>◉▽◉(фиолетовый)</v>
      </c>
      <c r="N76" s="318"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4" t="s">
        <v>5041</v>
      </c>
      <c r="P76" s="137" t="s">
        <v>6967</v>
      </c>
      <c r="Q76" s="340" t="s">
        <v>5043</v>
      </c>
      <c r="R76" s="320" t="s">
        <v>6968</v>
      </c>
      <c r="S76" s="321" t="s">
        <v>5045</v>
      </c>
      <c r="T76" s="143" t="s">
        <v>6969</v>
      </c>
      <c r="U76" s="30"/>
      <c r="V76" s="30"/>
      <c r="W76" s="30"/>
      <c r="X76" s="30"/>
      <c r="Y76" s="30"/>
      <c r="Z76" s="30"/>
    </row>
    <row r="77">
      <c r="A77" s="321" t="s">
        <v>6970</v>
      </c>
      <c r="B77" s="137" t="s">
        <v>6971</v>
      </c>
      <c r="C77" s="314" t="s">
        <v>6972</v>
      </c>
      <c r="D77" s="137" t="s">
        <v>6973</v>
      </c>
      <c r="E77" s="314" t="s">
        <v>6974</v>
      </c>
      <c r="F77" s="137" t="s">
        <v>6975</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IFERROR(__xludf.DUMMYFUNCTION("GOOGLETRANSLATE(A77,""zh-tw"",""KO"")"),"◉▽◉(분홍색)")</f>
        <v>◉▽◉(분홍색)</v>
      </c>
      <c r="L77" s="143" t="str">
        <f>IFERROR(__xludf.DUMMYFUNCTION("GOOGLETRANSLATE(B77,""zh-tw"",""KO"")"),"던지기 공격. 물에 닿으면 사라짐. 죽을 수도 있음. 행운: 40")</f>
        <v>던지기 공격. 물에 닿으면 사라짐. 죽을 수도 있음. 행운: 40</v>
      </c>
      <c r="M77" s="317" t="str">
        <f>IFERROR(__xludf.DUMMYFUNCTION("GOOGLETRANSLATE(A77,""zh-tw"",""ru"")"),"◉▽◉(Розовый)")</f>
        <v>◉▽◉(Розовый)</v>
      </c>
      <c r="N77" s="318"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4" t="s">
        <v>6976</v>
      </c>
      <c r="P77" s="137" t="s">
        <v>6977</v>
      </c>
      <c r="Q77" s="340" t="s">
        <v>6978</v>
      </c>
      <c r="R77" s="320" t="s">
        <v>6979</v>
      </c>
      <c r="S77" s="321" t="s">
        <v>6980</v>
      </c>
      <c r="T77" s="143" t="s">
        <v>6981</v>
      </c>
      <c r="U77" s="30"/>
      <c r="V77" s="30"/>
      <c r="W77" s="30"/>
      <c r="X77" s="30"/>
      <c r="Y77" s="30"/>
      <c r="Z77" s="30"/>
    </row>
    <row r="78">
      <c r="A78" s="314" t="s">
        <v>6982</v>
      </c>
      <c r="B78" s="137" t="s">
        <v>6983</v>
      </c>
      <c r="C78" s="314" t="s">
        <v>6984</v>
      </c>
      <c r="D78" s="137" t="s">
        <v>6985</v>
      </c>
      <c r="E78" s="314" t="s">
        <v>6986</v>
      </c>
      <c r="F78" s="137" t="s">
        <v>6987</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1-VII")</f>
        <v>단원 1-VII</v>
      </c>
      <c r="L78" s="143"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7" t="str">
        <f>IFERROR(__xludf.DUMMYFUNCTION("GOOGLETRANSLATE(A78,""zh-tw"",""ru"")"),"Блок 1-VII")</f>
        <v>Блок 1-VII</v>
      </c>
      <c r="N78" s="318"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14" t="s">
        <v>6988</v>
      </c>
      <c r="P78" s="137" t="s">
        <v>6989</v>
      </c>
      <c r="Q78" s="335" t="s">
        <v>6986</v>
      </c>
      <c r="R78" s="323" t="s">
        <v>6990</v>
      </c>
      <c r="S78" s="321" t="s">
        <v>6991</v>
      </c>
      <c r="T78" s="143" t="s">
        <v>6992</v>
      </c>
      <c r="U78" s="30"/>
      <c r="V78" s="30"/>
      <c r="W78" s="30"/>
      <c r="X78" s="30"/>
      <c r="Y78" s="30"/>
      <c r="Z78" s="30"/>
    </row>
    <row r="79">
      <c r="A79" s="314" t="s">
        <v>6993</v>
      </c>
      <c r="B79" s="137" t="s">
        <v>6994</v>
      </c>
      <c r="C79" s="314" t="s">
        <v>6995</v>
      </c>
      <c r="D79" s="137" t="s">
        <v>6996</v>
      </c>
      <c r="E79" s="314" t="s">
        <v>6997</v>
      </c>
      <c r="F79" s="137" t="s">
        <v>6998</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 777 (치트아이템) 드랍률 증가")</f>
        <v>행운 : 777 (치트아이템) 드랍률 증가</v>
      </c>
      <c r="M79" s="317" t="str">
        <f>IFERROR(__xludf.DUMMYFUNCTION("GOOGLETRANSLATE(A79,""zh-tw"",""ru"")"),"Молот Руики")</f>
        <v>Молот Руики</v>
      </c>
      <c r="N79" s="318" t="str">
        <f>IFERROR(__xludf.DUMMYFUNCTION("GOOGLETRANSLATE(B79,""zh-tw"",""ru"")"),"Удача: 777 Увеличивает шанс выпадения (чит-предмет)")</f>
        <v>Удача: 777 Увеличивает шанс выпадения (чит-предмет)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6999</v>
      </c>
      <c r="R79" s="323" t="s">
        <v>7000</v>
      </c>
      <c r="S79" s="139" t="s">
        <v>7001</v>
      </c>
      <c r="T79" s="143" t="s">
        <v>7002</v>
      </c>
      <c r="U79" s="30"/>
      <c r="V79" s="30"/>
      <c r="W79" s="30"/>
      <c r="X79" s="30"/>
      <c r="Y79" s="30"/>
      <c r="Z79" s="30"/>
    </row>
    <row r="80">
      <c r="A80" s="314" t="s">
        <v>7003</v>
      </c>
      <c r="B80" s="137" t="s">
        <v>7004</v>
      </c>
      <c r="C80" s="314" t="s">
        <v>7005</v>
      </c>
      <c r="D80" s="137" t="s">
        <v>7006</v>
      </c>
      <c r="E80" s="314" t="s">
        <v>7007</v>
      </c>
      <c r="F80" s="137" t="s">
        <v>7008</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응급처치 키트")</f>
        <v>미오의 응급처치 키트</v>
      </c>
      <c r="L80" s="143" t="str">
        <f>IFERROR(__xludf.DUMMYFUNCTION("GOOGLETRANSLATE(B80,""zh-tw"",""KO"")"),"초당 체력 재생(치트 아이템)")</f>
        <v>초당 체력 재생(치트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каждую секунду (чит-предмет)")</f>
        <v>Восстанавливает здоровье каждую секунду (чит-предмет)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7009</v>
      </c>
      <c r="R80" s="323" t="s">
        <v>7010</v>
      </c>
      <c r="S80" s="139" t="s">
        <v>7011</v>
      </c>
      <c r="T80" s="143" t="s">
        <v>7012</v>
      </c>
      <c r="U80" s="30"/>
      <c r="V80" s="30"/>
      <c r="W80" s="30"/>
      <c r="X80" s="30"/>
      <c r="Y80" s="30"/>
      <c r="Z80" s="30"/>
    </row>
    <row r="81">
      <c r="A81" s="314" t="s">
        <v>7013</v>
      </c>
      <c r="B81" s="137" t="s">
        <v>7014</v>
      </c>
      <c r="C81" s="314" t="s">
        <v>7015</v>
      </c>
      <c r="D81" s="137" t="s">
        <v>7016</v>
      </c>
      <c r="E81" s="314" t="s">
        <v>7017</v>
      </c>
      <c r="F81" s="137" t="s">
        <v>7018</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IFERROR(__xludf.DUMMYFUNCTION("GOOGLETRANSLATE(A81,""zh-tw"",""KO"")"),"백연의 황금 손가락")</f>
        <v>백연의 황금 손가락</v>
      </c>
      <c r="L81" s="143" t="str">
        <f>IFERROR(__xludf.DUMMYFUNCTION("GOOGLETRANSLATE(B81,""zh-tw"",""KO"")"),"무기에는 비용이 없습니다(치트 아이템)")</f>
        <v>무기에는 비용이 없습니다(치트 아이템)</v>
      </c>
      <c r="M81" s="317" t="str">
        <f>IFERROR(__xludf.DUMMYFUNCTION("GOOGLETRANSLATE(A81,""zh-tw"",""ru"")"),"Золотой палец Бай Яня")</f>
        <v>Золотой палец Бай Яня</v>
      </c>
      <c r="N81" s="318" t="str">
        <f>IFERROR(__xludf.DUMMYFUNCTION("GOOGLETRANSLATE(B81,""zh-tw"",""ru"")"),"Оружие не имеет стоимости (чит-предмет)")</f>
        <v>Оружие не имеет стоимости (чит-предмет)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7019</v>
      </c>
      <c r="R81" s="323" t="s">
        <v>7020</v>
      </c>
      <c r="S81" s="139" t="s">
        <v>7021</v>
      </c>
      <c r="T81" s="143" t="s">
        <v>7022</v>
      </c>
      <c r="U81" s="30"/>
      <c r="V81" s="30"/>
      <c r="W81" s="30"/>
      <c r="X81" s="30"/>
      <c r="Y81" s="30"/>
      <c r="Z81" s="30"/>
    </row>
    <row r="82">
      <c r="A82" s="321" t="s">
        <v>7023</v>
      </c>
      <c r="B82" s="143" t="s">
        <v>7024</v>
      </c>
      <c r="C82" s="321" t="s">
        <v>7025</v>
      </c>
      <c r="D82" s="143" t="s">
        <v>7026</v>
      </c>
      <c r="E82" s="321" t="s">
        <v>7027</v>
      </c>
      <c r="F82" s="143" t="s">
        <v>7028</v>
      </c>
      <c r="G82" s="321" t="s">
        <v>7029</v>
      </c>
      <c r="H82" s="143" t="s">
        <v>7030</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IFERROR(__xludf.DUMMYFUNCTION("GOOGLETRANSLATE(A82,""zh-tw"",""KO"")"),"다크 크리퍼의 선물")</f>
        <v>다크 크리퍼의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7031</v>
      </c>
      <c r="S82" s="139" t="s">
        <v>7032</v>
      </c>
      <c r="T82" s="143" t="s">
        <v>7033</v>
      </c>
      <c r="U82" s="30"/>
      <c r="V82" s="30"/>
      <c r="W82" s="30"/>
      <c r="X82" s="30"/>
      <c r="Y82" s="30"/>
      <c r="Z82" s="30"/>
    </row>
    <row r="83">
      <c r="A83" s="321" t="s">
        <v>7034</v>
      </c>
      <c r="B83" s="143" t="s">
        <v>7035</v>
      </c>
      <c r="C83" s="321" t="s">
        <v>7036</v>
      </c>
      <c r="D83" s="143" t="s">
        <v>7037</v>
      </c>
      <c r="E83" s="321" t="s">
        <v>7038</v>
      </c>
      <c r="F83" s="143" t="s">
        <v>7039</v>
      </c>
      <c r="G83" s="321" t="s">
        <v>7040</v>
      </c>
      <c r="H83" s="143" t="s">
        <v>7041</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속도 무제한 증가")</f>
        <v>물리 공격력: 4
물리 방어력: 2
마법 방어력: 25
충전 후 속도 무제한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7042</v>
      </c>
      <c r="R83" s="172" t="s">
        <v>7043</v>
      </c>
      <c r="S83" s="139" t="s">
        <v>7044</v>
      </c>
      <c r="T83" s="143" t="s">
        <v>7045</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7046</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7047</v>
      </c>
      <c r="B2" s="88" t="s">
        <v>7048</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IFERROR(__xludf.DUMMYFUNCTION("GOOGLETRANSLATE(A2,""zh-tw"",""ru"")"),"Имя реквизита")</f>
        <v>Имя реквизита</v>
      </c>
      <c r="N2" s="54" t="str">
        <f>IFERROR(__xludf.DUMMYFUNCTION("GOOGLETRANSLATE(B2,""zh-tw"",""ru"")"),"Эффект")</f>
        <v>Эффект</v>
      </c>
      <c r="O2" s="309" t="s">
        <v>7049</v>
      </c>
      <c r="P2" s="88" t="s">
        <v>7050</v>
      </c>
      <c r="Q2" s="352" t="s">
        <v>7051</v>
      </c>
      <c r="R2" s="81" t="s">
        <v>7052</v>
      </c>
      <c r="S2" s="311" t="s">
        <v>7053</v>
      </c>
      <c r="T2" s="85" t="s">
        <v>7054</v>
      </c>
      <c r="U2" s="353"/>
      <c r="V2" s="353"/>
    </row>
    <row r="3">
      <c r="A3" s="314" t="s">
        <v>7055</v>
      </c>
      <c r="B3" s="137" t="s">
        <v>7056</v>
      </c>
      <c r="C3" s="314" t="s">
        <v>7057</v>
      </c>
      <c r="D3" s="137" t="s">
        <v>7058</v>
      </c>
      <c r="E3" s="314" t="s">
        <v>7059</v>
      </c>
      <c r="F3" s="137" t="s">
        <v>7060</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7061</v>
      </c>
      <c r="K3" s="321" t="str">
        <f>IFERROR(__xludf.DUMMYFUNCTION("GOOGLETRANSLATE(A3,""zh-tw"",""KO"")"),"맛있는 우유")</f>
        <v>맛있는 우유</v>
      </c>
      <c r="L3" s="137" t="s">
        <v>7062</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7063</v>
      </c>
      <c r="P3" s="137" t="s">
        <v>7064</v>
      </c>
      <c r="Q3" s="322" t="s">
        <v>7065</v>
      </c>
      <c r="R3" s="47" t="s">
        <v>7066</v>
      </c>
      <c r="S3" s="321" t="s">
        <v>7067</v>
      </c>
      <c r="T3" s="137" t="s">
        <v>7068</v>
      </c>
      <c r="U3" s="30"/>
      <c r="V3" s="30"/>
    </row>
    <row r="4">
      <c r="A4" s="314" t="s">
        <v>7069</v>
      </c>
      <c r="B4" s="137" t="s">
        <v>7070</v>
      </c>
      <c r="C4" s="314" t="s">
        <v>7071</v>
      </c>
      <c r="D4" s="137" t="s">
        <v>7072</v>
      </c>
      <c r="E4" s="314" t="s">
        <v>7073</v>
      </c>
      <c r="F4" s="137" t="s">
        <v>7074</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7075</v>
      </c>
      <c r="K4" s="321" t="str">
        <f>IFERROR(__xludf.DUMMYFUNCTION("GOOGLETRANSLATE(A4,""zh-tw"",""KO"")"),"당근 우유")</f>
        <v>당근 우유</v>
      </c>
      <c r="L4" s="137" t="s">
        <v>7076</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4" t="s">
        <v>7077</v>
      </c>
      <c r="P4" s="137" t="s">
        <v>7078</v>
      </c>
      <c r="Q4" s="322" t="s">
        <v>7079</v>
      </c>
      <c r="R4" s="47" t="s">
        <v>7080</v>
      </c>
      <c r="S4" s="321" t="s">
        <v>7081</v>
      </c>
      <c r="T4" s="143" t="s">
        <v>7082</v>
      </c>
      <c r="U4" s="30"/>
      <c r="V4" s="30"/>
    </row>
    <row r="5">
      <c r="A5" s="314" t="s">
        <v>7083</v>
      </c>
      <c r="B5" s="137" t="s">
        <v>7084</v>
      </c>
      <c r="C5" s="314" t="s">
        <v>7085</v>
      </c>
      <c r="D5" s="137" t="s">
        <v>7086</v>
      </c>
      <c r="E5" s="314" t="s">
        <v>7087</v>
      </c>
      <c r="F5" s="137" t="s">
        <v>7088</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7089</v>
      </c>
      <c r="K5" s="314" t="s">
        <v>7090</v>
      </c>
      <c r="L5" s="143" t="str">
        <f>IFERROR(__xludf.DUMMYFUNCTION("GOOGLETRANSLATE(B5,""zh-tw"",""KO"")"),"체력을 75 회복하고 공격력을 50% 증가시킵니다.")</f>
        <v>체력을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7091</v>
      </c>
      <c r="P5" s="137" t="s">
        <v>7092</v>
      </c>
      <c r="Q5" s="322" t="s">
        <v>7093</v>
      </c>
      <c r="R5" s="47" t="s">
        <v>7094</v>
      </c>
      <c r="S5" s="321" t="s">
        <v>7095</v>
      </c>
      <c r="T5" s="143" t="s">
        <v>7096</v>
      </c>
      <c r="U5" s="30"/>
      <c r="V5" s="30"/>
    </row>
    <row r="6">
      <c r="A6" s="314" t="s">
        <v>7097</v>
      </c>
      <c r="B6" s="137" t="s">
        <v>7098</v>
      </c>
      <c r="C6" s="314" t="s">
        <v>7099</v>
      </c>
      <c r="D6" s="137" t="s">
        <v>7100</v>
      </c>
      <c r="E6" s="314" t="s">
        <v>7101</v>
      </c>
      <c r="F6" s="137" t="s">
        <v>7102</v>
      </c>
      <c r="G6" s="314" t="str">
        <f>IFERROR(__xludf.DUMMYFUNCTION("GOOGLETRANSLATE(A6,""zh-tw"",""zh"")"),"蜜瓜味牛奶")</f>
        <v>蜜瓜味牛奶</v>
      </c>
      <c r="H6" s="137" t="str">
        <f>IFERROR(__xludf.DUMMYFUNCTION("GOOGLETRANSLATE(B6,""zh-tw"",""zh"")"),"回复体力75，提高50%魔力")</f>
        <v>回复体力75，提高50%魔力</v>
      </c>
      <c r="I6" s="314" t="s">
        <v>7103</v>
      </c>
      <c r="J6" s="137" t="s">
        <v>7104</v>
      </c>
      <c r="K6" s="314" t="s">
        <v>7105</v>
      </c>
      <c r="L6" s="143" t="str">
        <f>IFERROR(__xludf.DUMMYFUNCTION("GOOGLETRANSLATE(B6,""zh-tw"",""KO"")"),"체력을 75 회복하고 마법력을 50% 증가시킵니다.")</f>
        <v>체력을 75 회복하고 마법력을 50% 증가시킵니다.</v>
      </c>
      <c r="M6" s="321" t="str">
        <f>IFERROR(__xludf.DUMMYFUNCTION("GOOGLETRANSLATE(A6,""zh-tw"",""ru"")"),"Молоко со вкусом дыни Honeydew")</f>
        <v>Молоко со вкусом дыни Honeydew</v>
      </c>
      <c r="N6" s="143"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4" t="s">
        <v>7106</v>
      </c>
      <c r="P6" s="137" t="s">
        <v>7107</v>
      </c>
      <c r="Q6" s="322" t="s">
        <v>7108</v>
      </c>
      <c r="R6" s="47" t="s">
        <v>7109</v>
      </c>
      <c r="S6" s="321" t="s">
        <v>7110</v>
      </c>
      <c r="T6" s="143" t="s">
        <v>7111</v>
      </c>
      <c r="U6" s="30"/>
      <c r="V6" s="30"/>
    </row>
    <row r="7">
      <c r="A7" s="314" t="s">
        <v>7112</v>
      </c>
      <c r="B7" s="137" t="s">
        <v>7113</v>
      </c>
      <c r="C7" s="314" t="s">
        <v>7114</v>
      </c>
      <c r="D7" s="137" t="s">
        <v>7115</v>
      </c>
      <c r="E7" s="314" t="s">
        <v>7116</v>
      </c>
      <c r="F7" s="137" t="s">
        <v>7117</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7118</v>
      </c>
      <c r="K7" s="321" t="str">
        <f>IFERROR(__xludf.DUMMYFUNCTION("GOOGLETRANSLATE(A7,""zh-tw"",""KO"")"),"바나나맛 우유")</f>
        <v>바나나맛 우유</v>
      </c>
      <c r="L7" s="137" t="s">
        <v>7119</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7120</v>
      </c>
      <c r="P7" s="137" t="s">
        <v>7121</v>
      </c>
      <c r="Q7" s="322" t="s">
        <v>7122</v>
      </c>
      <c r="R7" s="47" t="s">
        <v>7123</v>
      </c>
      <c r="S7" s="321" t="s">
        <v>7124</v>
      </c>
      <c r="T7" s="143" t="s">
        <v>7125</v>
      </c>
      <c r="U7" s="30"/>
      <c r="V7" s="30"/>
    </row>
    <row r="8">
      <c r="A8" s="314" t="s">
        <v>7126</v>
      </c>
      <c r="B8" s="137" t="s">
        <v>7127</v>
      </c>
      <c r="C8" s="314" t="s">
        <v>7128</v>
      </c>
      <c r="D8" s="137" t="s">
        <v>7129</v>
      </c>
      <c r="E8" s="314" t="s">
        <v>7130</v>
      </c>
      <c r="F8" s="137" t="s">
        <v>7131</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7132</v>
      </c>
      <c r="K8" s="314" t="s">
        <v>7133</v>
      </c>
      <c r="L8" s="143" t="str">
        <f>IFERROR(__xludf.DUMMYFUNCTION("GOOGLETRANSLATE(B8,""zh-tw"",""KO"")"),"78의 체력을 회복하고 무적 효과를 부여합니다.
(아직 구현되지 않음)")</f>
        <v>78의 체력을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7134</v>
      </c>
      <c r="P8" s="137" t="s">
        <v>7135</v>
      </c>
      <c r="Q8" s="322" t="s">
        <v>7136</v>
      </c>
      <c r="R8" s="47" t="s">
        <v>7137</v>
      </c>
      <c r="S8" s="337" t="s">
        <v>7130</v>
      </c>
      <c r="T8" s="143" t="s">
        <v>7138</v>
      </c>
      <c r="U8" s="30"/>
      <c r="V8" s="30"/>
    </row>
    <row r="9">
      <c r="A9" s="314" t="s">
        <v>7139</v>
      </c>
      <c r="B9" s="137" t="s">
        <v>7140</v>
      </c>
      <c r="C9" s="314" t="s">
        <v>7141</v>
      </c>
      <c r="D9" s="137" t="s">
        <v>7142</v>
      </c>
      <c r="E9" s="314" t="s">
        <v>7143</v>
      </c>
      <c r="F9" s="137" t="s">
        <v>7144</v>
      </c>
      <c r="G9" s="314" t="str">
        <f>IFERROR(__xludf.DUMMYFUNCTION("GOOGLETRANSLATE(A9,""zh-tw"",""zh"")"),"逆流可乐")</f>
        <v>逆流可乐</v>
      </c>
      <c r="H9" s="137" t="str">
        <f>IFERROR(__xludf.DUMMYFUNCTION("GOOGLETRANSLATE(B9,""zh-tw"",""zh"")"),"(战斗效果未实装)")</f>
        <v>(战斗效果未实装)</v>
      </c>
      <c r="I9" s="314" t="s">
        <v>7143</v>
      </c>
      <c r="J9" s="137" t="s">
        <v>7145</v>
      </c>
      <c r="K9" s="314" t="s">
        <v>7146</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7143</v>
      </c>
      <c r="P9" s="137" t="s">
        <v>7147</v>
      </c>
      <c r="Q9" s="322" t="s">
        <v>7143</v>
      </c>
      <c r="R9" s="47" t="s">
        <v>7148</v>
      </c>
      <c r="S9" s="321" t="s">
        <v>7149</v>
      </c>
      <c r="T9" s="143" t="s">
        <v>7150</v>
      </c>
      <c r="U9" s="30"/>
      <c r="V9" s="30"/>
    </row>
    <row r="10">
      <c r="A10" s="314" t="s">
        <v>7151</v>
      </c>
      <c r="B10" s="137" t="s">
        <v>7152</v>
      </c>
      <c r="C10" s="314" t="s">
        <v>7153</v>
      </c>
      <c r="D10" s="137" t="s">
        <v>7154</v>
      </c>
      <c r="E10" s="314" t="s">
        <v>7155</v>
      </c>
      <c r="F10" s="137" t="s">
        <v>7156</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7157</v>
      </c>
      <c r="K10" s="314" t="s">
        <v>7158</v>
      </c>
      <c r="L10" s="137" t="s">
        <v>7159</v>
      </c>
      <c r="M10" s="321" t="str">
        <f>IFERROR(__xludf.DUMMYFUNCTION("GOOGLETRANSLATE(A10,""zh-tw"",""ru"")"),"Розовый Конпейто")</f>
        <v>Розовый Конпейто</v>
      </c>
      <c r="N10" s="143"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4" t="s">
        <v>7160</v>
      </c>
      <c r="P10" s="137" t="s">
        <v>7161</v>
      </c>
      <c r="Q10" s="322" t="s">
        <v>7162</v>
      </c>
      <c r="R10" s="47" t="s">
        <v>7163</v>
      </c>
      <c r="S10" s="314" t="s">
        <v>7164</v>
      </c>
      <c r="T10" s="143" t="s">
        <v>7165</v>
      </c>
      <c r="U10" s="30"/>
      <c r="V10" s="30"/>
    </row>
    <row r="11">
      <c r="A11" s="314" t="s">
        <v>7166</v>
      </c>
      <c r="B11" s="137" t="s">
        <v>7167</v>
      </c>
      <c r="C11" s="314" t="s">
        <v>7168</v>
      </c>
      <c r="D11" s="137" t="s">
        <v>7169</v>
      </c>
      <c r="E11" s="314" t="s">
        <v>7170</v>
      </c>
      <c r="F11" s="137" t="s">
        <v>7171</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7172</v>
      </c>
      <c r="K11" s="314" t="s">
        <v>7173</v>
      </c>
      <c r="L11" s="137" t="s">
        <v>7174</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4" t="s">
        <v>7175</v>
      </c>
      <c r="P11" s="137" t="s">
        <v>7176</v>
      </c>
      <c r="Q11" s="322" t="s">
        <v>7177</v>
      </c>
      <c r="R11" s="47" t="s">
        <v>7178</v>
      </c>
      <c r="S11" s="314" t="s">
        <v>7179</v>
      </c>
      <c r="T11" s="143" t="s">
        <v>7180</v>
      </c>
      <c r="U11" s="30"/>
      <c r="V11" s="30"/>
    </row>
    <row r="12">
      <c r="A12" s="314" t="s">
        <v>7181</v>
      </c>
      <c r="B12" s="137" t="s">
        <v>7182</v>
      </c>
      <c r="C12" s="314" t="s">
        <v>7183</v>
      </c>
      <c r="D12" s="137" t="s">
        <v>668</v>
      </c>
      <c r="E12" s="314" t="s">
        <v>7184</v>
      </c>
      <c r="F12" s="137" t="s">
        <v>7185</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7186</v>
      </c>
      <c r="K12" s="314" t="s">
        <v>7187</v>
      </c>
      <c r="L12" s="143" t="str">
        <f>IFERROR(__xludf.DUMMYFUNCTION("GOOGLETRANSLATE(B12,""zh-tw"",""KO"")"),"해당 효과가 구현되지 않았습니다.")</f>
        <v>해당 효과가 구현되지 않았습니다.</v>
      </c>
      <c r="M12" s="321" t="str">
        <f>IFERROR(__xludf.DUMMYFUNCTION("GOOGLETRANSLATE(A12,""zh-tw"",""ru"")"),"Зеленый Кинпэйто")</f>
        <v>Зеленый Кинпэйто</v>
      </c>
      <c r="N12" s="143" t="str">
        <f>IFERROR(__xludf.DUMMYFUNCTION("GOOGLETRANSLATE(B12,""zh-tw"",""ru"")"),"Эффект не был реализован.")</f>
        <v>Эффект не был реализован.</v>
      </c>
      <c r="O12" s="314" t="s">
        <v>7188</v>
      </c>
      <c r="P12" s="137" t="s">
        <v>3095</v>
      </c>
      <c r="Q12" s="322" t="s">
        <v>7189</v>
      </c>
      <c r="R12" s="47" t="s">
        <v>7190</v>
      </c>
      <c r="S12" s="321" t="s">
        <v>7191</v>
      </c>
      <c r="T12" s="143" t="s">
        <v>7192</v>
      </c>
      <c r="U12" s="30"/>
      <c r="V12" s="30"/>
    </row>
    <row r="13">
      <c r="A13" s="314" t="s">
        <v>7193</v>
      </c>
      <c r="B13" s="137" t="s">
        <v>7194</v>
      </c>
      <c r="C13" s="314" t="s">
        <v>7195</v>
      </c>
      <c r="D13" s="137" t="s">
        <v>7196</v>
      </c>
      <c r="E13" s="314" t="s">
        <v>7197</v>
      </c>
      <c r="F13" s="137" t="s">
        <v>7198</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7199</v>
      </c>
      <c r="J13" s="137" t="s">
        <v>7200</v>
      </c>
      <c r="K13" s="321" t="str">
        <f>IFERROR(__xludf.DUMMYFUNCTION("GOOGLETRANSLATE(A13,""zh-tw"",""KO"")"),"천상의 돌 조각들")</f>
        <v>천상의 돌 조각들</v>
      </c>
      <c r="L13" s="137" t="s">
        <v>7201</v>
      </c>
      <c r="M13" s="321" t="str">
        <f>IFERROR(__xludf.DUMMYFUNCTION("GOOGLETRANSLATE(A13,""zh-tw"",""ru"")"),"Фрагменты Небесного Камня")</f>
        <v>Фрагменты Небесного Камня</v>
      </c>
      <c r="N13" s="143"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4" t="s">
        <v>7202</v>
      </c>
      <c r="P13" s="137" t="s">
        <v>7203</v>
      </c>
      <c r="Q13" s="322" t="s">
        <v>7204</v>
      </c>
      <c r="R13" s="137" t="s">
        <v>7205</v>
      </c>
      <c r="S13" s="314" t="s">
        <v>7206</v>
      </c>
      <c r="T13" s="137" t="s">
        <v>7207</v>
      </c>
      <c r="U13" s="30"/>
      <c r="V13" s="30"/>
    </row>
    <row r="14">
      <c r="A14" s="314" t="s">
        <v>7208</v>
      </c>
      <c r="B14" s="137" t="s">
        <v>7209</v>
      </c>
      <c r="C14" s="314" t="s">
        <v>7210</v>
      </c>
      <c r="D14" s="137" t="s">
        <v>7211</v>
      </c>
      <c r="E14" s="314" t="s">
        <v>7212</v>
      </c>
      <c r="F14" s="137" t="s">
        <v>7213</v>
      </c>
      <c r="G14" s="314" t="str">
        <f>IFERROR(__xludf.DUMMYFUNCTION("GOOGLETRANSLATE(A14,""zh-tw"",""zh"")"),"卢恩符文A")</f>
        <v>卢恩符文A</v>
      </c>
      <c r="H14" s="137" t="s">
        <v>7214</v>
      </c>
      <c r="I14" s="321" t="str">
        <f>IFERROR(__xludf.DUMMYFUNCTION("GOOGLETRANSLATE(A14,""zh-tw"",""es-MX"")"),"Runa A")</f>
        <v>Runa A</v>
      </c>
      <c r="J14" s="137" t="s">
        <v>7215</v>
      </c>
      <c r="K14" s="314" t="s">
        <v>7216</v>
      </c>
      <c r="L14" s="137" t="s">
        <v>7217</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7218</v>
      </c>
      <c r="P14" s="137" t="s">
        <v>7219</v>
      </c>
      <c r="Q14" s="314" t="s">
        <v>7220</v>
      </c>
      <c r="R14" s="47" t="s">
        <v>7221</v>
      </c>
      <c r="S14" s="314" t="s">
        <v>7222</v>
      </c>
      <c r="T14" s="143" t="s">
        <v>7223</v>
      </c>
      <c r="U14" s="30"/>
      <c r="V14" s="30"/>
    </row>
    <row r="15">
      <c r="A15" s="314" t="s">
        <v>7224</v>
      </c>
      <c r="B15" s="137" t="s">
        <v>7225</v>
      </c>
      <c r="C15" s="314" t="s">
        <v>7226</v>
      </c>
      <c r="D15" s="137" t="s">
        <v>7227</v>
      </c>
      <c r="E15" s="314" t="s">
        <v>7228</v>
      </c>
      <c r="F15" s="137" t="s">
        <v>7229</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7230</v>
      </c>
      <c r="K15" s="314" t="s">
        <v>7231</v>
      </c>
      <c r="L15" s="137" t="s">
        <v>7232</v>
      </c>
      <c r="M15" s="321" t="str">
        <f>IFERROR(__xludf.DUMMYFUNCTION("GOOGLETRANSLATE(A15,""zh-tw"",""ru"")"),"Руна R")</f>
        <v>Руна R</v>
      </c>
      <c r="N15" s="143"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4" t="s">
        <v>7233</v>
      </c>
      <c r="P15" s="137" t="s">
        <v>7234</v>
      </c>
      <c r="Q15" s="314" t="s">
        <v>7235</v>
      </c>
      <c r="R15" s="47" t="s">
        <v>7236</v>
      </c>
      <c r="S15" s="314" t="s">
        <v>7237</v>
      </c>
      <c r="T15" s="143" t="s">
        <v>7238</v>
      </c>
      <c r="U15" s="30"/>
      <c r="V15" s="30"/>
    </row>
    <row r="16">
      <c r="A16" s="314" t="s">
        <v>7239</v>
      </c>
      <c r="B16" s="137" t="s">
        <v>7240</v>
      </c>
      <c r="C16" s="314" t="s">
        <v>7241</v>
      </c>
      <c r="D16" s="137" t="s">
        <v>7242</v>
      </c>
      <c r="E16" s="314" t="s">
        <v>7243</v>
      </c>
      <c r="F16" s="137" t="s">
        <v>7244</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7245</v>
      </c>
      <c r="K16" s="314" t="s">
        <v>7246</v>
      </c>
      <c r="L16" s="137" t="s">
        <v>7247</v>
      </c>
      <c r="M16" s="321" t="str">
        <f>IFERROR(__xludf.DUMMYFUNCTION("GOOGLETRANSLATE(A16,""zh-tw"",""ru"")"),"Руна E")</f>
        <v>Руна E</v>
      </c>
      <c r="N16" s="143" t="str">
        <f>IFERROR(__xludf.DUMMYFUNCTION("GOOGLETRANSLATE(B16,""zh-tw"",""ru"")"),"После броска поменяйтесь местами с целью.")</f>
        <v>После броска поменяйтесь местами с целью.</v>
      </c>
      <c r="O16" s="314" t="s">
        <v>7248</v>
      </c>
      <c r="P16" s="137" t="s">
        <v>7249</v>
      </c>
      <c r="Q16" s="314" t="s">
        <v>7250</v>
      </c>
      <c r="R16" s="47" t="s">
        <v>7251</v>
      </c>
      <c r="S16" s="314" t="s">
        <v>7252</v>
      </c>
      <c r="T16" s="143" t="s">
        <v>7253</v>
      </c>
      <c r="U16" s="30"/>
      <c r="V16" s="30"/>
    </row>
    <row r="17">
      <c r="A17" s="322" t="s">
        <v>7254</v>
      </c>
      <c r="B17" s="143" t="s">
        <v>7255</v>
      </c>
      <c r="C17" s="321" t="s">
        <v>7256</v>
      </c>
      <c r="D17" s="143" t="s">
        <v>7257</v>
      </c>
      <c r="E17" s="321" t="s">
        <v>7258</v>
      </c>
      <c r="F17" s="143" t="s">
        <v>7259</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만듭니다. 목표물의 크기에 따라 폭발 반경을 조정하세요.")</f>
        <v>목표물을 폭탄으로 만듭니다. 목표물의 크기에 따라 폭발 반경을 조정하세요.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7258</v>
      </c>
      <c r="P17" s="143" t="s">
        <v>7259</v>
      </c>
      <c r="Q17" s="314" t="s">
        <v>7260</v>
      </c>
      <c r="R17" s="143" t="s">
        <v>7261</v>
      </c>
      <c r="S17" s="314" t="s">
        <v>7262</v>
      </c>
      <c r="T17" s="137" t="s">
        <v>7263</v>
      </c>
      <c r="U17" s="30"/>
      <c r="V17" s="30"/>
    </row>
    <row r="18">
      <c r="A18" s="314" t="s">
        <v>7264</v>
      </c>
      <c r="B18" s="137" t="s">
        <v>7265</v>
      </c>
      <c r="C18" s="314" t="s">
        <v>7266</v>
      </c>
      <c r="D18" s="137" t="s">
        <v>7267</v>
      </c>
      <c r="E18" s="314" t="s">
        <v>7268</v>
      </c>
      <c r="F18" s="137" t="s">
        <v>7269</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7270</v>
      </c>
      <c r="K18" s="314" t="s">
        <v>7271</v>
      </c>
      <c r="L18" s="143" t="str">
        <f>IFERROR(__xludf.DUMMYFUNCTION("GOOGLETRANSLATE(B18,""zh-tw"",""KO"")"),"소환 가샤폰 머신")</f>
        <v>소환 가샤폰 머신</v>
      </c>
      <c r="M18" s="321" t="str">
        <f>IFERROR(__xludf.DUMMYFUNCTION("GOOGLETRANSLATE(A18,""zh-tw"",""ru"")"),"Таро - Умеренность")</f>
        <v>Таро - Умеренность</v>
      </c>
      <c r="N18" s="143" t="str">
        <f>IFERROR(__xludf.DUMMYFUNCTION("GOOGLETRANSLATE(B18,""zh-tw"",""ru"")"),"Вызов Гасяпон-машины")</f>
        <v>Вызов Гасяпон-машины</v>
      </c>
      <c r="O18" s="314" t="s">
        <v>7272</v>
      </c>
      <c r="P18" s="137" t="s">
        <v>7273</v>
      </c>
      <c r="Q18" s="322" t="s">
        <v>7268</v>
      </c>
      <c r="R18" s="47" t="s">
        <v>7274</v>
      </c>
      <c r="S18" s="321" t="s">
        <v>7275</v>
      </c>
      <c r="T18" s="143" t="s">
        <v>7276</v>
      </c>
      <c r="U18" s="30"/>
      <c r="V18" s="30"/>
    </row>
    <row r="19">
      <c r="A19" s="314" t="s">
        <v>7277</v>
      </c>
      <c r="B19" s="137" t="s">
        <v>7278</v>
      </c>
      <c r="C19" s="314" t="s">
        <v>7279</v>
      </c>
      <c r="D19" s="137" t="s">
        <v>7280</v>
      </c>
      <c r="E19" s="314" t="s">
        <v>7281</v>
      </c>
      <c r="F19" s="137" t="s">
        <v>7282</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7283</v>
      </c>
      <c r="K19" s="314" t="s">
        <v>7284</v>
      </c>
      <c r="L19" s="316" t="s">
        <v>7285</v>
      </c>
      <c r="M19" s="321" t="str">
        <f>IFERROR(__xludf.DUMMYFUNCTION("GOOGLETRANSLATE(A19,""zh-tw"",""ru"")"),"Таро - Правосудие")</f>
        <v>Таро - Правосудие</v>
      </c>
      <c r="N19" s="143" t="str">
        <f>IFERROR(__xludf.DUMMYFUNCTION("GOOGLETRANSLATE(B19,""zh-tw"",""ru"")"),"Устранить состояние")</f>
        <v>Устранить состояние</v>
      </c>
      <c r="O19" s="314" t="s">
        <v>7286</v>
      </c>
      <c r="P19" s="137" t="s">
        <v>7287</v>
      </c>
      <c r="Q19" s="322" t="s">
        <v>7281</v>
      </c>
      <c r="R19" s="137" t="s">
        <v>7288</v>
      </c>
      <c r="S19" s="321" t="s">
        <v>7289</v>
      </c>
      <c r="T19" s="143" t="s">
        <v>7290</v>
      </c>
      <c r="U19" s="30"/>
      <c r="V19" s="30"/>
    </row>
    <row r="20">
      <c r="A20" s="314" t="s">
        <v>7291</v>
      </c>
      <c r="B20" s="137" t="s">
        <v>7292</v>
      </c>
      <c r="C20" s="314" t="s">
        <v>7293</v>
      </c>
      <c r="D20" s="137" t="s">
        <v>7294</v>
      </c>
      <c r="E20" s="314" t="s">
        <v>7295</v>
      </c>
      <c r="F20" s="137" t="s">
        <v>7296</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7297</v>
      </c>
      <c r="K20" s="321" t="str">
        <f>IFERROR(__xludf.DUMMYFUNCTION("GOOGLETRANSLATE(A20,""zh-tw"",""KO"")"),"타로 카드 - 힘")</f>
        <v>타로 카드 - 힘</v>
      </c>
      <c r="L20" s="137" t="s">
        <v>7298</v>
      </c>
      <c r="M20" s="321" t="str">
        <f>IFERROR(__xludf.DUMMYFUNCTION("GOOGLETRANSLATE(A20,""zh-tw"",""ru"")"),"Карта Таро — Сила")</f>
        <v>Карта Таро — Сила</v>
      </c>
      <c r="N20" s="143" t="str">
        <f>IFERROR(__xludf.DUMMYFUNCTION("GOOGLETRANSLATE(B20,""zh-tw"",""ru"")"),"Улучшение увеличения оружия")</f>
        <v>Улучшение увеличения оружия</v>
      </c>
      <c r="O20" s="314" t="s">
        <v>7299</v>
      </c>
      <c r="P20" s="137" t="s">
        <v>7300</v>
      </c>
      <c r="Q20" s="322" t="s">
        <v>7295</v>
      </c>
      <c r="R20" s="47" t="s">
        <v>7301</v>
      </c>
      <c r="S20" s="321" t="s">
        <v>7302</v>
      </c>
      <c r="T20" s="143" t="s">
        <v>7303</v>
      </c>
      <c r="U20" s="30"/>
      <c r="V20" s="30"/>
    </row>
    <row r="21">
      <c r="A21" s="314" t="s">
        <v>7304</v>
      </c>
      <c r="B21" s="137" t="s">
        <v>7305</v>
      </c>
      <c r="C21" s="314" t="s">
        <v>7306</v>
      </c>
      <c r="D21" s="137" t="s">
        <v>7307</v>
      </c>
      <c r="E21" s="314" t="s">
        <v>7308</v>
      </c>
      <c r="F21" s="137" t="s">
        <v>7309</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7310</v>
      </c>
      <c r="K21" s="321" t="str">
        <f>IFERROR(__xludf.DUMMYFUNCTION("GOOGLETRANSLATE(A21,""zh-tw"",""KO"")"),"타로 - 황제")</f>
        <v>타로 - 황제</v>
      </c>
      <c r="L21" s="137" t="s">
        <v>7311</v>
      </c>
      <c r="M21" s="321" t="str">
        <f>IFERROR(__xludf.DUMMYFUNCTION("GOOGLETRANSLATE(A21,""zh-tw"",""ru"")"),"Таро - Император")</f>
        <v>Таро - Император</v>
      </c>
      <c r="N21" s="143" t="str">
        <f>IFERROR(__xludf.DUMMYFUNCTION("GOOGLETRANSLATE(B21,""zh-tw"",""ru"")"),"Рев Дракона")</f>
        <v>Рев Дракона</v>
      </c>
      <c r="O21" s="314" t="s">
        <v>7312</v>
      </c>
      <c r="P21" s="137" t="s">
        <v>7313</v>
      </c>
      <c r="Q21" s="322" t="s">
        <v>7308</v>
      </c>
      <c r="R21" s="47" t="s">
        <v>7314</v>
      </c>
      <c r="S21" s="321" t="s">
        <v>7315</v>
      </c>
      <c r="T21" s="143" t="s">
        <v>7316</v>
      </c>
      <c r="U21" s="30"/>
      <c r="V21" s="30"/>
    </row>
    <row r="22">
      <c r="A22" s="314" t="s">
        <v>7317</v>
      </c>
      <c r="B22" s="137" t="s">
        <v>7318</v>
      </c>
      <c r="C22" s="314" t="str">
        <f>IFERROR(__xludf.DUMMYFUNCTION("GOOGLETRANSLATE(A22,""zh-tw"",""ja"")"),"タロット - 星")</f>
        <v>タロット - 星</v>
      </c>
      <c r="D22" s="137" t="s">
        <v>7319</v>
      </c>
      <c r="E22" s="314" t="s">
        <v>7320</v>
      </c>
      <c r="F22" s="137" t="s">
        <v>7321</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7322</v>
      </c>
      <c r="K22" s="321" t="str">
        <f>IFERROR(__xludf.DUMMYFUNCTION("GOOGLETRANSLATE(A22,""zh-tw"",""KO"")"),"타로 - 별")</f>
        <v>타로 - 별</v>
      </c>
      <c r="L22" s="137" t="s">
        <v>7323</v>
      </c>
      <c r="M22" s="321" t="str">
        <f>IFERROR(__xludf.DUMMYFUNCTION("GOOGLETRANSLATE(A22,""zh-tw"",""ru"")"),"Таро - Звезда")</f>
        <v>Таро - Звезда</v>
      </c>
      <c r="N22" s="143" t="str">
        <f>IFERROR(__xludf.DUMMYFUNCTION("GOOGLETRANSLATE(B22,""zh-tw"",""ru"")"),"Звездные Врата")</f>
        <v>Звездные Врата</v>
      </c>
      <c r="O22" s="314" t="s">
        <v>7324</v>
      </c>
      <c r="P22" s="137" t="s">
        <v>7325</v>
      </c>
      <c r="Q22" s="322" t="s">
        <v>7320</v>
      </c>
      <c r="R22" s="47" t="s">
        <v>7326</v>
      </c>
      <c r="S22" s="321" t="s">
        <v>7327</v>
      </c>
      <c r="T22" s="137" t="s">
        <v>7328</v>
      </c>
      <c r="U22" s="30"/>
      <c r="V22" s="30"/>
    </row>
    <row r="23">
      <c r="A23" s="314" t="s">
        <v>7329</v>
      </c>
      <c r="B23" s="137" t="s">
        <v>7330</v>
      </c>
      <c r="C23" s="314" t="s">
        <v>7331</v>
      </c>
      <c r="D23" s="137" t="s">
        <v>7332</v>
      </c>
      <c r="E23" s="314" t="s">
        <v>7333</v>
      </c>
      <c r="F23" s="137" t="s">
        <v>7334</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7335</v>
      </c>
      <c r="K23" s="314" t="s">
        <v>7336</v>
      </c>
      <c r="L23" s="143" t="str">
        <f>IFERROR(__xludf.DUMMYFUNCTION("GOOGLETRANSLATE(B23,""zh-tw"",""KO"")"),"고양이 소녀 상점 카트 소환")</f>
        <v>고양이 소녀 상점 카트 소환</v>
      </c>
      <c r="M23" s="321" t="str">
        <f>IFERROR(__xludf.DUMMYFUNCTION("GOOGLETRANSLATE(A23,""zh-tw"",""ru"")"),"Карта Таро - Колесница")</f>
        <v>Карта Таро - Колесница</v>
      </c>
      <c r="N23" s="143" t="str">
        <f>IFERROR(__xludf.DUMMYFUNCTION("GOOGLETRANSLATE(B23,""zh-tw"",""ru"")"),"Корзина магазина «Призыв девушки-кошки»")</f>
        <v>Корзина магазина «Призыв девушки-кошки»</v>
      </c>
      <c r="O23" s="314" t="s">
        <v>7337</v>
      </c>
      <c r="P23" s="137" t="s">
        <v>7338</v>
      </c>
      <c r="Q23" s="322" t="s">
        <v>7333</v>
      </c>
      <c r="R23" s="47" t="s">
        <v>7339</v>
      </c>
      <c r="S23" s="321" t="s">
        <v>7340</v>
      </c>
      <c r="T23" s="143" t="s">
        <v>7341</v>
      </c>
      <c r="U23" s="30"/>
      <c r="V23" s="30"/>
    </row>
    <row r="24">
      <c r="A24" s="314" t="s">
        <v>7342</v>
      </c>
      <c r="B24" s="137" t="s">
        <v>7343</v>
      </c>
      <c r="C24" s="314" t="s">
        <v>7344</v>
      </c>
      <c r="D24" s="137" t="s">
        <v>7345</v>
      </c>
      <c r="E24" s="314" t="s">
        <v>7346</v>
      </c>
      <c r="F24" s="137" t="s">
        <v>7347</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7348</v>
      </c>
      <c r="K24" s="314" t="s">
        <v>7349</v>
      </c>
      <c r="L24" s="137" t="s">
        <v>7350</v>
      </c>
      <c r="M24" s="321" t="str">
        <f>IFERROR(__xludf.DUMMYFUNCTION("GOOGLETRANSLATE(A24,""zh-tw"",""ru"")"),"Таро - Верховная Жрица")</f>
        <v>Таро - Верховная Жрица</v>
      </c>
      <c r="N24" s="143" t="str">
        <f>IFERROR(__xludf.DUMMYFUNCTION("GOOGLETRANSLATE(B24,""zh-tw"",""ru"")"),"Церковь призыва")</f>
        <v>Церковь призыва</v>
      </c>
      <c r="O24" s="314" t="s">
        <v>7351</v>
      </c>
      <c r="P24" s="137" t="s">
        <v>7352</v>
      </c>
      <c r="Q24" s="322" t="s">
        <v>7346</v>
      </c>
      <c r="R24" s="47" t="s">
        <v>7353</v>
      </c>
      <c r="S24" s="321" t="s">
        <v>7354</v>
      </c>
      <c r="T24" s="143" t="s">
        <v>7355</v>
      </c>
      <c r="U24" s="30"/>
      <c r="V24" s="30"/>
    </row>
    <row r="25">
      <c r="A25" s="314" t="s">
        <v>7356</v>
      </c>
      <c r="B25" s="137" t="s">
        <v>7357</v>
      </c>
      <c r="C25" s="314" t="s">
        <v>7358</v>
      </c>
      <c r="D25" s="137" t="s">
        <v>7359</v>
      </c>
      <c r="E25" s="314" t="s">
        <v>7360</v>
      </c>
      <c r="F25" s="137" t="s">
        <v>7361</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7362</v>
      </c>
      <c r="K25" s="314" t="s">
        <v>7363</v>
      </c>
      <c r="L25" s="137" t="s">
        <v>7364</v>
      </c>
      <c r="M25" s="321" t="str">
        <f>IFERROR(__xludf.DUMMYFUNCTION("GOOGLETRANSLATE(A25,""zh-tw"",""ru"")"),"Таро - Колесо Фортуны")</f>
        <v>Таро - Колесо Фортуны</v>
      </c>
      <c r="N25" s="143" t="str">
        <f>IFERROR(__xludf.DUMMYFUNCTION("GOOGLETRANSLATE(B25,""zh-tw"",""ru"")"),"Случайные положительные эффекты")</f>
        <v>Случайные положительные эффекты</v>
      </c>
      <c r="O25" s="314" t="s">
        <v>7365</v>
      </c>
      <c r="P25" s="137" t="s">
        <v>7366</v>
      </c>
      <c r="Q25" s="322" t="s">
        <v>7360</v>
      </c>
      <c r="R25" s="47" t="s">
        <v>7367</v>
      </c>
      <c r="S25" s="321" t="s">
        <v>7368</v>
      </c>
      <c r="T25" s="143" t="s">
        <v>7369</v>
      </c>
      <c r="U25" s="30"/>
      <c r="V25" s="30"/>
    </row>
    <row r="26">
      <c r="A26" s="314" t="s">
        <v>7370</v>
      </c>
      <c r="B26" s="137" t="s">
        <v>7371</v>
      </c>
      <c r="C26" s="314" t="s">
        <v>7372</v>
      </c>
      <c r="D26" s="137" t="s">
        <v>7373</v>
      </c>
      <c r="E26" s="314" t="s">
        <v>7374</v>
      </c>
      <c r="F26" s="137" t="s">
        <v>7375</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7376</v>
      </c>
      <c r="K26" s="321" t="str">
        <f>IFERROR(__xludf.DUMMYFUNCTION("GOOGLETRANSLATE(A26,""zh-tw"",""KO"")"),"타로 - 세계")</f>
        <v>타로 - 세계</v>
      </c>
      <c r="L26" s="137" t="s">
        <v>7377</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7378</v>
      </c>
      <c r="P26" s="137" t="s">
        <v>7379</v>
      </c>
      <c r="Q26" s="322" t="s">
        <v>7374</v>
      </c>
      <c r="R26" s="47" t="s">
        <v>7380</v>
      </c>
      <c r="S26" s="321" t="s">
        <v>7381</v>
      </c>
      <c r="T26" s="143" t="s">
        <v>7382</v>
      </c>
      <c r="U26" s="30"/>
      <c r="V26" s="30"/>
    </row>
    <row r="27">
      <c r="A27" s="314" t="s">
        <v>7383</v>
      </c>
      <c r="B27" s="137" t="s">
        <v>7384</v>
      </c>
      <c r="C27" s="314" t="s">
        <v>7385</v>
      </c>
      <c r="D27" s="143" t="str">
        <f>IFERROR(__xludf.DUMMYFUNCTION("GOOGLETRANSLATE(B27,""zh-tw"",""ja"")"),"一定時間内に1回復活することができます。")</f>
        <v>一定時間内に1回復活することができます。</v>
      </c>
      <c r="E27" s="314" t="s">
        <v>7386</v>
      </c>
      <c r="F27" s="137" t="s">
        <v>7387</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7388</v>
      </c>
      <c r="K27" s="354" t="s">
        <v>7389</v>
      </c>
      <c r="L27" s="137" t="s">
        <v>7390</v>
      </c>
      <c r="M27" s="321" t="str">
        <f>IFERROR(__xludf.DUMMYFUNCTION("GOOGLETRANSLATE(A27,""zh-tw"",""ru"")"),"Таро - Солнце")</f>
        <v>Таро - Солнце</v>
      </c>
      <c r="N27" s="143"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4" t="s">
        <v>7391</v>
      </c>
      <c r="P27" s="137" t="s">
        <v>7392</v>
      </c>
      <c r="Q27" s="322" t="s">
        <v>7386</v>
      </c>
      <c r="R27" s="47" t="s">
        <v>7393</v>
      </c>
      <c r="S27" s="321" t="s">
        <v>7394</v>
      </c>
      <c r="T27" s="143" t="s">
        <v>7395</v>
      </c>
      <c r="U27" s="30"/>
      <c r="V27" s="30"/>
    </row>
    <row r="28">
      <c r="A28" s="322" t="s">
        <v>7396</v>
      </c>
      <c r="B28" s="137" t="s">
        <v>7397</v>
      </c>
      <c r="C28" s="322" t="s">
        <v>7398</v>
      </c>
      <c r="D28" s="137" t="s">
        <v>7399</v>
      </c>
      <c r="E28" s="322" t="s">
        <v>7400</v>
      </c>
      <c r="F28" s="47" t="s">
        <v>7401</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7402</v>
      </c>
      <c r="K28" s="321" t="str">
        <f>IFERROR(__xludf.DUMMYFUNCTION("GOOGLETRANSLATE(A28,""zh-tw"",""KO"")"),"타로 카드 - 죽음")</f>
        <v>타로 카드 - 죽음</v>
      </c>
      <c r="L28" s="143"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1" t="str">
        <f>IFERROR(__xludf.DUMMYFUNCTION("GOOGLETRANSLATE(A28,""zh-tw"",""ru"")"),"Карта Таро - Смерть")</f>
        <v>Карта Таро - Смерть</v>
      </c>
      <c r="N28" s="143"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4" t="s">
        <v>7403</v>
      </c>
      <c r="P28" s="137" t="s">
        <v>7404</v>
      </c>
      <c r="Q28" s="322" t="s">
        <v>7400</v>
      </c>
      <c r="R28" s="47" t="s">
        <v>7405</v>
      </c>
      <c r="S28" s="321" t="s">
        <v>7406</v>
      </c>
      <c r="T28" s="143" t="s">
        <v>7407</v>
      </c>
      <c r="U28" s="30"/>
      <c r="V28" s="30"/>
    </row>
    <row r="29">
      <c r="A29" s="314" t="s">
        <v>7408</v>
      </c>
      <c r="B29" s="137" t="s">
        <v>7409</v>
      </c>
      <c r="C29" s="314" t="str">
        <f>IFERROR(__xludf.DUMMYFUNCTION("GOOGLETRANSLATE(A29,""zh-tw"",""ja"")"),"ジャック・ボム")</f>
        <v>ジャック・ボム</v>
      </c>
      <c r="D29" s="137" t="s">
        <v>7410</v>
      </c>
      <c r="E29" s="314" t="s">
        <v>7411</v>
      </c>
      <c r="F29" s="137" t="s">
        <v>7412</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7413</v>
      </c>
      <c r="K29" s="314" t="s">
        <v>7414</v>
      </c>
      <c r="L29" s="143" t="str">
        <f>IFERROR(__xludf.DUMMYFUNCTION("GOOGLETRANSLATE(B29,""zh-tw"",""KO"")"),"폭탄(방어 무시)")</f>
        <v>폭탄(방어 무시)</v>
      </c>
      <c r="M29" s="321" t="str">
        <f>IFERROR(__xludf.DUMMYFUNCTION("GOOGLETRANSLATE(A29,""zh-tw"",""ru"")"),"Джек Бомба")</f>
        <v>Джек Бомба</v>
      </c>
      <c r="N29" s="143" t="str">
        <f>IFERROR(__xludf.DUMMYFUNCTION("GOOGLETRANSLATE(B29,""zh-tw"",""ru"")"),"Бомба (игнорирует защиту)")</f>
        <v>Бомба (игнорирует защиту)</v>
      </c>
      <c r="O29" s="314" t="s">
        <v>7415</v>
      </c>
      <c r="P29" s="137" t="s">
        <v>7416</v>
      </c>
      <c r="Q29" s="322" t="s">
        <v>7411</v>
      </c>
      <c r="R29" s="47" t="s">
        <v>7417</v>
      </c>
      <c r="S29" s="321" t="s">
        <v>7418</v>
      </c>
      <c r="T29" s="143" t="s">
        <v>7419</v>
      </c>
      <c r="U29" s="30"/>
      <c r="V29" s="30"/>
    </row>
    <row r="30">
      <c r="A30" s="314" t="s">
        <v>7420</v>
      </c>
      <c r="B30" s="137" t="s">
        <v>7421</v>
      </c>
      <c r="C30" s="314" t="s">
        <v>7422</v>
      </c>
      <c r="D30" s="137" t="s">
        <v>7423</v>
      </c>
      <c r="E30" s="314" t="s">
        <v>7424</v>
      </c>
      <c r="F30" s="137" t="s">
        <v>7425</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7426</v>
      </c>
      <c r="K30" s="321" t="str">
        <f>IFERROR(__xludf.DUMMYFUNCTION("GOOGLETRANSLATE(A30,""zh-tw"",""KO"")"),"프로스트 잭 폭탄")</f>
        <v>프로스트 잭 폭탄</v>
      </c>
      <c r="L30" s="137" t="s">
        <v>7427</v>
      </c>
      <c r="M30" s="321" t="str">
        <f>IFERROR(__xludf.DUMMYFUNCTION("GOOGLETRANSLATE(A30,""zh-tw"",""ru"")"),"Фрост Джек Бомба")</f>
        <v>Фрост Джек Бомба</v>
      </c>
      <c r="N30" s="143" t="str">
        <f>IFERROR(__xludf.DUMMYFUNCTION("GOOGLETRANSLATE(B30,""zh-tw"",""ru"")"),"Ледяная бомба")</f>
        <v>Ледяная бомба</v>
      </c>
      <c r="O30" s="314" t="s">
        <v>7428</v>
      </c>
      <c r="P30" s="137" t="s">
        <v>7429</v>
      </c>
      <c r="Q30" s="322" t="s">
        <v>7424</v>
      </c>
      <c r="R30" s="47" t="s">
        <v>7430</v>
      </c>
      <c r="S30" s="321" t="s">
        <v>7431</v>
      </c>
      <c r="T30" s="143" t="s">
        <v>7432</v>
      </c>
      <c r="U30" s="30"/>
      <c r="V30" s="30"/>
    </row>
    <row r="31">
      <c r="A31" s="314" t="s">
        <v>7433</v>
      </c>
      <c r="B31" s="137" t="s">
        <v>7434</v>
      </c>
      <c r="C31" s="314" t="s">
        <v>7435</v>
      </c>
      <c r="D31" s="137" t="s">
        <v>7436</v>
      </c>
      <c r="E31" s="314" t="s">
        <v>7437</v>
      </c>
      <c r="F31" s="137" t="s">
        <v>7438</v>
      </c>
      <c r="G31" s="314" t="str">
        <f>IFERROR(__xludf.DUMMYFUNCTION("GOOGLETRANSLATE(A31,""zh-tw"",""zh"")"),"猛毒杰克爆弹")</f>
        <v>猛毒杰克爆弹</v>
      </c>
      <c r="H31" s="137" t="str">
        <f>IFERROR(__xludf.DUMMYFUNCTION("GOOGLETRANSLATE(B31,""zh-tw"",""zh"")"),"毒属性炸弹")</f>
        <v>毒属性炸弹</v>
      </c>
      <c r="I31" s="314" t="s">
        <v>7437</v>
      </c>
      <c r="J31" s="137" t="s">
        <v>7439</v>
      </c>
      <c r="K31" s="314" t="s">
        <v>7440</v>
      </c>
      <c r="L31" s="137" t="s">
        <v>7441</v>
      </c>
      <c r="M31" s="321" t="str">
        <f>IFERROR(__xludf.DUMMYFUNCTION("GOOGLETRANSLATE(A31,""zh-tw"",""ru"")"),"Веном Джек Бомба")</f>
        <v>Веном Джек Бомба</v>
      </c>
      <c r="N31" s="143" t="str">
        <f>IFERROR(__xludf.DUMMYFUNCTION("GOOGLETRANSLATE(B31,""zh-tw"",""ru"")"),"Ядовитая бомба")</f>
        <v>Ядовитая бомба</v>
      </c>
      <c r="O31" s="314" t="s">
        <v>7442</v>
      </c>
      <c r="P31" s="137" t="s">
        <v>7443</v>
      </c>
      <c r="Q31" s="322" t="s">
        <v>7437</v>
      </c>
      <c r="R31" s="47" t="s">
        <v>7444</v>
      </c>
      <c r="S31" s="321" t="s">
        <v>7445</v>
      </c>
      <c r="T31" s="143" t="s">
        <v>7446</v>
      </c>
      <c r="U31" s="30"/>
      <c r="V31" s="30"/>
    </row>
    <row r="32">
      <c r="A32" s="314" t="s">
        <v>7447</v>
      </c>
      <c r="B32" s="137" t="s">
        <v>7448</v>
      </c>
      <c r="C32" s="314" t="s">
        <v>7449</v>
      </c>
      <c r="D32" s="137" t="s">
        <v>7450</v>
      </c>
      <c r="E32" s="314" t="s">
        <v>7451</v>
      </c>
      <c r="F32" s="137" t="s">
        <v>7452</v>
      </c>
      <c r="G32" s="314" t="str">
        <f>IFERROR(__xludf.DUMMYFUNCTION("GOOGLETRANSLATE(A32,""zh-tw"",""zh"")"),"封存的时计")</f>
        <v>封存的时计</v>
      </c>
      <c r="H32" s="137" t="str">
        <f>IFERROR(__xludf.DUMMYFUNCTION("GOOGLETRANSLATE(B32,""zh-tw"",""zh"")"),"范围暂停")</f>
        <v>范围暂停</v>
      </c>
      <c r="I32" s="314" t="s">
        <v>7453</v>
      </c>
      <c r="J32" s="137" t="s">
        <v>7454</v>
      </c>
      <c r="K32" s="314" t="s">
        <v>7455</v>
      </c>
      <c r="L32" s="137" t="s">
        <v>7456</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7457</v>
      </c>
      <c r="P32" s="137" t="s">
        <v>7458</v>
      </c>
      <c r="Q32" s="322" t="s">
        <v>7459</v>
      </c>
      <c r="R32" s="47" t="s">
        <v>7460</v>
      </c>
      <c r="S32" s="321" t="s">
        <v>7461</v>
      </c>
      <c r="T32" s="143" t="s">
        <v>7462</v>
      </c>
      <c r="U32" s="30"/>
      <c r="V32" s="30"/>
    </row>
    <row r="33">
      <c r="A33" s="314" t="s">
        <v>7463</v>
      </c>
      <c r="B33" s="137" t="s">
        <v>7464</v>
      </c>
      <c r="C33" s="314" t="str">
        <f>IFERROR(__xludf.DUMMYFUNCTION("GOOGLETRANSLATE(A33,""zh-tw"",""ja"")"),"寿司プリン")</f>
        <v>寿司プリン</v>
      </c>
      <c r="D33" s="137" t="s">
        <v>7465</v>
      </c>
      <c r="E33" s="314" t="s">
        <v>7466</v>
      </c>
      <c r="F33" s="137" t="s">
        <v>7467</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7468</v>
      </c>
      <c r="K33" s="321" t="str">
        <f>IFERROR(__xludf.DUMMYFUNCTION("GOOGLETRANSLATE(A33,""zh-tw"",""KO"")"),"스시 푸딩")</f>
        <v>스시 푸딩</v>
      </c>
      <c r="L33" s="143" t="str">
        <f>IFERROR(__xludf.DUMMYFUNCTION("GOOGLETRANSLATE(B33,""zh-tw"",""KO"")"),"악마상점 위치로 날아가세요")</f>
        <v>악마상점 위치로 날아가세요</v>
      </c>
      <c r="M33" s="321" t="str">
        <f>IFERROR(__xludf.DUMMYFUNCTION("GOOGLETRANSLATE(A33,""zh-tw"",""ru"")"),"Суши-пудинг")</f>
        <v>Суши-пудинг</v>
      </c>
      <c r="N33" s="143" t="str">
        <f>IFERROR(__xludf.DUMMYFUNCTION("GOOGLETRANSLATE(B33,""zh-tw"",""ru"")"),"Летите к месту расположения Демонического Магазина.")</f>
        <v>Летите к месту расположения Демонического Магазина.</v>
      </c>
      <c r="O33" s="314" t="s">
        <v>7466</v>
      </c>
      <c r="P33" s="137" t="s">
        <v>7469</v>
      </c>
      <c r="Q33" s="322" t="s">
        <v>7466</v>
      </c>
      <c r="R33" s="47" t="s">
        <v>7470</v>
      </c>
      <c r="S33" s="321" t="s">
        <v>7471</v>
      </c>
      <c r="T33" s="143" t="s">
        <v>7472</v>
      </c>
      <c r="U33" s="30"/>
      <c r="V33" s="30"/>
    </row>
    <row r="34">
      <c r="A34" s="314" t="s">
        <v>7473</v>
      </c>
      <c r="B34" s="137" t="s">
        <v>7474</v>
      </c>
      <c r="C34" s="314" t="str">
        <f>IFERROR(__xludf.DUMMYFUNCTION("GOOGLETRANSLATE(A34,""zh-tw"",""ja"")"),"ポラロイド 1～35")</f>
        <v>ポラロイド 1～35</v>
      </c>
      <c r="D34" s="137" t="s">
        <v>7475</v>
      </c>
      <c r="E34" s="314" t="s">
        <v>7476</v>
      </c>
      <c r="F34" s="137" t="s">
        <v>7477</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7478</v>
      </c>
      <c r="K34" s="321" t="str">
        <f>IFERROR(__xludf.DUMMYFUNCTION("GOOGLETRANSLATE(A34,""zh-tw"",""KO"")"),"폴라로이드 1~35")</f>
        <v>폴라로이드 1~35</v>
      </c>
      <c r="L34" s="143" t="str">
        <f>IFERROR(__xludf.DUMMYFUNCTION("GOOGLETRANSLATE(B34,""zh-tw"",""KO"")"),"고품질 사진 보기")</f>
        <v>고품질 사진 보기</v>
      </c>
      <c r="M34" s="321" t="str">
        <f>IFERROR(__xludf.DUMMYFUNCTION("GOOGLETRANSLATE(A34,""zh-tw"",""ru"")"),"Полароид 1~35")</f>
        <v>Полароид 1~35</v>
      </c>
      <c r="N34" s="143" t="str">
        <f>IFERROR(__xludf.DUMMYFUNCTION("GOOGLETRANSLATE(B34,""zh-tw"",""ru"")"),"Посмотреть качественные фотографии")</f>
        <v>Посмотреть качественные фотографии</v>
      </c>
      <c r="O34" s="314" t="s">
        <v>7479</v>
      </c>
      <c r="P34" s="137" t="s">
        <v>7480</v>
      </c>
      <c r="Q34" s="322" t="s">
        <v>7476</v>
      </c>
      <c r="R34" s="47" t="s">
        <v>7481</v>
      </c>
      <c r="S34" s="321" t="s">
        <v>7476</v>
      </c>
      <c r="T34" s="143" t="s">
        <v>7482</v>
      </c>
      <c r="U34" s="30"/>
      <c r="V34" s="30"/>
    </row>
    <row r="35">
      <c r="A35" s="322" t="s">
        <v>7483</v>
      </c>
      <c r="B35" s="143" t="s">
        <v>7484</v>
      </c>
      <c r="C35" s="314" t="s">
        <v>7485</v>
      </c>
      <c r="D35" s="137" t="s">
        <v>7486</v>
      </c>
      <c r="E35" s="314" t="s">
        <v>7487</v>
      </c>
      <c r="F35" s="137" t="s">
        <v>7488</v>
      </c>
      <c r="G35" s="314" t="str">
        <f>IFERROR(__xludf.DUMMYFUNCTION("GOOGLETRANSLATE(A35,""zh-tw"",""zh"")"),"茶会拍立得收藏集")</f>
        <v>茶会拍立得收藏集</v>
      </c>
      <c r="H35" s="137" t="str">
        <f>IFERROR(__xludf.DUMMYFUNCTION("GOOGLETRANSLATE(B35,""zh-tw"",""zh"")"),"完成后提升幸运值")</f>
        <v>完成后提升幸运值</v>
      </c>
      <c r="I35" s="314" t="s">
        <v>7487</v>
      </c>
      <c r="J35" s="137" t="s">
        <v>7489</v>
      </c>
      <c r="K35" s="321" t="str">
        <f>IFERROR(__xludf.DUMMYFUNCTION("GOOGLETRANSLATE(A35,""zh-tw"",""KO"")"),"티파티 폴라로이드 컬렉션")</f>
        <v>티파티 폴라로이드 컬렉션</v>
      </c>
      <c r="L35" s="143" t="str">
        <f>IFERROR(__xludf.DUMMYFUNCTION("GOOGLETRANSLATE(B35,""zh-tw"",""KO"")"),"완료 시 행운 수치 증가")</f>
        <v>완료 시 행운 수치 증가</v>
      </c>
      <c r="M35" s="321" t="str">
        <f>IFERROR(__xludf.DUMMYFUNCTION("GOOGLETRANSLATE(A35,""zh-tw"",""ru"")"),"Коллекция Polaroid «Чаепитие»")</f>
        <v>Коллекция Polaroid «Чаепитие»</v>
      </c>
      <c r="N35" s="143" t="str">
        <f>IFERROR(__xludf.DUMMYFUNCTION("GOOGLETRANSLATE(B35,""zh-tw"",""ru"")"),"Увеличьте значение удачи после завершения")</f>
        <v>Увеличьте значение удачи после завершения</v>
      </c>
      <c r="O35" s="314" t="s">
        <v>7490</v>
      </c>
      <c r="P35" s="137" t="s">
        <v>7491</v>
      </c>
      <c r="Q35" s="314" t="s">
        <v>7492</v>
      </c>
      <c r="R35" s="137" t="s">
        <v>7493</v>
      </c>
      <c r="S35" s="337" t="s">
        <v>7494</v>
      </c>
      <c r="T35" s="143" t="s">
        <v>7495</v>
      </c>
      <c r="U35" s="30"/>
      <c r="V35" s="30"/>
    </row>
    <row r="36">
      <c r="A36" s="314" t="s">
        <v>7496</v>
      </c>
      <c r="B36" s="137" t="s">
        <v>7497</v>
      </c>
      <c r="C36" s="314" t="s">
        <v>7498</v>
      </c>
      <c r="D36" s="137" t="s">
        <v>7499</v>
      </c>
      <c r="E36" s="314" t="s">
        <v>7494</v>
      </c>
      <c r="F36" s="137" t="s">
        <v>7500</v>
      </c>
      <c r="G36" s="314" t="str">
        <f>IFERROR(__xludf.DUMMYFUNCTION("GOOGLETRANSLATE(A36,""zh-tw"",""zh"")"),"魔力小凝胶")</f>
        <v>魔力小凝胶</v>
      </c>
      <c r="H36" s="137" t="str">
        <f>IFERROR(__xludf.DUMMYFUNCTION("GOOGLETRANSLATE(B36,""zh-tw"",""zh"")"),"扩充格子")</f>
        <v>扩充格子</v>
      </c>
      <c r="I36" s="314" t="s">
        <v>7501</v>
      </c>
      <c r="J36" s="137" t="s">
        <v>7502</v>
      </c>
      <c r="K36" s="315" t="s">
        <v>7503</v>
      </c>
      <c r="L36" s="143" t="str">
        <f>IFERROR(__xludf.DUMMYFUNCTION("GOOGLETRANSLATE(B36,""zh-tw"",""KO"")"),"그리드 확장")</f>
        <v>그리드 확장</v>
      </c>
      <c r="M36" s="321" t="str">
        <f>IFERROR(__xludf.DUMMYFUNCTION("GOOGLETRANSLATE(A36,""zh-tw"",""ru"")"),"Волшебный гель")</f>
        <v>Волшебный гель</v>
      </c>
      <c r="N36" s="143" t="str">
        <f>IFERROR(__xludf.DUMMYFUNCTION("GOOGLETRANSLATE(B36,""zh-tw"",""ru"")"),"Развернуть сетку")</f>
        <v>Развернуть сетку</v>
      </c>
      <c r="O36" s="314" t="s">
        <v>7504</v>
      </c>
      <c r="P36" s="137" t="s">
        <v>7505</v>
      </c>
      <c r="Q36" s="322" t="s">
        <v>7506</v>
      </c>
      <c r="R36" s="47" t="s">
        <v>7507</v>
      </c>
      <c r="S36" s="321" t="s">
        <v>7508</v>
      </c>
      <c r="T36" s="143" t="s">
        <v>7509</v>
      </c>
      <c r="U36" s="30"/>
      <c r="V36" s="30"/>
    </row>
    <row r="37">
      <c r="A37" s="314" t="s">
        <v>7510</v>
      </c>
      <c r="B37" s="137" t="s">
        <v>7511</v>
      </c>
      <c r="C37" s="314" t="s">
        <v>7512</v>
      </c>
      <c r="D37" s="137" t="s">
        <v>7513</v>
      </c>
      <c r="E37" s="314" t="s">
        <v>7514</v>
      </c>
      <c r="F37" s="137" t="s">
        <v>7515</v>
      </c>
      <c r="G37" s="314" t="str">
        <f>IFERROR(__xludf.DUMMYFUNCTION("GOOGLETRANSLATE(A37,""zh-tw"",""zh"")"),"百合同人本")</f>
        <v>百合同人本</v>
      </c>
      <c r="H37" s="137" t="str">
        <f>IFERROR(__xludf.DUMMYFUNCTION("GOOGLETRANSLATE(B37,""zh-tw"",""zh"")"),"提升性欲
(战车商店贩售)")</f>
        <v>提升性欲
(战车商店贩售)</v>
      </c>
      <c r="I37" s="314" t="s">
        <v>7516</v>
      </c>
      <c r="J37" s="137" t="s">
        <v>7517</v>
      </c>
      <c r="K37" s="321" t="str">
        <f>IFERROR(__xludf.DUMMYFUNCTION("GOOGLETRANSLATE(A37,""zh-tw"",""KO"")"),"바이헤헤헤헤헤")</f>
        <v>바이헤헤헤헤헤</v>
      </c>
      <c r="L37" s="137" t="s">
        <v>7518</v>
      </c>
      <c r="M37" s="321" t="str">
        <f>IFERROR(__xludf.DUMMYFUNCTION("GOOGLETRANSLATE(A37,""zh-tw"",""ru"")"),"Байхехехехе")</f>
        <v>Байхехехехе</v>
      </c>
      <c r="N37" s="143" t="str">
        <f>IFERROR(__xludf.DUMMYFUNCTION("GOOGLETRANSLATE(B37,""zh-tw"",""ru"")"),"Повышает либидо
(Продаётся в магазине Tank Shop)")</f>
        <v>Повышает либидо
(Продаётся в магазине Tank Shop)</v>
      </c>
      <c r="O37" s="314" t="s">
        <v>7519</v>
      </c>
      <c r="P37" s="137" t="s">
        <v>7520</v>
      </c>
      <c r="Q37" s="322" t="s">
        <v>7521</v>
      </c>
      <c r="R37" s="47" t="s">
        <v>7522</v>
      </c>
      <c r="S37" s="321" t="s">
        <v>7521</v>
      </c>
      <c r="T37" s="143" t="s">
        <v>7523</v>
      </c>
      <c r="U37" s="30"/>
      <c r="V37" s="30"/>
    </row>
    <row r="38">
      <c r="A38" s="314" t="s">
        <v>7524</v>
      </c>
      <c r="B38" s="137" t="s">
        <v>7511</v>
      </c>
      <c r="C38" s="314" t="s">
        <v>7525</v>
      </c>
      <c r="D38" s="137" t="s">
        <v>7526</v>
      </c>
      <c r="E38" s="314" t="s">
        <v>7527</v>
      </c>
      <c r="F38" s="137" t="s">
        <v>7515</v>
      </c>
      <c r="G38" s="314" t="str">
        <f>IFERROR(__xludf.DUMMYFUNCTION("GOOGLETRANSLATE(A38,""zh-tw"",""zh"")"),"萌萌同人本")</f>
        <v>萌萌同人本</v>
      </c>
      <c r="H38" s="137" t="str">
        <f>IFERROR(__xludf.DUMMYFUNCTION("GOOGLETRANSLATE(B38,""zh-tw"",""zh"")"),"提升性欲
(战车商店贩售)")</f>
        <v>提升性欲
(战车商店贩售)</v>
      </c>
      <c r="I38" s="314" t="s">
        <v>7528</v>
      </c>
      <c r="J38" s="137" t="s">
        <v>7517</v>
      </c>
      <c r="K38" s="315" t="s">
        <v>7503</v>
      </c>
      <c r="L38" s="143" t="str">
        <f>IFERROR(__xludf.DUMMYFUNCTION("GOOGLETRANSLATE(B38,""zh-tw"",""KO"")"),"성욕 증진
(탱크샵에서 구매 가능)")</f>
        <v>성욕 증진
(탱크샵에서 구매 가능)</v>
      </c>
      <c r="M38" s="321" t="str">
        <f>IFERROR(__xludf.DUMMYFUNCTION("GOOGLETRANSLATE(A38,""zh-tw"",""ru"")"),"Милый додзинси")</f>
        <v>Милый додзинси</v>
      </c>
      <c r="N38" s="143" t="str">
        <f>IFERROR(__xludf.DUMMYFUNCTION("GOOGLETRANSLATE(B38,""zh-tw"",""ru"")"),"Повышает либидо
(Продаётся в магазине Tank Shop)")</f>
        <v>Повышает либидо
(Продаётся в магазине Tank Shop)</v>
      </c>
      <c r="O38" s="314" t="s">
        <v>7504</v>
      </c>
      <c r="P38" s="137" t="s">
        <v>7505</v>
      </c>
      <c r="Q38" s="322" t="s">
        <v>7529</v>
      </c>
      <c r="R38" s="47" t="s">
        <v>7522</v>
      </c>
      <c r="S38" s="321" t="s">
        <v>7529</v>
      </c>
      <c r="T38" s="143" t="s">
        <v>7523</v>
      </c>
      <c r="U38" s="30"/>
      <c r="V38" s="30"/>
    </row>
    <row r="39">
      <c r="A39" s="314" t="s">
        <v>7530</v>
      </c>
      <c r="B39" s="137" t="s">
        <v>7531</v>
      </c>
      <c r="C39" s="314" t="s">
        <v>7532</v>
      </c>
      <c r="D39" s="137" t="s">
        <v>7533</v>
      </c>
      <c r="E39" s="314" t="s">
        <v>7534</v>
      </c>
      <c r="F39" s="137" t="s">
        <v>7535</v>
      </c>
      <c r="G39" s="314" t="str">
        <f>IFERROR(__xludf.DUMMYFUNCTION("GOOGLETRANSLATE(A39,""zh-tw"",""zh"")"),"电风扇")</f>
        <v>电风扇</v>
      </c>
      <c r="H39" s="137" t="str">
        <f>IFERROR(__xludf.DUMMYFUNCTION("GOOGLETRANSLATE(B39,""zh-tw"",""zh"")"),"炎热剧情道具
(战车商店贩售)")</f>
        <v>炎热剧情道具
(战车商店贩售)</v>
      </c>
      <c r="I39" s="314" t="s">
        <v>7536</v>
      </c>
      <c r="J39" s="137" t="s">
        <v>7537</v>
      </c>
      <c r="K39" s="321" t="str">
        <f>IFERROR(__xludf.DUMMYFUNCTION("GOOGLETRANSLATE(A39,""zh-tw"",""KO"")"),"선풍기")</f>
        <v>선풍기</v>
      </c>
      <c r="L39" s="137" t="s">
        <v>7518</v>
      </c>
      <c r="M39" s="321" t="str">
        <f>IFERROR(__xludf.DUMMYFUNCTION("GOOGLETRANSLATE(A39,""zh-tw"",""ru"")"),"электрический вентилятор")</f>
        <v>электрический вентилятор</v>
      </c>
      <c r="N39" s="143"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4" t="s">
        <v>7519</v>
      </c>
      <c r="P39" s="137" t="s">
        <v>7520</v>
      </c>
      <c r="Q39" s="322" t="s">
        <v>7538</v>
      </c>
      <c r="R39" s="47" t="s">
        <v>7539</v>
      </c>
      <c r="S39" s="321" t="s">
        <v>7540</v>
      </c>
      <c r="T39" s="143" t="s">
        <v>7541</v>
      </c>
      <c r="U39" s="30"/>
      <c r="V39" s="30"/>
    </row>
    <row r="40">
      <c r="A40" s="322" t="s">
        <v>7542</v>
      </c>
      <c r="B40" s="143" t="s">
        <v>7543</v>
      </c>
      <c r="C40" s="314" t="s">
        <v>7544</v>
      </c>
      <c r="D40" s="137" t="s">
        <v>7545</v>
      </c>
      <c r="E40" s="321" t="s">
        <v>7546</v>
      </c>
      <c r="F40" s="143" t="s">
        <v>7547</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7548</v>
      </c>
      <c r="J40" s="137" t="s">
        <v>7549</v>
      </c>
      <c r="K40" s="321" t="str">
        <f>IFERROR(__xludf.DUMMYFUNCTION("GOOGLETRANSLATE(A40,""zh-tw"",""KO"")"),"차와 간식 쿠폰")</f>
        <v>차와 간식 쿠폰</v>
      </c>
      <c r="L40" s="143"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4" t="s">
        <v>7550</v>
      </c>
      <c r="P40" s="137" t="s">
        <v>7551</v>
      </c>
      <c r="Q40" s="322" t="s">
        <v>7552</v>
      </c>
      <c r="R40" s="137" t="s">
        <v>7553</v>
      </c>
      <c r="S40" s="321" t="s">
        <v>7554</v>
      </c>
      <c r="T40" s="143" t="s">
        <v>7555</v>
      </c>
      <c r="U40" s="30"/>
      <c r="V40" s="30"/>
    </row>
    <row r="41">
      <c r="A41" s="314" t="s">
        <v>7556</v>
      </c>
      <c r="B41" s="137" t="s">
        <v>7557</v>
      </c>
      <c r="C41" s="314" t="s">
        <v>7558</v>
      </c>
      <c r="D41" s="137" t="s">
        <v>7559</v>
      </c>
      <c r="E41" s="314" t="s">
        <v>7560</v>
      </c>
      <c r="F41" s="137" t="s">
        <v>7561</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7562</v>
      </c>
      <c r="J41" s="137" t="s">
        <v>7563</v>
      </c>
      <c r="K41" s="321" t="str">
        <f>IFERROR(__xludf.DUMMYFUNCTION("GOOGLETRANSLATE(A41,""zh-tw"",""KO"")"),"초민감성 부드럽고 쫄깃한 찐빵")</f>
        <v>초민감성 부드럽고 쫄깃한 찐빵</v>
      </c>
      <c r="L41" s="143" t="str">
        <f>IFERROR(__xludf.DUMMYFUNCTION("GOOGLETRANSLATE(B41,""zh-tw"",""KO"")"),"AKI 스토어에서 구매
민감도 증가")</f>
        <v>AKI 스토어에서 구매
민감도 증가</v>
      </c>
      <c r="M41" s="321"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3" t="str">
        <f>IFERROR(__xludf.DUMMYFUNCTION("GOOGLETRANSLATE(B41,""zh-tw"",""ru"")"),"Куплено в магазине AKI
Повышает чувствительность")</f>
        <v>Куплено в магазине AKI
Повышает чувствительность</v>
      </c>
      <c r="O41" s="314" t="s">
        <v>7564</v>
      </c>
      <c r="P41" s="137" t="s">
        <v>7565</v>
      </c>
      <c r="Q41" s="322" t="s">
        <v>7566</v>
      </c>
      <c r="R41" s="47" t="s">
        <v>7567</v>
      </c>
      <c r="S41" s="321" t="s">
        <v>7568</v>
      </c>
      <c r="T41" s="143" t="s">
        <v>7569</v>
      </c>
      <c r="U41" s="30"/>
      <c r="V41" s="30"/>
    </row>
    <row r="42">
      <c r="A42" s="314" t="s">
        <v>7570</v>
      </c>
      <c r="B42" s="137" t="s">
        <v>7571</v>
      </c>
      <c r="C42" s="314" t="s">
        <v>7572</v>
      </c>
      <c r="D42" s="143" t="str">
        <f>IFERROR(__xludf.DUMMYFUNCTION("GOOGLETRANSLATE(B42,""zh-tw"",""ja"")"),"現時点では（宝石を）引き換える方法はありません。")</f>
        <v>現時点では（宝石を）引き換える方法はありません。</v>
      </c>
      <c r="E42" s="314" t="s">
        <v>7573</v>
      </c>
      <c r="F42" s="137" t="s">
        <v>7574</v>
      </c>
      <c r="G42" s="314" t="str">
        <f>IFERROR(__xludf.DUMMYFUNCTION("GOOGLETRANSLATE(A42,""zh-tw"",""zh"")"),"蓝辉石")</f>
        <v>蓝辉石</v>
      </c>
      <c r="H42" s="137" t="str">
        <f>IFERROR(__xludf.DUMMYFUNCTION("GOOGLETRANSLATE(B42,""zh-tw"",""zh"")"),"目前没有兑换方式
(宝石)")</f>
        <v>目前没有兑换方式
(宝石)</v>
      </c>
      <c r="I42" s="314" t="s">
        <v>7575</v>
      </c>
      <c r="J42" s="137" t="s">
        <v>7576</v>
      </c>
      <c r="K42" s="321" t="str">
        <f>IFERROR(__xludf.DUMMYFUNCTION("GOOGLETRANSLATE(A42,""zh-tw"",""KO"")"),"블루 사파이어")</f>
        <v>블루 사파이어</v>
      </c>
      <c r="L42" s="143" t="str">
        <f>IFERROR(__xludf.DUMMYFUNCTION("GOOGLETRANSLATE(B42,""zh-tw"",""KO"")"),"현재로선 (보석)을 교환할 방법이 없습니다.")</f>
        <v>현재로선 (보석)을 교환할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5" t="s">
        <v>7577</v>
      </c>
      <c r="P42" s="316" t="s">
        <v>7578</v>
      </c>
      <c r="Q42" s="314" t="s">
        <v>7579</v>
      </c>
      <c r="R42" s="47" t="s">
        <v>7580</v>
      </c>
      <c r="S42" s="337" t="s">
        <v>7573</v>
      </c>
      <c r="T42" s="143" t="s">
        <v>7581</v>
      </c>
      <c r="U42" s="30"/>
      <c r="V42" s="30"/>
    </row>
    <row r="43">
      <c r="A43" s="314" t="s">
        <v>7582</v>
      </c>
      <c r="B43" s="137" t="s">
        <v>7571</v>
      </c>
      <c r="C43" s="314" t="s">
        <v>7583</v>
      </c>
      <c r="D43" s="137" t="s">
        <v>7584</v>
      </c>
      <c r="E43" s="314" t="s">
        <v>7585</v>
      </c>
      <c r="F43" s="137" t="s">
        <v>2228</v>
      </c>
      <c r="G43" s="314" t="str">
        <f>IFERROR(__xludf.DUMMYFUNCTION("GOOGLETRANSLATE(A43,""zh-tw"",""zh"")"),"火菱石")</f>
        <v>火菱石</v>
      </c>
      <c r="H43" s="137" t="str">
        <f>IFERROR(__xludf.DUMMYFUNCTION("GOOGLETRANSLATE(B43,""zh-tw"",""zh"")"),"目前没有兑换方式
(宝石)")</f>
        <v>目前没有兑换方式
(宝石)</v>
      </c>
      <c r="I43" s="314" t="s">
        <v>7586</v>
      </c>
      <c r="J43" s="137" t="s">
        <v>7587</v>
      </c>
      <c r="K43" s="321" t="str">
        <f>IFERROR(__xludf.DUMMYFUNCTION("GOOGLETRANSLATE(A43,""zh-tw"",""KO"")"),"파이어스톤")</f>
        <v>파이어스톤</v>
      </c>
      <c r="L43" s="143" t="str">
        <f>IFERROR(__xludf.DUMMYFUNCTION("GOOGLETRANSLATE(B43,""zh-tw"",""KO"")"),"현재로선 (보석)을 교환할 방법이 없습니다.")</f>
        <v>현재로선 (보석)을 교환할 방법이 없습니다.</v>
      </c>
      <c r="M43" s="321" t="str">
        <f>IFERROR(__xludf.DUMMYFUNCTION("GOOGLETRANSLATE(A43,""zh-tw"",""ru"")"),"Файрстоун")</f>
        <v>Файрстоун</v>
      </c>
      <c r="N43" s="143"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4" t="s">
        <v>7588</v>
      </c>
      <c r="P43" s="137" t="s">
        <v>7589</v>
      </c>
      <c r="Q43" s="314" t="s">
        <v>7590</v>
      </c>
      <c r="R43" s="47" t="s">
        <v>2235</v>
      </c>
      <c r="S43" s="337" t="s">
        <v>7585</v>
      </c>
      <c r="T43" s="143" t="s">
        <v>7591</v>
      </c>
      <c r="U43" s="30"/>
      <c r="V43" s="30"/>
    </row>
    <row r="44">
      <c r="A44" s="314" t="s">
        <v>7592</v>
      </c>
      <c r="B44" s="137" t="s">
        <v>7593</v>
      </c>
      <c r="C44" s="314" t="s">
        <v>7594</v>
      </c>
      <c r="D44" s="137" t="s">
        <v>7595</v>
      </c>
      <c r="E44" s="314" t="s">
        <v>7596</v>
      </c>
      <c r="F44" s="137" t="s">
        <v>7597</v>
      </c>
      <c r="G44" s="314" t="str">
        <f>IFERROR(__xludf.DUMMYFUNCTION("GOOGLETRANSLATE(A44,""zh-tw"",""zh"")"),"银坷拉")</f>
        <v>银坷拉</v>
      </c>
      <c r="H44" s="137" t="str">
        <f>IFERROR(__xludf.DUMMYFUNCTION("GOOGLETRANSLATE(B44,""zh-tw"",""zh"")"),"诱饵/粉尘爆炸")</f>
        <v>诱饵/粉尘爆炸</v>
      </c>
      <c r="I44" s="314" t="s">
        <v>7596</v>
      </c>
      <c r="J44" s="137" t="s">
        <v>7598</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IFERROR(__xludf.DUMMYFUNCTION("GOOGLETRANSLATE(B44,""zh-tw"",""ru"")"),"Ложный/пылевой взрыв")</f>
        <v>Ложный/пылевой взрыв</v>
      </c>
      <c r="O44" s="314" t="s">
        <v>7596</v>
      </c>
      <c r="P44" s="137" t="s">
        <v>7599</v>
      </c>
      <c r="Q44" s="314" t="s">
        <v>7596</v>
      </c>
      <c r="R44" s="137" t="s">
        <v>7600</v>
      </c>
      <c r="S44" s="321" t="s">
        <v>7596</v>
      </c>
      <c r="T44" s="143" t="s">
        <v>7601</v>
      </c>
      <c r="U44" s="30"/>
      <c r="V44" s="30"/>
    </row>
    <row r="45">
      <c r="A45" s="314" t="s">
        <v>7602</v>
      </c>
      <c r="B45" s="137" t="s">
        <v>7603</v>
      </c>
      <c r="C45" s="314" t="s">
        <v>7604</v>
      </c>
      <c r="D45" s="137" t="s">
        <v>7605</v>
      </c>
      <c r="E45" s="314" t="s">
        <v>7606</v>
      </c>
      <c r="F45" s="137" t="s">
        <v>7607</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7608</v>
      </c>
      <c r="J45" s="137" t="s">
        <v>7609</v>
      </c>
      <c r="K45" s="321" t="str">
        <f>IFERROR(__xludf.DUMMYFUNCTION("GOOGLETRANSLATE(A45,""zh-tw"",""KO"")"),"모험가의 팁")</f>
        <v>모험가의 팁</v>
      </c>
      <c r="L45" s="143" t="str">
        <f>IFERROR(__xludf.DUMMYFUNCTION("GOOGLETRANSLATE(B45,""zh-tw"",""KO"")"),"여행 팁(일부 지역에서는 국제 인터넷 연결이 필요할 수 있음)")</f>
        <v>여행 팁(일부 지역에서는 국제 인터넷 연결이 필요할 수 있음)</v>
      </c>
      <c r="M45" s="321" t="str">
        <f>IFERROR(__xludf.DUMMYFUNCTION("GOOGLETRANSLATE(A45,""zh-tw"",""ru"")"),"Советы искателя приключений")</f>
        <v>Советы искателя приключений</v>
      </c>
      <c r="N45" s="143"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4" t="s">
        <v>7610</v>
      </c>
      <c r="P45" s="137" t="s">
        <v>7611</v>
      </c>
      <c r="Q45" s="314" t="s">
        <v>7612</v>
      </c>
      <c r="R45" s="137" t="s">
        <v>7613</v>
      </c>
      <c r="S45" s="321" t="s">
        <v>7614</v>
      </c>
      <c r="T45" s="143" t="s">
        <v>7615</v>
      </c>
      <c r="U45" s="30"/>
      <c r="V45" s="30"/>
    </row>
    <row r="46">
      <c r="A46" s="314" t="s">
        <v>7616</v>
      </c>
      <c r="B46" s="137" t="s">
        <v>7617</v>
      </c>
      <c r="C46" s="314" t="s">
        <v>7618</v>
      </c>
      <c r="D46" s="137" t="s">
        <v>7619</v>
      </c>
      <c r="E46" s="314" t="s">
        <v>7620</v>
      </c>
      <c r="F46" s="137" t="s">
        <v>7621</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7622</v>
      </c>
      <c r="K46" s="321" t="str">
        <f>IFERROR(__xludf.DUMMYFUNCTION("GOOGLETRANSLATE(A46,""zh-tw"",""KO"")"),"토끼 지도")</f>
        <v>토끼 지도</v>
      </c>
      <c r="L46" s="143" t="str">
        <f>IFERROR(__xludf.DUMMYFUNCTION("GOOGLETRANSLATE(B46,""zh-tw"",""KO"")"),"게임 맵(일부 지역에서는 국제 인터넷 연결이 필요할 수 있음)")</f>
        <v>게임 맵(일부 지역에서는 국제 인터넷 연결이 필요할 수 있음)</v>
      </c>
      <c r="M46" s="321" t="str">
        <f>IFERROR(__xludf.DUMMYFUNCTION("GOOGLETRANSLATE(A46,""zh-tw"",""ru"")"),"Карта кроликов")</f>
        <v>Карта кроликов</v>
      </c>
      <c r="N46" s="143"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4" t="s">
        <v>7623</v>
      </c>
      <c r="P46" s="137" t="s">
        <v>7624</v>
      </c>
      <c r="Q46" s="314" t="s">
        <v>7625</v>
      </c>
      <c r="R46" s="137" t="s">
        <v>7626</v>
      </c>
      <c r="S46" s="321" t="s">
        <v>7627</v>
      </c>
      <c r="T46" s="143" t="s">
        <v>7628</v>
      </c>
      <c r="U46" s="30"/>
      <c r="V46" s="30"/>
    </row>
    <row r="47">
      <c r="A47" s="314" t="s">
        <v>7629</v>
      </c>
      <c r="B47" s="137" t="s">
        <v>7630</v>
      </c>
      <c r="C47" s="314" t="s">
        <v>7631</v>
      </c>
      <c r="D47" s="137" t="s">
        <v>7632</v>
      </c>
      <c r="E47" s="314" t="s">
        <v>7633</v>
      </c>
      <c r="F47" s="137" t="s">
        <v>7634</v>
      </c>
      <c r="G47" s="314" t="str">
        <f>IFERROR(__xludf.DUMMYFUNCTION("GOOGLETRANSLATE(A47,""zh-tw"",""zh"")"),"红髓液")</f>
        <v>红髓液</v>
      </c>
      <c r="H47" s="137" t="str">
        <f>IFERROR(__xludf.DUMMYFUNCTION("GOOGLETRANSLATE(B47,""zh-tw"",""zh"")"),"使用于治疗妹妹")</f>
        <v>使用于治疗妹妹</v>
      </c>
      <c r="I47" s="314" t="s">
        <v>7635</v>
      </c>
      <c r="J47" s="137" t="s">
        <v>7636</v>
      </c>
      <c r="K47" s="321" t="str">
        <f>IFERROR(__xludf.DUMMYFUNCTION("GOOGLETRANSLATE(A47,""zh-tw"",""KO"")"),"적골수액")</f>
        <v>적골수액</v>
      </c>
      <c r="L47" s="143" t="str">
        <f>IFERROR(__xludf.DUMMYFUNCTION("GOOGLETRANSLATE(B47,""zh-tw"",""KO"")"),"내 여동생을 치료하는 데 사용")</f>
        <v>내 여동생을 치료하는 데 사용</v>
      </c>
      <c r="M47" s="321" t="str">
        <f>IFERROR(__xludf.DUMMYFUNCTION("GOOGLETRANSLATE(A47,""zh-tw"",""ru"")"),"Красная костномозговая жидкость")</f>
        <v>Красная костномозговая жидкость</v>
      </c>
      <c r="N47" s="143" t="str">
        <f>IFERROR(__xludf.DUMMYFUNCTION("GOOGLETRANSLATE(B47,""zh-tw"",""ru"")"),"Использовался для лечения моей сестры.")</f>
        <v>Использовался для лечения моей сестры.</v>
      </c>
      <c r="O47" s="314" t="s">
        <v>7637</v>
      </c>
      <c r="P47" s="137" t="s">
        <v>7638</v>
      </c>
      <c r="Q47" s="314" t="s">
        <v>7639</v>
      </c>
      <c r="R47" s="137" t="s">
        <v>7640</v>
      </c>
      <c r="S47" s="321" t="s">
        <v>7641</v>
      </c>
      <c r="T47" s="143" t="s">
        <v>7642</v>
      </c>
      <c r="U47" s="30"/>
      <c r="V47" s="30"/>
    </row>
    <row r="48">
      <c r="A48" s="314" t="s">
        <v>7643</v>
      </c>
      <c r="B48" s="137" t="s">
        <v>7644</v>
      </c>
      <c r="C48" s="314" t="s">
        <v>7645</v>
      </c>
      <c r="D48" s="137" t="s">
        <v>7646</v>
      </c>
      <c r="E48" s="314" t="s">
        <v>7647</v>
      </c>
      <c r="F48" s="137" t="s">
        <v>7648</v>
      </c>
      <c r="G48" s="314" t="str">
        <f>IFERROR(__xludf.DUMMYFUNCTION("GOOGLETRANSLATE(A48,""zh-tw"",""zh"")"),"什么都行券")</f>
        <v>什么都行券</v>
      </c>
      <c r="H48" s="137" t="str">
        <f>IFERROR(__xludf.DUMMYFUNCTION("GOOGLETRANSLATE(B48,""zh-tw"",""zh"")"),"使用于SLG相关的事件")</f>
        <v>使用于SLG相关的事件</v>
      </c>
      <c r="I48" s="314" t="s">
        <v>7649</v>
      </c>
      <c r="J48" s="137" t="s">
        <v>7650</v>
      </c>
      <c r="K48" s="321" t="str">
        <f>IFERROR(__xludf.DUMMYFUNCTION("GOOGLETRANSLATE(A48,""zh-tw"",""KO"")"),"무엇이든 쿠폰")</f>
        <v>무엇이든 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7651</v>
      </c>
      <c r="P48" s="137" t="s">
        <v>7652</v>
      </c>
      <c r="Q48" s="314" t="s">
        <v>7653</v>
      </c>
      <c r="R48" s="137" t="s">
        <v>7654</v>
      </c>
      <c r="S48" s="321" t="s">
        <v>7655</v>
      </c>
      <c r="T48" s="143" t="s">
        <v>7656</v>
      </c>
      <c r="U48" s="30"/>
      <c r="V48" s="30"/>
    </row>
    <row r="49">
      <c r="A49" s="355" t="s">
        <v>7657</v>
      </c>
      <c r="B49" s="356" t="s">
        <v>7658</v>
      </c>
      <c r="C49" s="355" t="s">
        <v>7659</v>
      </c>
      <c r="D49" s="356" t="s">
        <v>7660</v>
      </c>
      <c r="E49" s="355" t="s">
        <v>7661</v>
      </c>
      <c r="F49" s="356" t="s">
        <v>7662</v>
      </c>
      <c r="G49" s="355" t="s">
        <v>7663</v>
      </c>
      <c r="H49" s="356" t="s">
        <v>7664</v>
      </c>
      <c r="I49" s="321" t="str">
        <f>IFERROR(__xludf.DUMMYFUNCTION("GOOGLETRANSLATE(A49,""zh-tw"",""es-MX"")"),"Cinta de vídeo de terror")</f>
        <v>Cinta de vídeo de terror</v>
      </c>
      <c r="J49" s="137" t="s">
        <v>7665</v>
      </c>
      <c r="K49" s="321" t="str">
        <f>IFERROR(__xludf.DUMMYFUNCTION("GOOGLETRANSLATE(A49,""zh-tw"",""KO"")"),"공포 비디오테이프")</f>
        <v>공포 비디오테이프</v>
      </c>
      <c r="L49" s="143" t="str">
        <f>IFERROR(__xludf.DUMMYFUNCTION("GOOGLETRANSLATE(B49,""zh-tw"",""KO"")"),"심야 텔레비전에 사용됨")</f>
        <v>심야 텔레비전에 사용됨</v>
      </c>
      <c r="M49" s="321" t="str">
        <f>IFERROR(__xludf.DUMMYFUNCTION("GOOGLETRANSLATE(A49,""zh-tw"",""ru"")"),"Видеокассета ужасов")</f>
        <v>Видеокассета ужасов</v>
      </c>
      <c r="N49" s="143" t="str">
        <f>IFERROR(__xludf.DUMMYFUNCTION("GOOGLETRANSLATE(B49,""zh-tw"",""ru"")"),"Используется для ночного телевидения")</f>
        <v>Используется для ночного телевидения</v>
      </c>
      <c r="O49" s="314" t="s">
        <v>7666</v>
      </c>
      <c r="P49" s="137" t="s">
        <v>7667</v>
      </c>
      <c r="Q49" s="357" t="s">
        <v>7668</v>
      </c>
      <c r="R49" s="358" t="s">
        <v>7669</v>
      </c>
      <c r="S49" s="359" t="s">
        <v>7670</v>
      </c>
      <c r="T49" s="360" t="s">
        <v>7671</v>
      </c>
      <c r="U49" s="30"/>
      <c r="V49" s="30"/>
    </row>
    <row r="50">
      <c r="A50" s="355" t="s">
        <v>7672</v>
      </c>
      <c r="B50" s="356" t="s">
        <v>7658</v>
      </c>
      <c r="C50" s="355" t="s">
        <v>7673</v>
      </c>
      <c r="D50" s="356" t="s">
        <v>7660</v>
      </c>
      <c r="E50" s="355" t="s">
        <v>7674</v>
      </c>
      <c r="F50" s="356" t="s">
        <v>7662</v>
      </c>
      <c r="G50" s="355" t="s">
        <v>7675</v>
      </c>
      <c r="H50" s="356" t="s">
        <v>7664</v>
      </c>
      <c r="I50" s="314" t="s">
        <v>7676</v>
      </c>
      <c r="J50" s="137" t="s">
        <v>7665</v>
      </c>
      <c r="K50" s="321" t="str">
        <f>IFERROR(__xludf.DUMMYFUNCTION("GOOGLETRANSLATE(A50,""zh-tw"",""KO"")"),"성인용 비디오테이프")</f>
        <v>성인용 비디오테이프</v>
      </c>
      <c r="L50" s="143" t="str">
        <f>IFERROR(__xludf.DUMMYFUNCTION("GOOGLETRANSLATE(B50,""zh-tw"",""KO"")"),"심야 텔레비전에 사용됨")</f>
        <v>심야 텔레비전에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ночного телевидения")</f>
        <v>Используется для ночного телевидения</v>
      </c>
      <c r="O50" s="314" t="s">
        <v>7677</v>
      </c>
      <c r="P50" s="137" t="s">
        <v>7667</v>
      </c>
      <c r="Q50" s="357" t="s">
        <v>7678</v>
      </c>
      <c r="R50" s="358" t="s">
        <v>7669</v>
      </c>
      <c r="S50" s="359" t="s">
        <v>7679</v>
      </c>
      <c r="T50" s="360" t="s">
        <v>7671</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7680</v>
      </c>
      <c r="B1" s="363" t="s">
        <v>263</v>
      </c>
      <c r="C1" s="364" t="s">
        <v>7681</v>
      </c>
      <c r="F1" s="362" t="s">
        <v>7682</v>
      </c>
      <c r="G1" s="363" t="s">
        <v>263</v>
      </c>
      <c r="H1" s="365" t="s">
        <v>7683</v>
      </c>
      <c r="K1" s="362" t="s">
        <v>7684</v>
      </c>
      <c r="L1" s="363" t="s">
        <v>263</v>
      </c>
      <c r="M1" s="365" t="s">
        <v>7685</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IFERROR(__xludf.DUMMYFUNCTION("GOOGLETRANSLATE(A1,""zh-tw"",""KO"")"),"배불리 먹는 효과 (야간 습격 지속 시간 연장)")</f>
        <v>배불리 먹는 효과 (야간 습격 지속 시간 연장)</v>
      </c>
      <c r="AA1" s="363" t="s">
        <v>263</v>
      </c>
      <c r="AB1" s="366"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2"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3" t="s">
        <v>263</v>
      </c>
      <c r="AG1" s="366"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67" t="s">
        <v>7686</v>
      </c>
      <c r="AK1" s="363" t="s">
        <v>263</v>
      </c>
      <c r="AL1" s="364" t="s">
        <v>7687</v>
      </c>
      <c r="AO1" s="368" t="s">
        <v>7688</v>
      </c>
      <c r="AP1" s="369" t="s">
        <v>263</v>
      </c>
      <c r="AQ1" s="125" t="s">
        <v>7689</v>
      </c>
      <c r="AT1" s="362" t="s">
        <v>7690</v>
      </c>
      <c r="AU1" s="363" t="s">
        <v>263</v>
      </c>
      <c r="AV1" s="366" t="s">
        <v>7691</v>
      </c>
      <c r="AY1" s="125"/>
      <c r="AZ1" s="125"/>
      <c r="BA1" s="125"/>
      <c r="BB1" s="125"/>
      <c r="BC1" s="125"/>
    </row>
    <row r="2" ht="75.0" customHeight="1">
      <c r="A2" s="362" t="s">
        <v>7692</v>
      </c>
      <c r="B2" s="363" t="s">
        <v>934</v>
      </c>
      <c r="F2" s="362" t="s">
        <v>7693</v>
      </c>
      <c r="G2" s="363" t="s">
        <v>934</v>
      </c>
      <c r="K2" s="362" t="s">
        <v>7694</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IFERROR(__xludf.DUMMYFUNCTION("GOOGLETRANSLATE(A2,""zh-tw"",""KO"")"),"언니는 음식이 너무 매워서 울었어요(우연에 의한 트리거).")</f>
        <v>언니는 음식이 너무 매워서 울었어요(우연에 의한 트리거).</v>
      </c>
      <c r="AA2" s="363" t="s">
        <v>934</v>
      </c>
      <c r="AE2" s="362"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3" t="s">
        <v>934</v>
      </c>
      <c r="AJ2" s="367" t="s">
        <v>7695</v>
      </c>
      <c r="AK2" s="363" t="s">
        <v>934</v>
      </c>
      <c r="AO2" s="177" t="s">
        <v>7696</v>
      </c>
      <c r="AP2" s="162" t="s">
        <v>934</v>
      </c>
      <c r="AT2" s="362" t="s">
        <v>7697</v>
      </c>
      <c r="AU2" s="363" t="s">
        <v>934</v>
      </c>
      <c r="AY2" s="125"/>
      <c r="AZ2" s="125"/>
      <c r="BA2" s="125"/>
      <c r="BB2" s="125"/>
      <c r="BC2" s="125"/>
    </row>
    <row r="3">
      <c r="A3" s="370" t="s">
        <v>7698</v>
      </c>
      <c r="B3" s="371" t="s">
        <v>7048</v>
      </c>
      <c r="F3" s="370" t="str">
        <f>IFERROR(__xludf.DUMMYFUNCTION("GOOGLETRANSLATE(A3,""zh-tw"",""ja"")"),"料理名")</f>
        <v>料理名</v>
      </c>
      <c r="G3" s="371" t="str">
        <f>IFERROR(__xludf.DUMMYFUNCTION("GOOGLETRANSLATE(B3,""zh-tw"",""ja"")"),"効果")</f>
        <v>効果</v>
      </c>
      <c r="K3" s="370" t="s">
        <v>7699</v>
      </c>
      <c r="L3" s="371" t="s">
        <v>7700</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7701</v>
      </c>
      <c r="AK3" s="373" t="s">
        <v>7702</v>
      </c>
      <c r="AO3" s="83" t="s">
        <v>7703</v>
      </c>
      <c r="AP3" s="82" t="s">
        <v>5561</v>
      </c>
      <c r="AT3" s="370" t="s">
        <v>7704</v>
      </c>
      <c r="AU3" s="371" t="s">
        <v>7054</v>
      </c>
      <c r="AY3" s="125"/>
      <c r="AZ3" s="125"/>
      <c r="BA3" s="125"/>
      <c r="BB3" s="125"/>
      <c r="BC3" s="125"/>
    </row>
    <row r="4">
      <c r="A4" s="127" t="s">
        <v>7705</v>
      </c>
      <c r="B4" s="190"/>
      <c r="C4" s="168" t="s">
        <v>7706</v>
      </c>
      <c r="D4" s="125"/>
      <c r="E4" s="125"/>
      <c r="F4" s="127" t="s">
        <v>7707</v>
      </c>
      <c r="G4" s="190"/>
      <c r="H4" s="168" t="s">
        <v>7708</v>
      </c>
      <c r="I4" s="125"/>
      <c r="J4" s="125"/>
      <c r="K4" s="117" t="s">
        <v>7709</v>
      </c>
      <c r="L4" s="190"/>
      <c r="M4" s="137" t="s">
        <v>7710</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7711</v>
      </c>
      <c r="AC4" s="125"/>
      <c r="AD4" s="125"/>
      <c r="AE4" s="127" t="str">
        <f>IFERROR(__xludf.DUMMYFUNCTION("GOOGLETRANSLATE(A4,""zh-tw"",""ru"")"),"Слизистое желе")</f>
        <v>Слизистое желе</v>
      </c>
      <c r="AF4" s="372"/>
      <c r="AG4" s="168" t="str">
        <f>IFERROR(__xludf.DUMMYFUNCTION("GOOGLETRANSLATE(C4,""zh-tw"",""ru"")"),"слизь")</f>
        <v>слизь</v>
      </c>
      <c r="AH4" s="168"/>
      <c r="AI4" s="168"/>
      <c r="AJ4" s="376" t="s">
        <v>7712</v>
      </c>
      <c r="AK4" s="373"/>
      <c r="AL4" s="137" t="s">
        <v>7713</v>
      </c>
      <c r="AM4" s="143"/>
      <c r="AN4" s="143"/>
      <c r="AO4" s="139" t="s">
        <v>7714</v>
      </c>
      <c r="AP4" s="190"/>
      <c r="AQ4" s="143" t="s">
        <v>7715</v>
      </c>
      <c r="AR4" s="125"/>
      <c r="AS4" s="125"/>
      <c r="AT4" s="127" t="s">
        <v>7709</v>
      </c>
      <c r="AU4" s="191"/>
      <c r="AV4" s="143" t="s">
        <v>7716</v>
      </c>
      <c r="AW4" s="28"/>
      <c r="AX4" s="28"/>
      <c r="AY4" s="125"/>
      <c r="AZ4" s="125"/>
      <c r="BA4" s="125"/>
      <c r="BB4" s="125"/>
      <c r="BC4" s="125"/>
    </row>
    <row r="5">
      <c r="A5" s="127" t="s">
        <v>7717</v>
      </c>
      <c r="B5" s="190"/>
      <c r="C5" s="168" t="s">
        <v>7718</v>
      </c>
      <c r="D5" s="168" t="s">
        <v>7719</v>
      </c>
      <c r="E5" s="125"/>
      <c r="F5" s="127" t="s">
        <v>7720</v>
      </c>
      <c r="G5" s="190"/>
      <c r="H5" s="168" t="s">
        <v>7721</v>
      </c>
      <c r="I5" s="168" t="s">
        <v>7722</v>
      </c>
      <c r="J5" s="125"/>
      <c r="K5" s="114" t="s">
        <v>7723</v>
      </c>
      <c r="L5" s="190"/>
      <c r="M5" s="137" t="s">
        <v>7724</v>
      </c>
      <c r="N5" s="137" t="s">
        <v>7725</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7726</v>
      </c>
      <c r="AD5" s="143"/>
      <c r="AE5" s="127" t="str">
        <f>IFERROR(__xludf.DUMMYFUNCTION("GOOGLETRANSLATE(A5,""zh-tw"",""ru"")"),"Карри с рисом")</f>
        <v>Карри с рисом</v>
      </c>
      <c r="AF5" s="372"/>
      <c r="AG5" s="168" t="str">
        <f>IFERROR(__xludf.DUMMYFUNCTION("GOOGLETRANSLATE(C5,""zh-tw"",""ru"")"),"Белый рис")</f>
        <v>Белый рис</v>
      </c>
      <c r="AH5" s="168" t="str">
        <f>IFERROR(__xludf.DUMMYFUNCTION("GOOGLETRANSLATE(D5,""zh-tw"",""ru"")"),"кубики карри")</f>
        <v>кубики карри</v>
      </c>
      <c r="AI5" s="168"/>
      <c r="AJ5" s="376" t="s">
        <v>7727</v>
      </c>
      <c r="AK5" s="373"/>
      <c r="AL5" s="137" t="s">
        <v>7728</v>
      </c>
      <c r="AM5" s="137" t="s">
        <v>7729</v>
      </c>
      <c r="AN5" s="143"/>
      <c r="AO5" s="139" t="s">
        <v>7730</v>
      </c>
      <c r="AP5" s="190"/>
      <c r="AQ5" s="143" t="s">
        <v>7731</v>
      </c>
      <c r="AR5" s="143" t="s">
        <v>7732</v>
      </c>
      <c r="AS5" s="125"/>
      <c r="AT5" s="127" t="s">
        <v>7733</v>
      </c>
      <c r="AU5" s="191"/>
      <c r="AV5" s="143" t="s">
        <v>7734</v>
      </c>
      <c r="AW5" s="137" t="s">
        <v>7735</v>
      </c>
      <c r="AX5" s="28"/>
      <c r="AY5" s="125"/>
      <c r="AZ5" s="125"/>
      <c r="BA5" s="125"/>
      <c r="BB5" s="125"/>
      <c r="BC5" s="125"/>
    </row>
    <row r="6">
      <c r="A6" s="127" t="s">
        <v>7736</v>
      </c>
      <c r="B6" s="190"/>
      <c r="C6" s="168" t="s">
        <v>5465</v>
      </c>
      <c r="D6" s="168" t="s">
        <v>7737</v>
      </c>
      <c r="E6" s="125"/>
      <c r="F6" s="127" t="s">
        <v>7738</v>
      </c>
      <c r="G6" s="190"/>
      <c r="H6" s="168" t="s">
        <v>5466</v>
      </c>
      <c r="I6" s="168" t="s">
        <v>7739</v>
      </c>
      <c r="J6" s="125"/>
      <c r="K6" s="117" t="s">
        <v>7740</v>
      </c>
      <c r="L6" s="190"/>
      <c r="M6" s="137" t="s">
        <v>5467</v>
      </c>
      <c r="N6" s="137" t="s">
        <v>7741</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7742</v>
      </c>
      <c r="AK6" s="373"/>
      <c r="AL6" s="137" t="s">
        <v>5468</v>
      </c>
      <c r="AM6" s="137" t="s">
        <v>7743</v>
      </c>
      <c r="AN6" s="143"/>
      <c r="AO6" s="139" t="s">
        <v>7744</v>
      </c>
      <c r="AP6" s="190"/>
      <c r="AQ6" s="143" t="s">
        <v>5469</v>
      </c>
      <c r="AR6" s="143" t="s">
        <v>7745</v>
      </c>
      <c r="AS6" s="125"/>
      <c r="AT6" s="127" t="s">
        <v>7746</v>
      </c>
      <c r="AU6" s="191"/>
      <c r="AV6" s="143" t="s">
        <v>5470</v>
      </c>
      <c r="AW6" s="143" t="s">
        <v>7747</v>
      </c>
      <c r="AX6" s="28"/>
      <c r="AY6" s="125"/>
      <c r="AZ6" s="125"/>
      <c r="BA6" s="125"/>
      <c r="BB6" s="125"/>
      <c r="BC6" s="125"/>
    </row>
    <row r="7">
      <c r="A7" s="127" t="s">
        <v>7748</v>
      </c>
      <c r="B7" s="190"/>
      <c r="C7" s="168" t="s">
        <v>5465</v>
      </c>
      <c r="D7" s="125"/>
      <c r="E7" s="125"/>
      <c r="F7" s="127" t="s">
        <v>7749</v>
      </c>
      <c r="G7" s="190"/>
      <c r="H7" s="168" t="s">
        <v>5466</v>
      </c>
      <c r="I7" s="125"/>
      <c r="J7" s="125"/>
      <c r="K7" s="117" t="s">
        <v>7750</v>
      </c>
      <c r="L7" s="190"/>
      <c r="M7" s="137" t="s">
        <v>5467</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IFERROR(__xludf.DUMMYFUNCTION("GOOGLETRANSLATE(A7,""zh-tw"",""ru"")"),"Печеные яблоки")</f>
        <v>Печеные яблоки</v>
      </c>
      <c r="AF7" s="372"/>
      <c r="AG7" s="168" t="str">
        <f>IFERROR(__xludf.DUMMYFUNCTION("GOOGLETRANSLATE(C7,""zh-tw"",""ru"")"),"яблоко")</f>
        <v>яблоко</v>
      </c>
      <c r="AH7" s="168"/>
      <c r="AI7" s="168"/>
      <c r="AJ7" s="376" t="s">
        <v>7751</v>
      </c>
      <c r="AK7" s="373"/>
      <c r="AL7" s="137" t="s">
        <v>5468</v>
      </c>
      <c r="AM7" s="143"/>
      <c r="AN7" s="143"/>
      <c r="AO7" s="139" t="s">
        <v>7752</v>
      </c>
      <c r="AP7" s="190"/>
      <c r="AQ7" s="143" t="s">
        <v>5469</v>
      </c>
      <c r="AR7" s="125"/>
      <c r="AS7" s="125"/>
      <c r="AT7" s="127" t="s">
        <v>7753</v>
      </c>
      <c r="AU7" s="191"/>
      <c r="AV7" s="143" t="s">
        <v>5470</v>
      </c>
      <c r="AW7" s="28"/>
      <c r="AX7" s="28"/>
      <c r="AY7" s="125"/>
      <c r="AZ7" s="125"/>
      <c r="BA7" s="125"/>
      <c r="BB7" s="125"/>
      <c r="BC7" s="125"/>
    </row>
    <row r="8">
      <c r="A8" s="127" t="s">
        <v>7754</v>
      </c>
      <c r="B8" s="190"/>
      <c r="C8" s="168" t="s">
        <v>7755</v>
      </c>
      <c r="F8" s="127" t="s">
        <v>7756</v>
      </c>
      <c r="G8" s="190"/>
      <c r="H8" s="168" t="s">
        <v>668</v>
      </c>
      <c r="I8" s="125"/>
      <c r="J8" s="125"/>
      <c r="K8" s="117" t="s">
        <v>7757</v>
      </c>
      <c r="L8" s="190"/>
      <c r="M8" s="137" t="s">
        <v>7758</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pescar en el río y obtener conchas).")</f>
        <v>Aún no implementado (más adelante, podrás pescar en el río y obtener conchas).</v>
      </c>
      <c r="Z8" s="376" t="s">
        <v>7759</v>
      </c>
      <c r="AA8" s="373"/>
      <c r="AB8" s="137" t="s">
        <v>677</v>
      </c>
      <c r="AE8" s="127" t="str">
        <f>IFERROR(__xludf.DUMMYFUNCTION("GOOGLETRANSLATE(A8,""zh-tw"",""ru"")"),"Жареные моллюски")</f>
        <v>Жареные моллюски</v>
      </c>
      <c r="AF8" s="372"/>
      <c r="AG8" s="168"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6" t="s">
        <v>7760</v>
      </c>
      <c r="AK8" s="373"/>
      <c r="AL8" s="137" t="s">
        <v>7761</v>
      </c>
      <c r="AO8" s="139" t="s">
        <v>7762</v>
      </c>
      <c r="AP8" s="190"/>
      <c r="AQ8" s="143" t="s">
        <v>7763</v>
      </c>
      <c r="AR8" s="125"/>
      <c r="AS8" s="125"/>
      <c r="AT8" s="127" t="s">
        <v>7764</v>
      </c>
      <c r="AU8" s="191"/>
      <c r="AV8" s="143" t="s">
        <v>2238</v>
      </c>
      <c r="AW8" s="28"/>
      <c r="AX8" s="28"/>
      <c r="AY8" s="125"/>
      <c r="AZ8" s="125"/>
      <c r="BA8" s="125"/>
      <c r="BB8" s="125"/>
      <c r="BC8" s="125"/>
    </row>
    <row r="9">
      <c r="A9" s="127" t="s">
        <v>7765</v>
      </c>
      <c r="B9" s="190"/>
      <c r="C9" s="168" t="s">
        <v>7766</v>
      </c>
      <c r="D9" s="125"/>
      <c r="E9" s="125"/>
      <c r="F9" s="127" t="s">
        <v>7767</v>
      </c>
      <c r="G9" s="190"/>
      <c r="H9" s="168" t="s">
        <v>7766</v>
      </c>
      <c r="I9" s="125"/>
      <c r="J9" s="125"/>
      <c r="K9" s="117" t="s">
        <v>7768</v>
      </c>
      <c r="L9" s="190"/>
      <c r="M9" s="137" t="s">
        <v>7769</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7770</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7771</v>
      </c>
      <c r="AK9" s="373"/>
      <c r="AL9" s="137" t="s">
        <v>7772</v>
      </c>
      <c r="AM9" s="143"/>
      <c r="AN9" s="143"/>
      <c r="AO9" s="139" t="s">
        <v>7773</v>
      </c>
      <c r="AP9" s="190"/>
      <c r="AQ9" s="143" t="s">
        <v>7774</v>
      </c>
      <c r="AR9" s="125"/>
      <c r="AS9" s="125"/>
      <c r="AT9" s="127" t="s">
        <v>7775</v>
      </c>
      <c r="AU9" s="191"/>
      <c r="AV9" s="143" t="s">
        <v>7776</v>
      </c>
      <c r="AW9" s="28"/>
      <c r="AX9" s="28"/>
      <c r="AY9" s="125"/>
      <c r="AZ9" s="125"/>
      <c r="BA9" s="125"/>
      <c r="BB9" s="125"/>
      <c r="BC9" s="125"/>
    </row>
    <row r="10">
      <c r="A10" s="127" t="s">
        <v>7777</v>
      </c>
      <c r="B10" s="190"/>
      <c r="C10" s="168" t="s">
        <v>7778</v>
      </c>
      <c r="D10" s="168" t="s">
        <v>7778</v>
      </c>
      <c r="E10" s="168" t="s">
        <v>7778</v>
      </c>
      <c r="F10" s="127" t="s">
        <v>7779</v>
      </c>
      <c r="G10" s="190"/>
      <c r="H10" s="168" t="s">
        <v>7780</v>
      </c>
      <c r="I10" s="168" t="s">
        <v>7780</v>
      </c>
      <c r="J10" s="168" t="s">
        <v>7780</v>
      </c>
      <c r="K10" s="117" t="s">
        <v>7781</v>
      </c>
      <c r="L10" s="190"/>
      <c r="M10" s="137" t="s">
        <v>7782</v>
      </c>
      <c r="N10" s="137" t="s">
        <v>7782</v>
      </c>
      <c r="O10" s="137" t="s">
        <v>7782</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7783</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7784</v>
      </c>
      <c r="AK10" s="373"/>
      <c r="AL10" s="137" t="s">
        <v>7785</v>
      </c>
      <c r="AM10" s="137" t="s">
        <v>7785</v>
      </c>
      <c r="AN10" s="137" t="s">
        <v>7785</v>
      </c>
      <c r="AO10" s="139" t="s">
        <v>7786</v>
      </c>
      <c r="AP10" s="190"/>
      <c r="AQ10" s="143" t="s">
        <v>7787</v>
      </c>
      <c r="AR10" s="143" t="s">
        <v>7787</v>
      </c>
      <c r="AS10" s="143" t="s">
        <v>7787</v>
      </c>
      <c r="AT10" s="127" t="s">
        <v>7788</v>
      </c>
      <c r="AU10" s="191"/>
      <c r="AV10" s="143" t="s">
        <v>7789</v>
      </c>
      <c r="AW10" s="143" t="s">
        <v>7789</v>
      </c>
      <c r="AX10" s="143" t="s">
        <v>7789</v>
      </c>
      <c r="AY10" s="143"/>
      <c r="AZ10" s="143"/>
      <c r="BA10" s="143"/>
      <c r="BB10" s="143"/>
      <c r="BC10" s="143"/>
    </row>
    <row r="11">
      <c r="A11" s="134" t="s">
        <v>7790</v>
      </c>
      <c r="B11" s="190"/>
      <c r="C11" s="168" t="s">
        <v>7791</v>
      </c>
      <c r="D11" s="168" t="s">
        <v>5488</v>
      </c>
      <c r="E11" s="125"/>
      <c r="F11" s="127" t="s">
        <v>7792</v>
      </c>
      <c r="G11" s="190"/>
      <c r="H11" s="168" t="s">
        <v>7793</v>
      </c>
      <c r="I11" s="168" t="s">
        <v>7794</v>
      </c>
      <c r="J11" s="125"/>
      <c r="K11" s="117" t="s">
        <v>7795</v>
      </c>
      <c r="L11" s="190"/>
      <c r="M11" s="137" t="s">
        <v>7796</v>
      </c>
      <c r="N11" s="137" t="s">
        <v>5490</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7797</v>
      </c>
      <c r="AA11" s="373"/>
      <c r="AB11" s="137" t="s">
        <v>7798</v>
      </c>
      <c r="AC11" s="143" t="str">
        <f>IFERROR(__xludf.DUMMYFUNCTION("GOOGLETRANSLATE(D11,""zh-tw"",""KO"")"),"감자")</f>
        <v>감자</v>
      </c>
      <c r="AD11" s="143"/>
      <c r="AE11" s="127" t="str">
        <f>IFERROR(__xludf.DUMMYFUNCTION("GOOGLETRANSLATE(A11,""zh-tw"",""ru"")"),"Жареные на гриле шашлычки")</f>
        <v>Жареные на гриле шашлычки</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7799</v>
      </c>
      <c r="AK11" s="373"/>
      <c r="AL11" s="137" t="s">
        <v>7800</v>
      </c>
      <c r="AM11" s="137" t="s">
        <v>5493</v>
      </c>
      <c r="AN11" s="143"/>
      <c r="AO11" s="107" t="s">
        <v>7795</v>
      </c>
      <c r="AP11" s="190"/>
      <c r="AQ11" s="143" t="s">
        <v>7801</v>
      </c>
      <c r="AR11" s="143" t="s">
        <v>5495</v>
      </c>
      <c r="AS11" s="125"/>
      <c r="AT11" s="127" t="s">
        <v>7795</v>
      </c>
      <c r="AU11" s="191"/>
      <c r="AV11" s="143" t="s">
        <v>7802</v>
      </c>
      <c r="AW11" s="143" t="s">
        <v>5497</v>
      </c>
      <c r="AX11" s="28"/>
      <c r="AY11" s="125"/>
      <c r="AZ11" s="125"/>
      <c r="BA11" s="125"/>
      <c r="BB11" s="125"/>
      <c r="BC11" s="125"/>
    </row>
    <row r="12">
      <c r="A12" s="127" t="s">
        <v>7803</v>
      </c>
      <c r="B12" s="190"/>
      <c r="C12" s="168" t="s">
        <v>7718</v>
      </c>
      <c r="D12" s="125"/>
      <c r="E12" s="125"/>
      <c r="F12" s="127" t="s">
        <v>7804</v>
      </c>
      <c r="G12" s="190"/>
      <c r="H12" s="168" t="s">
        <v>7721</v>
      </c>
      <c r="I12" s="125"/>
      <c r="J12" s="125"/>
      <c r="K12" s="117" t="s">
        <v>7805</v>
      </c>
      <c r="L12" s="190"/>
      <c r="M12" s="137" t="s">
        <v>7724</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7806</v>
      </c>
      <c r="AK12" s="373"/>
      <c r="AL12" s="137" t="s">
        <v>7728</v>
      </c>
      <c r="AM12" s="143"/>
      <c r="AN12" s="143"/>
      <c r="AO12" s="139" t="s">
        <v>7807</v>
      </c>
      <c r="AP12" s="190"/>
      <c r="AQ12" s="143" t="s">
        <v>7731</v>
      </c>
      <c r="AR12" s="125"/>
      <c r="AS12" s="125"/>
      <c r="AT12" s="127" t="s">
        <v>7805</v>
      </c>
      <c r="AU12" s="191"/>
      <c r="AV12" s="143" t="s">
        <v>7734</v>
      </c>
      <c r="AW12" s="28"/>
      <c r="AX12" s="28"/>
      <c r="AY12" s="125"/>
      <c r="AZ12" s="125"/>
      <c r="BA12" s="125"/>
      <c r="BB12" s="125"/>
      <c r="BC12" s="125"/>
    </row>
    <row r="13">
      <c r="A13" s="127" t="s">
        <v>7808</v>
      </c>
      <c r="B13" s="190"/>
      <c r="C13" s="168" t="s">
        <v>7718</v>
      </c>
      <c r="D13" s="168" t="s">
        <v>7719</v>
      </c>
      <c r="E13" s="168" t="s">
        <v>7791</v>
      </c>
      <c r="F13" s="127" t="s">
        <v>7809</v>
      </c>
      <c r="G13" s="190"/>
      <c r="H13" s="168" t="s">
        <v>7721</v>
      </c>
      <c r="I13" s="168" t="s">
        <v>7722</v>
      </c>
      <c r="J13" s="168" t="s">
        <v>7793</v>
      </c>
      <c r="K13" s="114" t="s">
        <v>7810</v>
      </c>
      <c r="L13" s="190"/>
      <c r="M13" s="137" t="s">
        <v>7724</v>
      </c>
      <c r="N13" s="137" t="s">
        <v>7725</v>
      </c>
      <c r="O13" s="137" t="s">
        <v>7796</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7811</v>
      </c>
      <c r="AA13" s="373"/>
      <c r="AB13" s="143" t="str">
        <f>IFERROR(__xludf.DUMMYFUNCTION("GOOGLETRANSLATE(C13,""zh-tw"",""KO"")"),"흰쌀")</f>
        <v>흰쌀</v>
      </c>
      <c r="AC13" s="137" t="s">
        <v>7726</v>
      </c>
      <c r="AD13" s="137" t="s">
        <v>7798</v>
      </c>
      <c r="AE13" s="127" t="str">
        <f>IFERROR(__xludf.DUMMYFUNCTION("GOOGLETRANSLATE(A13,""zh-tw"",""ru"")"),"Свиная отбивная с карри и рисом")</f>
        <v>Свиная отбивная с карри и рисом</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7812</v>
      </c>
      <c r="AK13" s="373"/>
      <c r="AL13" s="137" t="s">
        <v>7728</v>
      </c>
      <c r="AM13" s="137" t="s">
        <v>7729</v>
      </c>
      <c r="AN13" s="137" t="s">
        <v>7800</v>
      </c>
      <c r="AO13" s="139" t="s">
        <v>7813</v>
      </c>
      <c r="AP13" s="190"/>
      <c r="AQ13" s="143" t="s">
        <v>7731</v>
      </c>
      <c r="AR13" s="143" t="s">
        <v>7732</v>
      </c>
      <c r="AS13" s="143" t="s">
        <v>7801</v>
      </c>
      <c r="AT13" s="127" t="s">
        <v>7814</v>
      </c>
      <c r="AU13" s="191"/>
      <c r="AV13" s="143" t="s">
        <v>7734</v>
      </c>
      <c r="AW13" s="137" t="s">
        <v>7735</v>
      </c>
      <c r="AX13" s="143" t="s">
        <v>7802</v>
      </c>
      <c r="AY13" s="143"/>
      <c r="AZ13" s="143"/>
      <c r="BA13" s="143"/>
      <c r="BB13" s="143"/>
      <c r="BC13" s="143"/>
    </row>
    <row r="14">
      <c r="A14" s="127" t="s">
        <v>7815</v>
      </c>
      <c r="B14" s="363" t="s">
        <v>263</v>
      </c>
      <c r="C14" s="168" t="s">
        <v>4909</v>
      </c>
      <c r="D14" s="125"/>
      <c r="E14" s="125"/>
      <c r="F14" s="127" t="s">
        <v>7816</v>
      </c>
      <c r="G14" s="363" t="s">
        <v>263</v>
      </c>
      <c r="H14" s="168" t="s">
        <v>7817</v>
      </c>
      <c r="I14" s="125"/>
      <c r="J14" s="125"/>
      <c r="K14" s="117" t="s">
        <v>7818</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7819</v>
      </c>
      <c r="AA14" s="373" t="s">
        <v>263</v>
      </c>
      <c r="AB14" s="137" t="s">
        <v>7820</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7821</v>
      </c>
      <c r="AK14" s="373" t="s">
        <v>263</v>
      </c>
      <c r="AL14" s="137" t="s">
        <v>7822</v>
      </c>
      <c r="AM14" s="143"/>
      <c r="AN14" s="143"/>
      <c r="AO14" s="139" t="s">
        <v>7823</v>
      </c>
      <c r="AP14" s="363" t="s">
        <v>263</v>
      </c>
      <c r="AQ14" s="143" t="s">
        <v>4919</v>
      </c>
      <c r="AR14" s="125"/>
      <c r="AS14" s="125"/>
      <c r="AT14" s="127" t="s">
        <v>7824</v>
      </c>
      <c r="AU14" s="363" t="s">
        <v>263</v>
      </c>
      <c r="AV14" s="143" t="s">
        <v>4921</v>
      </c>
      <c r="AW14" s="28"/>
      <c r="AX14" s="28"/>
      <c r="AY14" s="125"/>
      <c r="AZ14" s="125"/>
      <c r="BA14" s="125"/>
      <c r="BB14" s="125"/>
      <c r="BC14" s="125"/>
    </row>
    <row r="15">
      <c r="A15" s="127" t="s">
        <v>7825</v>
      </c>
      <c r="B15" s="363" t="s">
        <v>263</v>
      </c>
      <c r="C15" s="168" t="s">
        <v>7791</v>
      </c>
      <c r="D15" s="125"/>
      <c r="E15" s="125"/>
      <c r="F15" s="127" t="s">
        <v>7826</v>
      </c>
      <c r="G15" s="363" t="s">
        <v>263</v>
      </c>
      <c r="H15" s="168" t="s">
        <v>7793</v>
      </c>
      <c r="I15" s="125"/>
      <c r="J15" s="125"/>
      <c r="K15" s="117" t="s">
        <v>7827</v>
      </c>
      <c r="L15" s="363" t="s">
        <v>263</v>
      </c>
      <c r="M15" s="137" t="s">
        <v>7796</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덩어리")</f>
        <v>구운 고기 덩어리</v>
      </c>
      <c r="AA15" s="373" t="s">
        <v>263</v>
      </c>
      <c r="AB15" s="137" t="s">
        <v>7798</v>
      </c>
      <c r="AC15" s="143"/>
      <c r="AD15" s="143"/>
      <c r="AE15" s="127" t="str">
        <f>IFERROR(__xludf.DUMMYFUNCTION("GOOGLETRANSLATE(A15,""zh-tw"",""ru"")"),"Жареные кусочки мяса")</f>
        <v>Жареные кусочки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7828</v>
      </c>
      <c r="AK15" s="373" t="s">
        <v>263</v>
      </c>
      <c r="AL15" s="137" t="s">
        <v>7800</v>
      </c>
      <c r="AM15" s="143"/>
      <c r="AN15" s="143"/>
      <c r="AO15" s="139" t="s">
        <v>7829</v>
      </c>
      <c r="AP15" s="363" t="s">
        <v>263</v>
      </c>
      <c r="AQ15" s="143" t="s">
        <v>7801</v>
      </c>
      <c r="AR15" s="125"/>
      <c r="AS15" s="125"/>
      <c r="AT15" s="127" t="s">
        <v>7830</v>
      </c>
      <c r="AU15" s="363" t="s">
        <v>263</v>
      </c>
      <c r="AV15" s="143" t="s">
        <v>7802</v>
      </c>
      <c r="AW15" s="28"/>
      <c r="AX15" s="28"/>
      <c r="AY15" s="125"/>
      <c r="AZ15" s="125"/>
      <c r="BA15" s="125"/>
      <c r="BB15" s="125"/>
      <c r="BC15" s="125"/>
    </row>
    <row r="16">
      <c r="A16" s="127" t="s">
        <v>7831</v>
      </c>
      <c r="B16" s="363" t="s">
        <v>263</v>
      </c>
      <c r="C16" s="168" t="s">
        <v>7791</v>
      </c>
      <c r="D16" s="168" t="s">
        <v>7791</v>
      </c>
      <c r="E16" s="125"/>
      <c r="F16" s="127" t="s">
        <v>7832</v>
      </c>
      <c r="G16" s="363" t="s">
        <v>263</v>
      </c>
      <c r="H16" s="168" t="s">
        <v>7793</v>
      </c>
      <c r="I16" s="168" t="s">
        <v>7793</v>
      </c>
      <c r="J16" s="125"/>
      <c r="K16" s="117" t="s">
        <v>7833</v>
      </c>
      <c r="L16" s="363" t="s">
        <v>263</v>
      </c>
      <c r="M16" s="137" t="s">
        <v>7796</v>
      </c>
      <c r="N16" s="137" t="s">
        <v>7796</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7834</v>
      </c>
      <c r="AA16" s="373" t="s">
        <v>263</v>
      </c>
      <c r="AB16" s="137" t="s">
        <v>7798</v>
      </c>
      <c r="AC16" s="137" t="s">
        <v>7798</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7835</v>
      </c>
      <c r="AK16" s="373" t="s">
        <v>263</v>
      </c>
      <c r="AL16" s="137" t="s">
        <v>7800</v>
      </c>
      <c r="AM16" s="137" t="s">
        <v>7800</v>
      </c>
      <c r="AN16" s="143"/>
      <c r="AO16" s="139" t="s">
        <v>7836</v>
      </c>
      <c r="AP16" s="363" t="s">
        <v>263</v>
      </c>
      <c r="AQ16" s="143" t="s">
        <v>7801</v>
      </c>
      <c r="AR16" s="143" t="s">
        <v>7801</v>
      </c>
      <c r="AS16" s="125"/>
      <c r="AT16" s="127" t="s">
        <v>7837</v>
      </c>
      <c r="AU16" s="363" t="s">
        <v>263</v>
      </c>
      <c r="AV16" s="143" t="s">
        <v>7802</v>
      </c>
      <c r="AW16" s="143" t="s">
        <v>7802</v>
      </c>
      <c r="AX16" s="28"/>
      <c r="AY16" s="125"/>
      <c r="AZ16" s="125"/>
      <c r="BA16" s="125"/>
      <c r="BB16" s="125"/>
      <c r="BC16" s="125"/>
    </row>
    <row r="17">
      <c r="A17" s="134" t="s">
        <v>7838</v>
      </c>
      <c r="B17" s="363" t="s">
        <v>263</v>
      </c>
      <c r="C17" s="168" t="s">
        <v>7791</v>
      </c>
      <c r="D17" s="168" t="s">
        <v>7791</v>
      </c>
      <c r="E17" s="168" t="s">
        <v>7791</v>
      </c>
      <c r="F17" s="127" t="s">
        <v>7839</v>
      </c>
      <c r="G17" s="363" t="s">
        <v>263</v>
      </c>
      <c r="H17" s="168" t="s">
        <v>7793</v>
      </c>
      <c r="I17" s="168" t="s">
        <v>7793</v>
      </c>
      <c r="J17" s="168" t="s">
        <v>7793</v>
      </c>
      <c r="K17" s="117" t="s">
        <v>7840</v>
      </c>
      <c r="L17" s="363" t="s">
        <v>263</v>
      </c>
      <c r="M17" s="137" t="s">
        <v>7796</v>
      </c>
      <c r="N17" s="137" t="s">
        <v>7796</v>
      </c>
      <c r="O17" s="137" t="s">
        <v>7796</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7841</v>
      </c>
      <c r="AA17" s="373" t="s">
        <v>263</v>
      </c>
      <c r="AB17" s="137" t="s">
        <v>7798</v>
      </c>
      <c r="AC17" s="316" t="s">
        <v>7798</v>
      </c>
      <c r="AD17" s="316" t="s">
        <v>7798</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7842</v>
      </c>
      <c r="AK17" s="373" t="s">
        <v>263</v>
      </c>
      <c r="AL17" s="137" t="s">
        <v>7800</v>
      </c>
      <c r="AM17" s="137" t="s">
        <v>7800</v>
      </c>
      <c r="AN17" s="137" t="s">
        <v>7800</v>
      </c>
      <c r="AO17" s="107" t="s">
        <v>7843</v>
      </c>
      <c r="AP17" s="363" t="s">
        <v>263</v>
      </c>
      <c r="AQ17" s="143" t="s">
        <v>7801</v>
      </c>
      <c r="AR17" s="143" t="s">
        <v>7801</v>
      </c>
      <c r="AS17" s="143" t="s">
        <v>7801</v>
      </c>
      <c r="AT17" s="127" t="s">
        <v>7844</v>
      </c>
      <c r="AU17" s="363" t="s">
        <v>263</v>
      </c>
      <c r="AV17" s="143" t="s">
        <v>7802</v>
      </c>
      <c r="AW17" s="143" t="s">
        <v>7802</v>
      </c>
      <c r="AX17" s="143" t="s">
        <v>7802</v>
      </c>
      <c r="AY17" s="143"/>
      <c r="AZ17" s="143"/>
      <c r="BA17" s="143"/>
      <c r="BB17" s="143"/>
      <c r="BC17" s="143"/>
    </row>
    <row r="18">
      <c r="A18" s="127" t="s">
        <v>7845</v>
      </c>
      <c r="B18" s="363" t="s">
        <v>263</v>
      </c>
      <c r="C18" s="168" t="s">
        <v>7718</v>
      </c>
      <c r="D18" s="168" t="s">
        <v>7791</v>
      </c>
      <c r="E18" s="125"/>
      <c r="F18" s="127" t="s">
        <v>7846</v>
      </c>
      <c r="G18" s="363" t="s">
        <v>263</v>
      </c>
      <c r="H18" s="168" t="s">
        <v>7721</v>
      </c>
      <c r="I18" s="168" t="s">
        <v>7793</v>
      </c>
      <c r="J18" s="125"/>
      <c r="K18" s="117" t="s">
        <v>7847</v>
      </c>
      <c r="L18" s="363" t="s">
        <v>263</v>
      </c>
      <c r="M18" s="137" t="s">
        <v>7848</v>
      </c>
      <c r="N18" s="137" t="s">
        <v>7796</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7849</v>
      </c>
      <c r="AA18" s="373" t="s">
        <v>263</v>
      </c>
      <c r="AB18" s="143" t="str">
        <f>IFERROR(__xludf.DUMMYFUNCTION("GOOGLETRANSLATE(C18,""zh-tw"",""KO"")"),"흰쌀")</f>
        <v>흰쌀</v>
      </c>
      <c r="AC18" s="137" t="s">
        <v>7798</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7850</v>
      </c>
      <c r="AK18" s="373" t="s">
        <v>263</v>
      </c>
      <c r="AL18" s="137" t="s">
        <v>7728</v>
      </c>
      <c r="AM18" s="137" t="s">
        <v>7800</v>
      </c>
      <c r="AN18" s="143"/>
      <c r="AO18" s="139" t="s">
        <v>7851</v>
      </c>
      <c r="AP18" s="363" t="s">
        <v>263</v>
      </c>
      <c r="AQ18" s="143" t="s">
        <v>7731</v>
      </c>
      <c r="AR18" s="143" t="s">
        <v>7801</v>
      </c>
      <c r="AS18" s="125"/>
      <c r="AT18" s="127" t="s">
        <v>7852</v>
      </c>
      <c r="AU18" s="363" t="s">
        <v>263</v>
      </c>
      <c r="AV18" s="143" t="s">
        <v>7853</v>
      </c>
      <c r="AW18" s="143" t="s">
        <v>7802</v>
      </c>
      <c r="AX18" s="28"/>
      <c r="AY18" s="125"/>
      <c r="AZ18" s="125"/>
      <c r="BA18" s="125"/>
      <c r="BB18" s="125"/>
      <c r="BC18" s="125"/>
    </row>
    <row r="19">
      <c r="A19" s="127" t="s">
        <v>7854</v>
      </c>
      <c r="B19" s="190"/>
      <c r="C19" s="168" t="s">
        <v>7855</v>
      </c>
      <c r="D19" s="125"/>
      <c r="E19" s="125"/>
      <c r="F19" s="127" t="s">
        <v>7856</v>
      </c>
      <c r="G19" s="190"/>
      <c r="H19" s="168" t="s">
        <v>7857</v>
      </c>
      <c r="I19" s="125"/>
      <c r="J19" s="125"/>
      <c r="K19" s="114" t="s">
        <v>7858</v>
      </c>
      <c r="L19" s="190"/>
      <c r="M19" s="137" t="s">
        <v>7859</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젤리(파란색)")</f>
        <v>이상한 슬라임 젤리(파란색)</v>
      </c>
      <c r="AA19" s="373"/>
      <c r="AB19" s="137" t="s">
        <v>7860</v>
      </c>
      <c r="AC19" s="143"/>
      <c r="AD19" s="143"/>
      <c r="AE19" s="127" t="str">
        <f>IFERROR(__xludf.DUMMYFUNCTION("GOOGLETRANSLATE(A19,""zh-tw"",""ru"")"),"Странное желеобразное лизун (синее)")</f>
        <v>Странное желеобразное лизун (синее)</v>
      </c>
      <c r="AF19" s="372"/>
      <c r="AG19" s="168" t="str">
        <f>IFERROR(__xludf.DUMMYFUNCTION("GOOGLETRANSLATE(C19,""zh-tw"",""ru"")"),"Водяной монстр-слизь")</f>
        <v>Водяной монстр-слизь</v>
      </c>
      <c r="AH19" s="168"/>
      <c r="AI19" s="168"/>
      <c r="AJ19" s="376" t="s">
        <v>7861</v>
      </c>
      <c r="AK19" s="373"/>
      <c r="AL19" s="137" t="s">
        <v>7862</v>
      </c>
      <c r="AM19" s="143"/>
      <c r="AN19" s="143"/>
      <c r="AO19" s="139" t="s">
        <v>7863</v>
      </c>
      <c r="AP19" s="190"/>
      <c r="AQ19" s="143" t="s">
        <v>7864</v>
      </c>
      <c r="AR19" s="125"/>
      <c r="AS19" s="125"/>
      <c r="AT19" s="127" t="s">
        <v>7865</v>
      </c>
      <c r="AU19" s="191"/>
      <c r="AV19" s="143" t="s">
        <v>7866</v>
      </c>
      <c r="AW19" s="28"/>
      <c r="AX19" s="28"/>
      <c r="AY19" s="125"/>
      <c r="AZ19" s="125"/>
      <c r="BA19" s="125"/>
      <c r="BB19" s="125"/>
      <c r="BC19" s="125"/>
    </row>
    <row r="20">
      <c r="A20" s="127" t="s">
        <v>7867</v>
      </c>
      <c r="B20" s="190"/>
      <c r="C20" s="168" t="s">
        <v>7706</v>
      </c>
      <c r="D20" s="168" t="s">
        <v>4839</v>
      </c>
      <c r="E20" s="125"/>
      <c r="F20" s="127" t="s">
        <v>7868</v>
      </c>
      <c r="G20" s="190"/>
      <c r="H20" s="168" t="s">
        <v>7708</v>
      </c>
      <c r="I20" s="168" t="s">
        <v>7869</v>
      </c>
      <c r="J20" s="125"/>
      <c r="K20" s="117" t="s">
        <v>7870</v>
      </c>
      <c r="L20" s="190"/>
      <c r="M20" s="137" t="s">
        <v>7710</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7871</v>
      </c>
      <c r="AA20" s="373"/>
      <c r="AB20" s="137" t="s">
        <v>7711</v>
      </c>
      <c r="AC20" s="137" t="s">
        <v>7872</v>
      </c>
      <c r="AD20" s="143"/>
      <c r="AE20" s="127" t="str">
        <f>IFERROR(__xludf.DUMMYFUNCTION("GOOGLETRANSLATE(A20,""zh-tw"",""ru"")"),"Странное желеобразное лизун (розовое)")</f>
        <v>Странное желеобразное лизун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7873</v>
      </c>
      <c r="AK20" s="373"/>
      <c r="AL20" s="137" t="s">
        <v>7713</v>
      </c>
      <c r="AM20" s="137" t="s">
        <v>4845</v>
      </c>
      <c r="AN20" s="143"/>
      <c r="AO20" s="139" t="s">
        <v>7874</v>
      </c>
      <c r="AP20" s="190"/>
      <c r="AQ20" s="143" t="s">
        <v>7715</v>
      </c>
      <c r="AR20" s="143" t="s">
        <v>7875</v>
      </c>
      <c r="AS20" s="125"/>
      <c r="AT20" s="127" t="s">
        <v>7876</v>
      </c>
      <c r="AU20" s="191"/>
      <c r="AV20" s="143" t="s">
        <v>7716</v>
      </c>
      <c r="AW20" s="143" t="s">
        <v>7877</v>
      </c>
      <c r="AX20" s="28"/>
      <c r="AY20" s="125"/>
      <c r="AZ20" s="125"/>
      <c r="BA20" s="125"/>
      <c r="BB20" s="125"/>
      <c r="BC20" s="125"/>
    </row>
    <row r="21">
      <c r="A21" s="127" t="s">
        <v>7878</v>
      </c>
      <c r="B21" s="190"/>
      <c r="C21" s="168" t="s">
        <v>7706</v>
      </c>
      <c r="D21" s="168" t="s">
        <v>7879</v>
      </c>
      <c r="E21" s="125"/>
      <c r="F21" s="127" t="s">
        <v>7880</v>
      </c>
      <c r="G21" s="190"/>
      <c r="H21" s="168" t="s">
        <v>7708</v>
      </c>
      <c r="I21" s="168" t="s">
        <v>7881</v>
      </c>
      <c r="J21" s="125"/>
      <c r="K21" s="117" t="s">
        <v>7882</v>
      </c>
      <c r="L21" s="190"/>
      <c r="M21" s="137" t="s">
        <v>7710</v>
      </c>
      <c r="N21" s="137" t="s">
        <v>7883</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슬라임 젤리(검은색)")</f>
        <v>이상한 슬라임 젤리(검은색)</v>
      </c>
      <c r="AA21" s="373"/>
      <c r="AB21" s="137" t="s">
        <v>7711</v>
      </c>
      <c r="AC21" s="143" t="str">
        <f>IFERROR(__xludf.DUMMYFUNCTION("GOOGLETRANSLATE(D21,""zh-tw"",""KO"")"),"쓰레기")</f>
        <v>쓰레기</v>
      </c>
      <c r="AD21" s="143"/>
      <c r="AE21" s="127" t="str">
        <f>IFERROR(__xludf.DUMMYFUNCTION("GOOGLETRANSLATE(A21,""zh-tw"",""ru"")"),"Странная слизь-желе (черная)")</f>
        <v>Странная слизь-желе (черная)</v>
      </c>
      <c r="AF21" s="372"/>
      <c r="AG21" s="168" t="str">
        <f>IFERROR(__xludf.DUMMYFUNCTION("GOOGLETRANSLATE(C21,""zh-tw"",""ru"")"),"слизь")</f>
        <v>слизь</v>
      </c>
      <c r="AH21" s="168" t="str">
        <f>IFERROR(__xludf.DUMMYFUNCTION("GOOGLETRANSLATE(D21,""zh-tw"",""ru"")"),"Мусор")</f>
        <v>Мусор</v>
      </c>
      <c r="AI21" s="168"/>
      <c r="AJ21" s="376" t="s">
        <v>7884</v>
      </c>
      <c r="AK21" s="373"/>
      <c r="AL21" s="137" t="s">
        <v>7713</v>
      </c>
      <c r="AM21" s="137" t="s">
        <v>7885</v>
      </c>
      <c r="AN21" s="143"/>
      <c r="AO21" s="139" t="s">
        <v>7886</v>
      </c>
      <c r="AP21" s="190"/>
      <c r="AQ21" s="143" t="s">
        <v>7715</v>
      </c>
      <c r="AR21" s="143" t="s">
        <v>7887</v>
      </c>
      <c r="AS21" s="125"/>
      <c r="AT21" s="127" t="s">
        <v>7888</v>
      </c>
      <c r="AU21" s="191"/>
      <c r="AV21" s="143" t="s">
        <v>7716</v>
      </c>
      <c r="AW21" s="143" t="s">
        <v>7889</v>
      </c>
      <c r="AX21" s="28"/>
      <c r="AY21" s="125"/>
      <c r="AZ21" s="125"/>
      <c r="BA21" s="125"/>
      <c r="BB21" s="125"/>
      <c r="BC21" s="125"/>
    </row>
    <row r="22">
      <c r="A22" s="127" t="s">
        <v>7890</v>
      </c>
      <c r="B22" s="190"/>
      <c r="C22" s="168" t="s">
        <v>7855</v>
      </c>
      <c r="D22" s="168" t="s">
        <v>613</v>
      </c>
      <c r="E22" s="125"/>
      <c r="F22" s="127" t="s">
        <v>7891</v>
      </c>
      <c r="G22" s="190"/>
      <c r="H22" s="168" t="s">
        <v>7708</v>
      </c>
      <c r="I22" s="168" t="s">
        <v>616</v>
      </c>
      <c r="J22" s="125"/>
      <c r="K22" s="117" t="s">
        <v>7892</v>
      </c>
      <c r="L22" s="190"/>
      <c r="M22" s="137" t="s">
        <v>7710</v>
      </c>
      <c r="N22" s="137" t="s">
        <v>7893</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(컬러풀)")</f>
        <v>이상한 슬라임 젤리 (컬러풀)</v>
      </c>
      <c r="AA22" s="373"/>
      <c r="AB22" s="137" t="s">
        <v>7860</v>
      </c>
      <c r="AC22" s="137" t="s">
        <v>625</v>
      </c>
      <c r="AD22" s="143"/>
      <c r="AE22" s="127" t="str">
        <f>IFERROR(__xludf.DUMMYFUNCTION("GOOGLETRANSLATE(A22,""zh-tw"",""ru"")"),"Странная слизь-желе (цветная)")</f>
        <v>Странная слизь-желе (цветная)</v>
      </c>
      <c r="AF22" s="372"/>
      <c r="AG22" s="168" t="str">
        <f>IFERROR(__xludf.DUMMYFUNCTION("GOOGLETRANSLATE(C22,""zh-tw"",""ru"")"),"Водяной монстр-слизь")</f>
        <v>Водяной монстр-слизь</v>
      </c>
      <c r="AH22" s="168" t="str">
        <f>IFERROR(__xludf.DUMMYFUNCTION("GOOGLETRANSLATE(D22,""zh-tw"",""ru"")"),"ахоге")</f>
        <v>ахоге</v>
      </c>
      <c r="AI22" s="168"/>
      <c r="AJ22" s="376" t="s">
        <v>7894</v>
      </c>
      <c r="AK22" s="373"/>
      <c r="AL22" s="137" t="s">
        <v>7862</v>
      </c>
      <c r="AM22" s="137" t="s">
        <v>7895</v>
      </c>
      <c r="AN22" s="143"/>
      <c r="AO22" s="139" t="s">
        <v>7896</v>
      </c>
      <c r="AP22" s="190"/>
      <c r="AQ22" s="143" t="s">
        <v>7715</v>
      </c>
      <c r="AR22" s="143" t="s">
        <v>7897</v>
      </c>
      <c r="AS22" s="125"/>
      <c r="AT22" s="127" t="s">
        <v>7898</v>
      </c>
      <c r="AU22" s="191"/>
      <c r="AV22" s="143" t="s">
        <v>7716</v>
      </c>
      <c r="AW22" s="143" t="s">
        <v>7899</v>
      </c>
      <c r="AX22" s="28"/>
      <c r="AY22" s="125"/>
      <c r="AZ22" s="125"/>
      <c r="BA22" s="125"/>
      <c r="BB22" s="125"/>
      <c r="BC22" s="125"/>
    </row>
    <row r="23">
      <c r="A23" s="127" t="s">
        <v>7900</v>
      </c>
      <c r="B23" s="190"/>
      <c r="C23" s="168" t="s">
        <v>7901</v>
      </c>
      <c r="D23" s="125"/>
      <c r="E23" s="125"/>
      <c r="F23" s="127" t="s">
        <v>7902</v>
      </c>
      <c r="G23" s="190"/>
      <c r="H23" s="168" t="s">
        <v>7903</v>
      </c>
      <c r="I23" s="125"/>
      <c r="J23" s="125"/>
      <c r="K23" s="114" t="s">
        <v>7904</v>
      </c>
      <c r="L23" s="190"/>
      <c r="M23" s="137" t="s">
        <v>7905</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IFERROR(__xludf.DUMMYFUNCTION("GOOGLETRANSLATE(A23,""zh-tw"",""ru"")"),"Печеные бананы")</f>
        <v>Печеные бананы</v>
      </c>
      <c r="AF23" s="372"/>
      <c r="AG23" s="168" t="str">
        <f>IFERROR(__xludf.DUMMYFUNCTION("GOOGLETRANSLATE(C23,""zh-tw"",""ru"")"),"банан")</f>
        <v>банан</v>
      </c>
      <c r="AH23" s="168"/>
      <c r="AI23" s="168"/>
      <c r="AJ23" s="376" t="s">
        <v>7906</v>
      </c>
      <c r="AK23" s="373"/>
      <c r="AL23" s="137" t="s">
        <v>7907</v>
      </c>
      <c r="AM23" s="143"/>
      <c r="AN23" s="143"/>
      <c r="AO23" s="139" t="s">
        <v>7908</v>
      </c>
      <c r="AP23" s="190"/>
      <c r="AQ23" s="143" t="s">
        <v>7909</v>
      </c>
      <c r="AR23" s="125"/>
      <c r="AS23" s="125"/>
      <c r="AT23" s="127" t="s">
        <v>7904</v>
      </c>
      <c r="AU23" s="191"/>
      <c r="AV23" s="143" t="s">
        <v>7905</v>
      </c>
      <c r="AW23" s="28"/>
      <c r="AX23" s="28"/>
      <c r="AY23" s="125"/>
      <c r="AZ23" s="125"/>
      <c r="BA23" s="125"/>
      <c r="BB23" s="125"/>
      <c r="BC23" s="125"/>
    </row>
    <row r="24">
      <c r="A24" s="127" t="s">
        <v>7910</v>
      </c>
      <c r="B24" s="190"/>
      <c r="C24" s="168" t="s">
        <v>4909</v>
      </c>
      <c r="D24" s="168" t="s">
        <v>5488</v>
      </c>
      <c r="E24" s="168" t="s">
        <v>7911</v>
      </c>
      <c r="F24" s="127" t="s">
        <v>7912</v>
      </c>
      <c r="G24" s="190"/>
      <c r="H24" s="168" t="s">
        <v>7817</v>
      </c>
      <c r="I24" s="168" t="s">
        <v>7913</v>
      </c>
      <c r="J24" s="168" t="s">
        <v>7914</v>
      </c>
      <c r="K24" s="117" t="s">
        <v>7915</v>
      </c>
      <c r="L24" s="190"/>
      <c r="M24" s="137" t="s">
        <v>4914</v>
      </c>
      <c r="N24" s="137" t="s">
        <v>5490</v>
      </c>
      <c r="O24" s="137" t="s">
        <v>7916</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IFERROR(__xludf.DUMMYFUNCTION("GOOGLETRANSLATE(A24,""zh-tw"",""KO"")"),"보르시치")</f>
        <v>보르시치</v>
      </c>
      <c r="AA24" s="373"/>
      <c r="AB24" s="137" t="s">
        <v>7820</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7917</v>
      </c>
      <c r="AK24" s="373"/>
      <c r="AL24" s="137" t="s">
        <v>7822</v>
      </c>
      <c r="AM24" s="137" t="s">
        <v>5493</v>
      </c>
      <c r="AN24" s="137" t="s">
        <v>5493</v>
      </c>
      <c r="AO24" s="139" t="s">
        <v>7918</v>
      </c>
      <c r="AP24" s="190"/>
      <c r="AQ24" s="143" t="s">
        <v>4919</v>
      </c>
      <c r="AR24" s="143" t="s">
        <v>5495</v>
      </c>
      <c r="AS24" s="143" t="s">
        <v>7919</v>
      </c>
      <c r="AT24" s="127" t="s">
        <v>7915</v>
      </c>
      <c r="AU24" s="191"/>
      <c r="AV24" s="143" t="s">
        <v>4921</v>
      </c>
      <c r="AW24" s="143" t="s">
        <v>5497</v>
      </c>
      <c r="AX24" s="143" t="s">
        <v>7920</v>
      </c>
      <c r="AY24" s="143"/>
      <c r="AZ24" s="143"/>
      <c r="BA24" s="143"/>
      <c r="BB24" s="143"/>
      <c r="BC24" s="143"/>
    </row>
    <row r="25">
      <c r="A25" s="127" t="s">
        <v>7921</v>
      </c>
      <c r="B25" s="190"/>
      <c r="C25" s="168" t="s">
        <v>7922</v>
      </c>
      <c r="D25" s="125"/>
      <c r="E25" s="125"/>
      <c r="F25" s="127" t="s">
        <v>7923</v>
      </c>
      <c r="G25" s="190"/>
      <c r="H25" s="168" t="s">
        <v>7924</v>
      </c>
      <c r="I25" s="125"/>
      <c r="J25" s="125"/>
      <c r="K25" s="117" t="s">
        <v>7925</v>
      </c>
      <c r="L25" s="190"/>
      <c r="M25" s="137" t="s">
        <v>7926</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7927</v>
      </c>
      <c r="AA25" s="373"/>
      <c r="AB25" s="137" t="s">
        <v>7928</v>
      </c>
      <c r="AC25" s="143"/>
      <c r="AD25" s="143"/>
      <c r="AE25" s="127" t="str">
        <f>IFERROR(__xludf.DUMMYFUNCTION("GOOGLETRANSLATE(A25,""zh-tw"",""ru"")"),"Жареные ножки осьминога")</f>
        <v>Жареные ножки осьминога</v>
      </c>
      <c r="AF25" s="372"/>
      <c r="AG25" s="168" t="str">
        <f>IFERROR(__xludf.DUMMYFUNCTION("GOOGLETRANSLATE(C25,""zh-tw"",""ru"")"),"Ноги осьминога")</f>
        <v>Ноги осьминога</v>
      </c>
      <c r="AH25" s="168"/>
      <c r="AI25" s="168"/>
      <c r="AJ25" s="376" t="s">
        <v>7929</v>
      </c>
      <c r="AK25" s="373"/>
      <c r="AL25" s="137" t="s">
        <v>7930</v>
      </c>
      <c r="AM25" s="143"/>
      <c r="AN25" s="143"/>
      <c r="AO25" s="139" t="s">
        <v>7931</v>
      </c>
      <c r="AP25" s="190"/>
      <c r="AQ25" s="143" t="s">
        <v>7932</v>
      </c>
      <c r="AR25" s="125"/>
      <c r="AS25" s="125"/>
      <c r="AT25" s="127" t="s">
        <v>7933</v>
      </c>
      <c r="AU25" s="191"/>
      <c r="AV25" s="143" t="s">
        <v>7934</v>
      </c>
      <c r="AW25" s="28"/>
      <c r="AX25" s="28"/>
      <c r="AY25" s="125"/>
      <c r="AZ25" s="125"/>
      <c r="BA25" s="125"/>
      <c r="BB25" s="125"/>
      <c r="BC25" s="125"/>
    </row>
    <row r="26">
      <c r="A26" s="134" t="s">
        <v>7935</v>
      </c>
      <c r="B26" s="190"/>
      <c r="C26" s="168" t="s">
        <v>7936</v>
      </c>
      <c r="D26" s="168" t="s">
        <v>7936</v>
      </c>
      <c r="E26" s="168" t="s">
        <v>7936</v>
      </c>
      <c r="F26" s="127" t="s">
        <v>7937</v>
      </c>
      <c r="G26" s="190"/>
      <c r="H26" s="168" t="s">
        <v>7914</v>
      </c>
      <c r="I26" s="168" t="s">
        <v>7914</v>
      </c>
      <c r="J26" s="168" t="s">
        <v>7914</v>
      </c>
      <c r="K26" s="114" t="s">
        <v>7938</v>
      </c>
      <c r="L26" s="190"/>
      <c r="M26" s="137" t="s">
        <v>7916</v>
      </c>
      <c r="N26" s="137" t="s">
        <v>7916</v>
      </c>
      <c r="O26" s="137" t="s">
        <v>7916</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7939</v>
      </c>
      <c r="AA26" s="373"/>
      <c r="AB26" s="377" t="s">
        <v>7940</v>
      </c>
      <c r="AC26" s="377" t="s">
        <v>7940</v>
      </c>
      <c r="AD26" s="137" t="s">
        <v>7940</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7941</v>
      </c>
      <c r="AK26" s="373"/>
      <c r="AL26" s="137" t="s">
        <v>7942</v>
      </c>
      <c r="AM26" s="137" t="s">
        <v>7942</v>
      </c>
      <c r="AN26" s="137" t="s">
        <v>7942</v>
      </c>
      <c r="AO26" s="107" t="s">
        <v>7943</v>
      </c>
      <c r="AP26" s="190"/>
      <c r="AQ26" s="143" t="s">
        <v>7919</v>
      </c>
      <c r="AR26" s="143" t="s">
        <v>7919</v>
      </c>
      <c r="AS26" s="143" t="s">
        <v>7919</v>
      </c>
      <c r="AT26" s="127" t="s">
        <v>7944</v>
      </c>
      <c r="AU26" s="191"/>
      <c r="AV26" s="143" t="s">
        <v>7920</v>
      </c>
      <c r="AW26" s="143" t="s">
        <v>7920</v>
      </c>
      <c r="AX26" s="143" t="s">
        <v>7920</v>
      </c>
      <c r="AY26" s="143"/>
      <c r="AZ26" s="143"/>
      <c r="BA26" s="143"/>
      <c r="BB26" s="143"/>
      <c r="BC26" s="143"/>
    </row>
    <row r="27">
      <c r="A27" s="127" t="s">
        <v>7945</v>
      </c>
      <c r="B27" s="190"/>
      <c r="C27" s="168" t="s">
        <v>5488</v>
      </c>
      <c r="D27" s="125"/>
      <c r="E27" s="125"/>
      <c r="F27" s="127" t="s">
        <v>7946</v>
      </c>
      <c r="G27" s="190"/>
      <c r="H27" s="168" t="s">
        <v>7913</v>
      </c>
      <c r="I27" s="125"/>
      <c r="J27" s="125"/>
      <c r="K27" s="117" t="s">
        <v>7947</v>
      </c>
      <c r="L27" s="190"/>
      <c r="M27" s="137" t="s">
        <v>5490</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7948</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7949</v>
      </c>
      <c r="AK27" s="373"/>
      <c r="AL27" s="137" t="s">
        <v>5493</v>
      </c>
      <c r="AM27" s="143"/>
      <c r="AN27" s="143"/>
      <c r="AO27" s="139" t="s">
        <v>7950</v>
      </c>
      <c r="AP27" s="190"/>
      <c r="AQ27" s="143" t="s">
        <v>5495</v>
      </c>
      <c r="AR27" s="125"/>
      <c r="AS27" s="125"/>
      <c r="AT27" s="127" t="s">
        <v>7951</v>
      </c>
      <c r="AU27" s="191"/>
      <c r="AV27" s="143" t="s">
        <v>5497</v>
      </c>
      <c r="AW27" s="28"/>
      <c r="AX27" s="28"/>
      <c r="AY27" s="125"/>
      <c r="AZ27" s="125"/>
      <c r="BA27" s="125"/>
      <c r="BB27" s="125"/>
      <c r="BC27" s="125"/>
    </row>
    <row r="28">
      <c r="A28" s="127" t="s">
        <v>7952</v>
      </c>
      <c r="B28" s="190"/>
      <c r="C28" s="168" t="s">
        <v>7911</v>
      </c>
      <c r="D28" s="168" t="s">
        <v>7953</v>
      </c>
      <c r="E28" s="125"/>
      <c r="F28" s="127" t="s">
        <v>7954</v>
      </c>
      <c r="G28" s="190"/>
      <c r="H28" s="168" t="s">
        <v>7914</v>
      </c>
      <c r="I28" s="168" t="s">
        <v>7955</v>
      </c>
      <c r="J28" s="125"/>
      <c r="K28" s="117" t="s">
        <v>7956</v>
      </c>
      <c r="L28" s="190"/>
      <c r="M28" s="137" t="s">
        <v>7916</v>
      </c>
      <c r="N28" s="137" t="s">
        <v>7782</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7957</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7958</v>
      </c>
      <c r="AK28" s="373"/>
      <c r="AL28" s="137" t="s">
        <v>7959</v>
      </c>
      <c r="AM28" s="143" t="str">
        <f>IFERROR(__xludf.DUMMYFUNCTION("GOOGLETRANSLATE(D28,""zh-tw"",""de"")"),"Pilze")</f>
        <v>Pilze</v>
      </c>
      <c r="AN28" s="143"/>
      <c r="AO28" s="139" t="s">
        <v>7960</v>
      </c>
      <c r="AP28" s="190"/>
      <c r="AQ28" s="143" t="s">
        <v>7919</v>
      </c>
      <c r="AR28" s="143" t="s">
        <v>7787</v>
      </c>
      <c r="AS28" s="125"/>
      <c r="AT28" s="127" t="s">
        <v>7961</v>
      </c>
      <c r="AU28" s="191"/>
      <c r="AV28" s="143" t="s">
        <v>7920</v>
      </c>
      <c r="AW28" s="143" t="s">
        <v>7789</v>
      </c>
      <c r="AX28" s="28"/>
      <c r="AY28" s="125"/>
      <c r="AZ28" s="125"/>
      <c r="BA28" s="125"/>
      <c r="BB28" s="125"/>
      <c r="BC28" s="125"/>
    </row>
    <row r="29">
      <c r="A29" s="127" t="s">
        <v>7962</v>
      </c>
      <c r="B29" s="190"/>
      <c r="C29" s="168" t="s">
        <v>7963</v>
      </c>
      <c r="D29" s="125"/>
      <c r="E29" s="125"/>
      <c r="F29" s="127" t="s">
        <v>7964</v>
      </c>
      <c r="G29" s="190"/>
      <c r="H29" s="168" t="s">
        <v>7965</v>
      </c>
      <c r="I29" s="125"/>
      <c r="J29" s="125"/>
      <c r="K29" s="117" t="s">
        <v>7966</v>
      </c>
      <c r="L29" s="190"/>
      <c r="M29" s="137" t="s">
        <v>7967</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IFERROR(__xludf.DUMMYFUNCTION("GOOGLETRANSLATE(A29,""zh-tw"",""ru"")"),"макароны")</f>
        <v>макароны</v>
      </c>
      <c r="AF29" s="372"/>
      <c r="AG29" s="168" t="str">
        <f>IFERROR(__xludf.DUMMYFUNCTION("GOOGLETRANSLATE(C29,""zh-tw"",""ru"")"),"спагетти")</f>
        <v>спагетти</v>
      </c>
      <c r="AH29" s="168"/>
      <c r="AI29" s="168"/>
      <c r="AJ29" s="376" t="s">
        <v>7968</v>
      </c>
      <c r="AK29" s="373"/>
      <c r="AL29" s="137" t="s">
        <v>7967</v>
      </c>
      <c r="AM29" s="143"/>
      <c r="AN29" s="143"/>
      <c r="AO29" s="139" t="s">
        <v>7966</v>
      </c>
      <c r="AP29" s="190"/>
      <c r="AQ29" s="143" t="s">
        <v>7969</v>
      </c>
      <c r="AR29" s="125"/>
      <c r="AS29" s="125"/>
      <c r="AT29" s="127" t="s">
        <v>7970</v>
      </c>
      <c r="AU29" s="191"/>
      <c r="AV29" s="143" t="s">
        <v>7971</v>
      </c>
      <c r="AW29" s="28"/>
      <c r="AX29" s="28"/>
      <c r="AY29" s="125"/>
      <c r="AZ29" s="125"/>
      <c r="BA29" s="125"/>
      <c r="BB29" s="125"/>
      <c r="BC29" s="125"/>
    </row>
    <row r="30">
      <c r="A30" s="127" t="s">
        <v>7972</v>
      </c>
      <c r="B30" s="190"/>
      <c r="C30" s="168" t="s">
        <v>7963</v>
      </c>
      <c r="D30" s="168" t="s">
        <v>7973</v>
      </c>
      <c r="E30" s="125"/>
      <c r="F30" s="127" t="s">
        <v>7974</v>
      </c>
      <c r="G30" s="190"/>
      <c r="H30" s="168" t="s">
        <v>7965</v>
      </c>
      <c r="I30" s="168" t="s">
        <v>7975</v>
      </c>
      <c r="J30" s="125"/>
      <c r="K30" s="117" t="s">
        <v>7976</v>
      </c>
      <c r="L30" s="190"/>
      <c r="M30" s="137" t="s">
        <v>7967</v>
      </c>
      <c r="N30" s="137" t="s">
        <v>7977</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IFERROR(__xludf.DUMMYFUNCTION("GOOGLETRANSLATE(A30,""zh-tw"",""ru"")"),"Томатная паста")</f>
        <v>Томатная паста</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7978</v>
      </c>
      <c r="AK30" s="373"/>
      <c r="AL30" s="137" t="s">
        <v>7967</v>
      </c>
      <c r="AM30" s="137" t="s">
        <v>7979</v>
      </c>
      <c r="AN30" s="143"/>
      <c r="AO30" s="139" t="s">
        <v>7980</v>
      </c>
      <c r="AP30" s="190"/>
      <c r="AQ30" s="143" t="s">
        <v>7969</v>
      </c>
      <c r="AR30" s="143" t="s">
        <v>7981</v>
      </c>
      <c r="AS30" s="125"/>
      <c r="AT30" s="127" t="s">
        <v>7982</v>
      </c>
      <c r="AU30" s="191"/>
      <c r="AV30" s="143" t="s">
        <v>7971</v>
      </c>
      <c r="AW30" s="143" t="s">
        <v>7983</v>
      </c>
      <c r="AX30" s="28"/>
      <c r="AY30" s="125"/>
      <c r="AZ30" s="125"/>
      <c r="BA30" s="125"/>
      <c r="BB30" s="125"/>
      <c r="BC30" s="125"/>
    </row>
    <row r="31">
      <c r="A31" s="127" t="s">
        <v>7984</v>
      </c>
      <c r="B31" s="190"/>
      <c r="C31" s="168" t="s">
        <v>7963</v>
      </c>
      <c r="D31" s="168" t="s">
        <v>7985</v>
      </c>
      <c r="E31" s="125"/>
      <c r="F31" s="127" t="s">
        <v>7986</v>
      </c>
      <c r="G31" s="190"/>
      <c r="H31" s="168" t="s">
        <v>7965</v>
      </c>
      <c r="I31" s="168" t="s">
        <v>7987</v>
      </c>
      <c r="J31" s="125"/>
      <c r="K31" s="117" t="s">
        <v>7988</v>
      </c>
      <c r="L31" s="190"/>
      <c r="M31" s="137" t="s">
        <v>7967</v>
      </c>
      <c r="N31" s="137" t="s">
        <v>7989</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7990</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7991</v>
      </c>
      <c r="AK31" s="373"/>
      <c r="AL31" s="137" t="s">
        <v>7967</v>
      </c>
      <c r="AM31" s="137" t="s">
        <v>7992</v>
      </c>
      <c r="AN31" s="143"/>
      <c r="AO31" s="139" t="s">
        <v>7993</v>
      </c>
      <c r="AP31" s="190"/>
      <c r="AQ31" s="143" t="s">
        <v>7969</v>
      </c>
      <c r="AR31" s="143" t="s">
        <v>7994</v>
      </c>
      <c r="AS31" s="125"/>
      <c r="AT31" s="127" t="s">
        <v>7995</v>
      </c>
      <c r="AU31" s="191"/>
      <c r="AV31" s="143" t="s">
        <v>7971</v>
      </c>
      <c r="AW31" s="143" t="s">
        <v>7996</v>
      </c>
      <c r="AX31" s="28"/>
      <c r="AY31" s="125"/>
      <c r="AZ31" s="125"/>
      <c r="BA31" s="125"/>
      <c r="BB31" s="125"/>
      <c r="BC31" s="125"/>
    </row>
    <row r="32">
      <c r="A32" s="127" t="s">
        <v>7997</v>
      </c>
      <c r="B32" s="190"/>
      <c r="C32" s="168" t="s">
        <v>7718</v>
      </c>
      <c r="D32" s="168" t="s">
        <v>7719</v>
      </c>
      <c r="E32" s="168" t="s">
        <v>5347</v>
      </c>
      <c r="F32" s="127" t="s">
        <v>7998</v>
      </c>
      <c r="G32" s="190"/>
      <c r="H32" s="168" t="s">
        <v>7721</v>
      </c>
      <c r="I32" s="168" t="s">
        <v>7722</v>
      </c>
      <c r="J32" s="168" t="s">
        <v>7999</v>
      </c>
      <c r="K32" s="114" t="s">
        <v>8000</v>
      </c>
      <c r="L32" s="190"/>
      <c r="M32" s="137" t="s">
        <v>7724</v>
      </c>
      <c r="N32" s="137" t="s">
        <v>7725</v>
      </c>
      <c r="O32" s="137" t="s">
        <v>5351</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 라이스")</f>
        <v>계란 카레 라이스</v>
      </c>
      <c r="AA32" s="373"/>
      <c r="AB32" s="143" t="str">
        <f>IFERROR(__xludf.DUMMYFUNCTION("GOOGLETRANSLATE(C32,""zh-tw"",""KO"")"),"흰쌀")</f>
        <v>흰쌀</v>
      </c>
      <c r="AC32" s="137" t="s">
        <v>7726</v>
      </c>
      <c r="AD32" s="137" t="s">
        <v>5354</v>
      </c>
      <c r="AE32" s="127" t="str">
        <f>IFERROR(__xludf.DUMMYFUNCTION("GOOGLETRANSLATE(A32,""zh-tw"",""ru"")"),"Яичный карри с рисом")</f>
        <v>Яичный карри с рисом</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8001</v>
      </c>
      <c r="AK32" s="373"/>
      <c r="AL32" s="137" t="s">
        <v>7728</v>
      </c>
      <c r="AM32" s="137" t="s">
        <v>7729</v>
      </c>
      <c r="AN32" s="137" t="s">
        <v>8002</v>
      </c>
      <c r="AO32" s="139" t="s">
        <v>8003</v>
      </c>
      <c r="AP32" s="190"/>
      <c r="AQ32" s="143" t="s">
        <v>7731</v>
      </c>
      <c r="AR32" s="143" t="s">
        <v>7732</v>
      </c>
      <c r="AS32" s="143" t="s">
        <v>5359</v>
      </c>
      <c r="AT32" s="127" t="s">
        <v>8004</v>
      </c>
      <c r="AU32" s="191"/>
      <c r="AV32" s="143" t="s">
        <v>7734</v>
      </c>
      <c r="AW32" s="137" t="s">
        <v>7735</v>
      </c>
      <c r="AX32" s="143" t="s">
        <v>5362</v>
      </c>
      <c r="AY32" s="143"/>
      <c r="AZ32" s="143"/>
      <c r="BA32" s="143"/>
      <c r="BB32" s="143"/>
      <c r="BC32" s="143"/>
    </row>
    <row r="33">
      <c r="A33" s="127" t="s">
        <v>8005</v>
      </c>
      <c r="B33" s="190"/>
      <c r="C33" s="168" t="s">
        <v>7718</v>
      </c>
      <c r="D33" s="168" t="s">
        <v>5347</v>
      </c>
      <c r="E33" s="125"/>
      <c r="F33" s="127" t="s">
        <v>8006</v>
      </c>
      <c r="G33" s="190"/>
      <c r="H33" s="168" t="s">
        <v>7721</v>
      </c>
      <c r="I33" s="168" t="s">
        <v>7999</v>
      </c>
      <c r="J33" s="125"/>
      <c r="K33" s="117" t="s">
        <v>8007</v>
      </c>
      <c r="L33" s="190"/>
      <c r="M33" s="137" t="s">
        <v>7724</v>
      </c>
      <c r="N33" s="137" t="s">
        <v>8008</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8009</v>
      </c>
      <c r="AA33" s="373"/>
      <c r="AB33" s="143" t="str">
        <f>IFERROR(__xludf.DUMMYFUNCTION("GOOGLETRANSLATE(C33,""zh-tw"",""KO"")"),"흰쌀")</f>
        <v>흰쌀</v>
      </c>
      <c r="AC33" s="316" t="s">
        <v>5354</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8010</v>
      </c>
      <c r="AK33" s="373"/>
      <c r="AL33" s="137" t="s">
        <v>7728</v>
      </c>
      <c r="AM33" s="137" t="s">
        <v>8002</v>
      </c>
      <c r="AN33" s="143"/>
      <c r="AO33" s="139" t="s">
        <v>8007</v>
      </c>
      <c r="AP33" s="190"/>
      <c r="AQ33" s="143" t="s">
        <v>7731</v>
      </c>
      <c r="AR33" s="143" t="s">
        <v>5359</v>
      </c>
      <c r="AS33" s="125"/>
      <c r="AT33" s="127" t="s">
        <v>8007</v>
      </c>
      <c r="AU33" s="191"/>
      <c r="AV33" s="143" t="s">
        <v>7734</v>
      </c>
      <c r="AW33" s="143" t="s">
        <v>5362</v>
      </c>
      <c r="AX33" s="28"/>
      <c r="AY33" s="125"/>
      <c r="AZ33" s="125"/>
      <c r="BA33" s="125"/>
      <c r="BB33" s="125"/>
      <c r="BC33" s="125"/>
    </row>
    <row r="34">
      <c r="A34" s="127" t="s">
        <v>8011</v>
      </c>
      <c r="B34" s="190"/>
      <c r="C34" s="168" t="s">
        <v>7718</v>
      </c>
      <c r="D34" s="168" t="s">
        <v>5347</v>
      </c>
      <c r="E34" s="168" t="s">
        <v>5499</v>
      </c>
      <c r="F34" s="127" t="s">
        <v>8012</v>
      </c>
      <c r="G34" s="190"/>
      <c r="H34" s="168" t="s">
        <v>7721</v>
      </c>
      <c r="I34" s="168" t="s">
        <v>7999</v>
      </c>
      <c r="J34" s="168" t="s">
        <v>8013</v>
      </c>
      <c r="K34" s="117" t="s">
        <v>8014</v>
      </c>
      <c r="L34" s="190"/>
      <c r="M34" s="137" t="s">
        <v>7724</v>
      </c>
      <c r="N34" s="137" t="s">
        <v>8008</v>
      </c>
      <c r="O34" s="137" t="s">
        <v>5501</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8015</v>
      </c>
      <c r="AA34" s="373"/>
      <c r="AB34" s="143" t="str">
        <f>IFERROR(__xludf.DUMMYFUNCTION("GOOGLETRANSLATE(C34,""zh-tw"",""KO"")"),"흰쌀")</f>
        <v>흰쌀</v>
      </c>
      <c r="AC34" s="316" t="s">
        <v>5354</v>
      </c>
      <c r="AD34" s="143" t="str">
        <f>IFERROR(__xludf.DUMMYFUNCTION("GOOGLETRANSLATE(E34,""zh-tw"",""KO"")"),"토마토")</f>
        <v>토마토</v>
      </c>
      <c r="AE34" s="127" t="str">
        <f>IFERROR(__xludf.DUMMYFUNCTION("GOOGLETRANSLATE(A34,""zh-tw"",""ru"")"),"Омлет с томатным рисом")</f>
        <v>Омлет с томатным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8016</v>
      </c>
      <c r="AK34" s="373"/>
      <c r="AL34" s="137" t="s">
        <v>7728</v>
      </c>
      <c r="AM34" s="137" t="s">
        <v>8002</v>
      </c>
      <c r="AN34" s="137" t="s">
        <v>5507</v>
      </c>
      <c r="AO34" s="139" t="s">
        <v>8017</v>
      </c>
      <c r="AP34" s="190"/>
      <c r="AQ34" s="143" t="s">
        <v>7731</v>
      </c>
      <c r="AR34" s="143" t="s">
        <v>5359</v>
      </c>
      <c r="AS34" s="143" t="s">
        <v>5505</v>
      </c>
      <c r="AT34" s="127" t="s">
        <v>8018</v>
      </c>
      <c r="AU34" s="191"/>
      <c r="AV34" s="143" t="s">
        <v>7734</v>
      </c>
      <c r="AW34" s="143" t="s">
        <v>5362</v>
      </c>
      <c r="AX34" s="143" t="s">
        <v>5501</v>
      </c>
      <c r="AY34" s="143"/>
      <c r="AZ34" s="143"/>
      <c r="BA34" s="143"/>
      <c r="BB34" s="143"/>
      <c r="BC34" s="143"/>
    </row>
    <row r="35">
      <c r="A35" s="127" t="s">
        <v>8019</v>
      </c>
      <c r="B35" s="190"/>
      <c r="C35" s="168" t="s">
        <v>7718</v>
      </c>
      <c r="D35" s="168" t="s">
        <v>8020</v>
      </c>
      <c r="E35" s="125"/>
      <c r="F35" s="127" t="s">
        <v>8021</v>
      </c>
      <c r="G35" s="190"/>
      <c r="H35" s="168" t="s">
        <v>7721</v>
      </c>
      <c r="I35" s="168" t="s">
        <v>8022</v>
      </c>
      <c r="J35" s="125"/>
      <c r="K35" s="117" t="s">
        <v>8023</v>
      </c>
      <c r="L35" s="190"/>
      <c r="M35" s="137" t="s">
        <v>7724</v>
      </c>
      <c r="N35" s="137" t="s">
        <v>7989</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8024</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8025</v>
      </c>
      <c r="AK35" s="373"/>
      <c r="AL35" s="137" t="s">
        <v>7728</v>
      </c>
      <c r="AM35" s="137" t="s">
        <v>8026</v>
      </c>
      <c r="AN35" s="143"/>
      <c r="AO35" s="139" t="s">
        <v>8027</v>
      </c>
      <c r="AP35" s="190"/>
      <c r="AQ35" s="143" t="s">
        <v>7731</v>
      </c>
      <c r="AR35" s="143" t="s">
        <v>7994</v>
      </c>
      <c r="AS35" s="125"/>
      <c r="AT35" s="127" t="s">
        <v>8028</v>
      </c>
      <c r="AU35" s="191"/>
      <c r="AV35" s="143" t="s">
        <v>7734</v>
      </c>
      <c r="AW35" s="143" t="s">
        <v>7996</v>
      </c>
      <c r="AX35" s="28"/>
      <c r="AY35" s="125"/>
      <c r="AZ35" s="125"/>
      <c r="BA35" s="125"/>
      <c r="BB35" s="125"/>
      <c r="BC35" s="125"/>
    </row>
    <row r="36">
      <c r="A36" s="127" t="s">
        <v>8029</v>
      </c>
      <c r="B36" s="190"/>
      <c r="C36" s="168" t="s">
        <v>8030</v>
      </c>
      <c r="D36" s="125"/>
      <c r="E36" s="125"/>
      <c r="F36" s="127" t="s">
        <v>8031</v>
      </c>
      <c r="G36" s="190"/>
      <c r="H36" s="168" t="s">
        <v>8032</v>
      </c>
      <c r="I36" s="125"/>
      <c r="J36" s="125"/>
      <c r="K36" s="114" t="s">
        <v>8033</v>
      </c>
      <c r="L36" s="190"/>
      <c r="M36" s="137" t="s">
        <v>8034</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8035</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8036</v>
      </c>
      <c r="AK36" s="373"/>
      <c r="AL36" s="137" t="s">
        <v>8037</v>
      </c>
      <c r="AM36" s="143"/>
      <c r="AN36" s="143"/>
      <c r="AO36" s="139" t="s">
        <v>8038</v>
      </c>
      <c r="AP36" s="190"/>
      <c r="AQ36" s="143" t="s">
        <v>8039</v>
      </c>
      <c r="AR36" s="125"/>
      <c r="AS36" s="125"/>
      <c r="AT36" s="127" t="s">
        <v>8040</v>
      </c>
      <c r="AU36" s="191"/>
      <c r="AV36" s="143" t="s">
        <v>8041</v>
      </c>
      <c r="AW36" s="28"/>
      <c r="AX36" s="28"/>
      <c r="AY36" s="125"/>
      <c r="AZ36" s="125"/>
      <c r="BA36" s="125"/>
      <c r="BB36" s="125"/>
      <c r="BC36" s="125"/>
    </row>
    <row r="37">
      <c r="A37" s="134" t="s">
        <v>8042</v>
      </c>
      <c r="B37" s="190"/>
      <c r="C37" s="168" t="s">
        <v>7936</v>
      </c>
      <c r="D37" s="168" t="s">
        <v>7936</v>
      </c>
      <c r="E37" s="125"/>
      <c r="F37" s="127" t="s">
        <v>8043</v>
      </c>
      <c r="G37" s="190"/>
      <c r="H37" s="168" t="s">
        <v>8044</v>
      </c>
      <c r="I37" s="168" t="s">
        <v>8044</v>
      </c>
      <c r="J37" s="125"/>
      <c r="K37" s="117" t="s">
        <v>8045</v>
      </c>
      <c r="L37" s="190"/>
      <c r="M37" s="137" t="s">
        <v>8046</v>
      </c>
      <c r="N37" s="137" t="s">
        <v>8046</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8047</v>
      </c>
      <c r="AA37" s="373"/>
      <c r="AB37" s="143" t="str">
        <f>IFERROR(__xludf.DUMMYFUNCTION("GOOGLETRANSLATE(C37,""zh-tw"",""KO"")"),"채소")</f>
        <v>채소</v>
      </c>
      <c r="AC37" s="143" t="str">
        <f>IFERROR(__xludf.DUMMYFUNCTION("GOOGLETRANSLATE(D37,""zh-tw"",""KO"")"),"채소")</f>
        <v>채소</v>
      </c>
      <c r="AD37" s="143"/>
      <c r="AE37" s="127" t="str">
        <f>IFERROR(__xludf.DUMMYFUNCTION("GOOGLETRANSLATE(A37,""zh-tw"",""ru"")"),"Окинавское жаркое")</f>
        <v>Окинавское жаркое</v>
      </c>
      <c r="AF37" s="372"/>
      <c r="AG37" s="168" t="str">
        <f>IFERROR(__xludf.DUMMYFUNCTION("GOOGLETRANSLATE(C37,""zh-tw"",""ru"")"),"овощ")</f>
        <v>овощ</v>
      </c>
      <c r="AH37" s="168" t="str">
        <f>IFERROR(__xludf.DUMMYFUNCTION("GOOGLETRANSLATE(D37,""zh-tw"",""ru"")"),"овощ")</f>
        <v>овощ</v>
      </c>
      <c r="AI37" s="168"/>
      <c r="AJ37" s="376" t="s">
        <v>8048</v>
      </c>
      <c r="AK37" s="373"/>
      <c r="AL37" s="137" t="s">
        <v>7942</v>
      </c>
      <c r="AM37" s="137" t="s">
        <v>7942</v>
      </c>
      <c r="AN37" s="143"/>
      <c r="AO37" s="107" t="s">
        <v>8049</v>
      </c>
      <c r="AP37" s="190"/>
      <c r="AQ37" s="143" t="s">
        <v>8050</v>
      </c>
      <c r="AR37" s="143" t="s">
        <v>8050</v>
      </c>
      <c r="AS37" s="125"/>
      <c r="AT37" s="127" t="s">
        <v>8051</v>
      </c>
      <c r="AU37" s="191"/>
      <c r="AV37" s="143" t="s">
        <v>8052</v>
      </c>
      <c r="AW37" s="143" t="s">
        <v>8052</v>
      </c>
      <c r="AX37" s="28"/>
      <c r="AY37" s="125"/>
      <c r="AZ37" s="125"/>
      <c r="BA37" s="125"/>
      <c r="BB37" s="125"/>
      <c r="BC37" s="125"/>
    </row>
    <row r="38">
      <c r="A38" s="127" t="s">
        <v>8053</v>
      </c>
      <c r="B38" s="363" t="s">
        <v>263</v>
      </c>
      <c r="C38" s="168" t="s">
        <v>8054</v>
      </c>
      <c r="D38" s="168" t="s">
        <v>8054</v>
      </c>
      <c r="E38" s="168" t="s">
        <v>7737</v>
      </c>
      <c r="F38" s="127" t="s">
        <v>8055</v>
      </c>
      <c r="G38" s="363" t="s">
        <v>263</v>
      </c>
      <c r="H38" s="168" t="s">
        <v>8056</v>
      </c>
      <c r="I38" s="168" t="s">
        <v>8056</v>
      </c>
      <c r="J38" s="168" t="s">
        <v>7739</v>
      </c>
      <c r="K38" s="114" t="s">
        <v>8057</v>
      </c>
      <c r="L38" s="363" t="s">
        <v>263</v>
      </c>
      <c r="M38" s="137" t="s">
        <v>8058</v>
      </c>
      <c r="N38" s="137" t="s">
        <v>8058</v>
      </c>
      <c r="O38" s="137" t="s">
        <v>7741</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8059</v>
      </c>
      <c r="AA38" s="373" t="s">
        <v>263</v>
      </c>
      <c r="AB38" s="137" t="s">
        <v>8060</v>
      </c>
      <c r="AC38" s="137" t="s">
        <v>8060</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IFERROR(__xludf.DUMMYFUNCTION("GOOGLETRANSLATE(C38,""zh-tw"",""ru"")"),"Мясо куриного бедра")</f>
        <v>Мясо куриного бедра</v>
      </c>
      <c r="AH38" s="168" t="str">
        <f>IFERROR(__xludf.DUMMYFUNCTION("GOOGLETRANSLATE(D38,""zh-tw"",""ru"")"),"Мясо куриного бедра")</f>
        <v>Мясо куриного бедра</v>
      </c>
      <c r="AI38" s="168" t="str">
        <f>IFERROR(__xludf.DUMMYFUNCTION("GOOGLETRANSLATE(E38,""zh-tw"",""ru"")"),"пшеничная мука")</f>
        <v>пшеничная мука</v>
      </c>
      <c r="AJ38" s="376" t="s">
        <v>8061</v>
      </c>
      <c r="AK38" s="373" t="s">
        <v>263</v>
      </c>
      <c r="AL38" s="137" t="s">
        <v>8062</v>
      </c>
      <c r="AM38" s="137" t="s">
        <v>8062</v>
      </c>
      <c r="AN38" s="137" t="s">
        <v>7743</v>
      </c>
      <c r="AO38" s="139" t="s">
        <v>8063</v>
      </c>
      <c r="AP38" s="363" t="s">
        <v>263</v>
      </c>
      <c r="AQ38" s="143" t="s">
        <v>8064</v>
      </c>
      <c r="AR38" s="143" t="s">
        <v>8064</v>
      </c>
      <c r="AS38" s="143" t="s">
        <v>7745</v>
      </c>
      <c r="AT38" s="127" t="s">
        <v>8065</v>
      </c>
      <c r="AU38" s="363" t="s">
        <v>263</v>
      </c>
      <c r="AV38" s="143" t="s">
        <v>8066</v>
      </c>
      <c r="AW38" s="143" t="s">
        <v>8066</v>
      </c>
      <c r="AX38" s="143" t="s">
        <v>7747</v>
      </c>
      <c r="AY38" s="143"/>
      <c r="AZ38" s="143"/>
      <c r="BA38" s="143"/>
      <c r="BB38" s="143"/>
      <c r="BC38" s="143"/>
    </row>
    <row r="39">
      <c r="A39" s="134" t="s">
        <v>8067</v>
      </c>
      <c r="B39" s="363" t="s">
        <v>263</v>
      </c>
      <c r="C39" s="168" t="s">
        <v>8054</v>
      </c>
      <c r="D39" s="125"/>
      <c r="E39" s="125"/>
      <c r="F39" s="127" t="s">
        <v>8068</v>
      </c>
      <c r="G39" s="363" t="s">
        <v>263</v>
      </c>
      <c r="H39" s="168" t="s">
        <v>8056</v>
      </c>
      <c r="I39" s="125"/>
      <c r="J39" s="125"/>
      <c r="K39" s="117" t="s">
        <v>8069</v>
      </c>
      <c r="L39" s="363" t="s">
        <v>263</v>
      </c>
      <c r="M39" s="137" t="s">
        <v>8058</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IFERROR(__xludf.DUMMYFUNCTION("GOOGLETRANSLATE(A39,""zh-tw"",""KO"")"),"튀긴 닭다리")</f>
        <v>튀긴 닭다리</v>
      </c>
      <c r="AA39" s="373" t="s">
        <v>263</v>
      </c>
      <c r="AB39" s="137" t="s">
        <v>8060</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IFERROR(__xludf.DUMMYFUNCTION("GOOGLETRANSLATE(C39,""zh-tw"",""ru"")"),"Мясо куриного бедра")</f>
        <v>Мясо куриного бедра</v>
      </c>
      <c r="AH39" s="168"/>
      <c r="AI39" s="168"/>
      <c r="AJ39" s="376" t="s">
        <v>8070</v>
      </c>
      <c r="AK39" s="373" t="s">
        <v>263</v>
      </c>
      <c r="AL39" s="137" t="s">
        <v>8062</v>
      </c>
      <c r="AM39" s="143"/>
      <c r="AN39" s="143"/>
      <c r="AO39" s="107" t="s">
        <v>8071</v>
      </c>
      <c r="AP39" s="363" t="s">
        <v>263</v>
      </c>
      <c r="AQ39" s="143" t="s">
        <v>8064</v>
      </c>
      <c r="AR39" s="125"/>
      <c r="AS39" s="125"/>
      <c r="AT39" s="127" t="s">
        <v>8072</v>
      </c>
      <c r="AU39" s="363" t="s">
        <v>263</v>
      </c>
      <c r="AV39" s="143" t="s">
        <v>8066</v>
      </c>
      <c r="AW39" s="28"/>
      <c r="AX39" s="28"/>
      <c r="AY39" s="125"/>
      <c r="AZ39" s="125"/>
      <c r="BA39" s="125"/>
      <c r="BB39" s="125"/>
      <c r="BC39" s="125"/>
    </row>
    <row r="40">
      <c r="A40" s="127" t="s">
        <v>8073</v>
      </c>
      <c r="B40" s="363" t="s">
        <v>263</v>
      </c>
      <c r="C40" s="168" t="s">
        <v>7718</v>
      </c>
      <c r="D40" s="168" t="s">
        <v>8054</v>
      </c>
      <c r="E40" s="125"/>
      <c r="F40" s="127" t="s">
        <v>8074</v>
      </c>
      <c r="G40" s="363" t="s">
        <v>263</v>
      </c>
      <c r="H40" s="168" t="s">
        <v>7721</v>
      </c>
      <c r="I40" s="168" t="s">
        <v>8056</v>
      </c>
      <c r="J40" s="125"/>
      <c r="K40" s="117" t="s">
        <v>8075</v>
      </c>
      <c r="L40" s="363" t="s">
        <v>263</v>
      </c>
      <c r="M40" s="137" t="s">
        <v>7848</v>
      </c>
      <c r="N40" s="137" t="s">
        <v>8058</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8076</v>
      </c>
      <c r="AA40" s="373" t="s">
        <v>263</v>
      </c>
      <c r="AB40" s="143" t="str">
        <f>IFERROR(__xludf.DUMMYFUNCTION("GOOGLETRANSLATE(C40,""zh-tw"",""KO"")"),"흰쌀")</f>
        <v>흰쌀</v>
      </c>
      <c r="AC40" s="137" t="s">
        <v>8060</v>
      </c>
      <c r="AD40" s="143"/>
      <c r="AE40" s="127" t="str">
        <f>IFERROR(__xludf.DUMMYFUNCTION("GOOGLETRANSLATE(A40,""zh-tw"",""ru"")"),"Рисовые шарики темпура")</f>
        <v>Рисовые шарики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IFERROR(__xludf.DUMMYFUNCTION("GOOGLETRANSLATE(D40,""zh-tw"",""ru"")"),"Мясо куриного бедра")</f>
        <v>Мясо куриного бедра</v>
      </c>
      <c r="AI40" s="168"/>
      <c r="AJ40" s="376" t="s">
        <v>8077</v>
      </c>
      <c r="AK40" s="373" t="s">
        <v>263</v>
      </c>
      <c r="AL40" s="137" t="s">
        <v>7728</v>
      </c>
      <c r="AM40" s="137" t="s">
        <v>8062</v>
      </c>
      <c r="AN40" s="143"/>
      <c r="AO40" s="139" t="s">
        <v>8075</v>
      </c>
      <c r="AP40" s="363" t="s">
        <v>263</v>
      </c>
      <c r="AQ40" s="143" t="s">
        <v>7731</v>
      </c>
      <c r="AR40" s="143" t="s">
        <v>8064</v>
      </c>
      <c r="AS40" s="125"/>
      <c r="AT40" s="127" t="s">
        <v>8075</v>
      </c>
      <c r="AU40" s="363" t="s">
        <v>263</v>
      </c>
      <c r="AV40" s="143" t="s">
        <v>7734</v>
      </c>
      <c r="AW40" s="143" t="s">
        <v>8066</v>
      </c>
      <c r="AX40" s="28"/>
      <c r="AY40" s="125"/>
      <c r="AZ40" s="125"/>
      <c r="BA40" s="125"/>
      <c r="BB40" s="125"/>
      <c r="BC40" s="125"/>
    </row>
    <row r="41">
      <c r="A41" s="127" t="s">
        <v>8078</v>
      </c>
      <c r="B41" s="190"/>
      <c r="C41" s="168" t="s">
        <v>8079</v>
      </c>
      <c r="D41" s="168" t="s">
        <v>8079</v>
      </c>
      <c r="E41" s="168" t="s">
        <v>8079</v>
      </c>
      <c r="F41" s="127" t="s">
        <v>8080</v>
      </c>
      <c r="G41" s="378"/>
      <c r="H41" s="168" t="s">
        <v>8022</v>
      </c>
      <c r="I41" s="168" t="s">
        <v>8022</v>
      </c>
      <c r="J41" s="168" t="s">
        <v>8022</v>
      </c>
      <c r="K41" s="117" t="s">
        <v>8081</v>
      </c>
      <c r="L41" s="190"/>
      <c r="M41" s="137" t="s">
        <v>8082</v>
      </c>
      <c r="N41" s="137" t="s">
        <v>8082</v>
      </c>
      <c r="O41" s="137" t="s">
        <v>8082</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8083</v>
      </c>
      <c r="AA41" s="373"/>
      <c r="AB41" s="137" t="s">
        <v>8024</v>
      </c>
      <c r="AC41" s="137" t="s">
        <v>8024</v>
      </c>
      <c r="AD41" s="137" t="s">
        <v>8024</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8084</v>
      </c>
      <c r="AK41" s="373"/>
      <c r="AL41" s="137" t="s">
        <v>8026</v>
      </c>
      <c r="AM41" s="137" t="s">
        <v>8026</v>
      </c>
      <c r="AN41" s="137" t="s">
        <v>8026</v>
      </c>
      <c r="AO41" s="139" t="s">
        <v>8085</v>
      </c>
      <c r="AP41" s="190"/>
      <c r="AQ41" s="143" t="s">
        <v>8086</v>
      </c>
      <c r="AR41" s="143" t="s">
        <v>8086</v>
      </c>
      <c r="AS41" s="143" t="s">
        <v>8086</v>
      </c>
      <c r="AT41" s="127" t="s">
        <v>8087</v>
      </c>
      <c r="AU41" s="191"/>
      <c r="AV41" s="143" t="s">
        <v>8088</v>
      </c>
      <c r="AW41" s="143" t="s">
        <v>8088</v>
      </c>
      <c r="AX41" s="143" t="s">
        <v>8088</v>
      </c>
      <c r="AY41" s="143"/>
      <c r="AZ41" s="143"/>
      <c r="BA41" s="143"/>
      <c r="BB41" s="143"/>
      <c r="BC41" s="143"/>
    </row>
    <row r="42">
      <c r="A42" s="127" t="s">
        <v>8089</v>
      </c>
      <c r="B42" s="190"/>
      <c r="C42" s="168" t="s">
        <v>8090</v>
      </c>
      <c r="D42" s="168" t="s">
        <v>8090</v>
      </c>
      <c r="E42" s="168" t="s">
        <v>8090</v>
      </c>
      <c r="F42" s="127" t="s">
        <v>8091</v>
      </c>
      <c r="G42" s="378"/>
      <c r="H42" s="168" t="s">
        <v>8092</v>
      </c>
      <c r="I42" s="168" t="s">
        <v>8092</v>
      </c>
      <c r="J42" s="168" t="s">
        <v>8092</v>
      </c>
      <c r="K42" s="117" t="s">
        <v>8093</v>
      </c>
      <c r="L42" s="190"/>
      <c r="M42" s="137" t="s">
        <v>8094</v>
      </c>
      <c r="N42" s="137" t="s">
        <v>8094</v>
      </c>
      <c r="O42" s="137" t="s">
        <v>8094</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8095</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8096</v>
      </c>
      <c r="AK42" s="373"/>
      <c r="AL42" s="137" t="s">
        <v>8097</v>
      </c>
      <c r="AM42" s="137" t="s">
        <v>8097</v>
      </c>
      <c r="AN42" s="137" t="s">
        <v>8097</v>
      </c>
      <c r="AO42" s="139" t="s">
        <v>8098</v>
      </c>
      <c r="AP42" s="190"/>
      <c r="AQ42" s="143" t="s">
        <v>8099</v>
      </c>
      <c r="AR42" s="143" t="s">
        <v>8099</v>
      </c>
      <c r="AS42" s="143" t="s">
        <v>8099</v>
      </c>
      <c r="AT42" s="127" t="s">
        <v>8100</v>
      </c>
      <c r="AU42" s="191"/>
      <c r="AV42" s="143" t="s">
        <v>8101</v>
      </c>
      <c r="AW42" s="143" t="s">
        <v>8101</v>
      </c>
      <c r="AX42" s="143" t="s">
        <v>8101</v>
      </c>
      <c r="AY42" s="143"/>
      <c r="AZ42" s="143"/>
      <c r="BA42" s="143"/>
      <c r="BB42" s="143"/>
      <c r="BC42" s="143"/>
    </row>
    <row r="43">
      <c r="A43" s="134" t="s">
        <v>8102</v>
      </c>
      <c r="B43" s="190"/>
      <c r="C43" s="168" t="s">
        <v>8103</v>
      </c>
      <c r="D43" s="125"/>
      <c r="E43" s="125"/>
      <c r="F43" s="127" t="s">
        <v>8104</v>
      </c>
      <c r="G43" s="378"/>
      <c r="H43" s="168" t="s">
        <v>8105</v>
      </c>
      <c r="I43" s="125"/>
      <c r="J43" s="125"/>
      <c r="K43" s="117" t="s">
        <v>8106</v>
      </c>
      <c r="L43" s="190"/>
      <c r="M43" s="137" t="s">
        <v>8107</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8108</v>
      </c>
      <c r="AK43" s="373"/>
      <c r="AL43" s="137" t="s">
        <v>8109</v>
      </c>
      <c r="AM43" s="143"/>
      <c r="AN43" s="143"/>
      <c r="AO43" s="107" t="s">
        <v>8110</v>
      </c>
      <c r="AP43" s="190"/>
      <c r="AQ43" s="143" t="s">
        <v>8111</v>
      </c>
      <c r="AR43" s="143" t="s">
        <v>7745</v>
      </c>
      <c r="AS43" s="125"/>
      <c r="AT43" s="127" t="s">
        <v>8112</v>
      </c>
      <c r="AU43" s="191"/>
      <c r="AV43" s="143" t="s">
        <v>8113</v>
      </c>
      <c r="AW43" s="28"/>
      <c r="AX43" s="28"/>
      <c r="AY43" s="125"/>
      <c r="AZ43" s="125"/>
      <c r="BA43" s="125"/>
      <c r="BB43" s="125"/>
      <c r="BC43" s="125"/>
    </row>
    <row r="44">
      <c r="A44" s="127" t="s">
        <v>8114</v>
      </c>
      <c r="B44" s="378"/>
      <c r="C44" s="168" t="s">
        <v>7922</v>
      </c>
      <c r="D44" s="168" t="s">
        <v>7737</v>
      </c>
      <c r="E44" s="125"/>
      <c r="F44" s="127" t="s">
        <v>8115</v>
      </c>
      <c r="G44" s="378"/>
      <c r="H44" s="168" t="s">
        <v>7924</v>
      </c>
      <c r="I44" s="168" t="s">
        <v>7739</v>
      </c>
      <c r="J44" s="125"/>
      <c r="K44" s="117" t="s">
        <v>8116</v>
      </c>
      <c r="L44" s="190"/>
      <c r="M44" s="137" t="s">
        <v>7926</v>
      </c>
      <c r="N44" s="137" t="s">
        <v>7741</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8117</v>
      </c>
      <c r="AA44" s="373"/>
      <c r="AB44" s="137" t="s">
        <v>7928</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IFERROR(__xludf.DUMMYFUNCTION("GOOGLETRANSLATE(C44,""zh-tw"",""ru"")"),"Ноги осьминога")</f>
        <v>Ноги осьминога</v>
      </c>
      <c r="AH44" s="168" t="str">
        <f>IFERROR(__xludf.DUMMYFUNCTION("GOOGLETRANSLATE(D44,""zh-tw"",""ru"")"),"пшеничная мука")</f>
        <v>пшеничная мука</v>
      </c>
      <c r="AI44" s="168"/>
      <c r="AJ44" s="376" t="s">
        <v>8118</v>
      </c>
      <c r="AK44" s="373"/>
      <c r="AL44" s="137" t="s">
        <v>7930</v>
      </c>
      <c r="AM44" s="137" t="s">
        <v>7743</v>
      </c>
      <c r="AN44" s="143"/>
      <c r="AO44" s="139" t="s">
        <v>8116</v>
      </c>
      <c r="AP44" s="190"/>
      <c r="AQ44" s="143" t="s">
        <v>7932</v>
      </c>
      <c r="AR44" s="125"/>
      <c r="AS44" s="125"/>
      <c r="AT44" s="127" t="s">
        <v>8116</v>
      </c>
      <c r="AU44" s="191"/>
      <c r="AV44" s="143" t="s">
        <v>7926</v>
      </c>
      <c r="AW44" s="143" t="s">
        <v>7747</v>
      </c>
      <c r="AX44" s="28"/>
      <c r="AY44" s="125"/>
      <c r="AZ44" s="125"/>
      <c r="BA44" s="125"/>
      <c r="BB44" s="125"/>
      <c r="BC44" s="125"/>
    </row>
    <row r="45">
      <c r="A45" s="127" t="s">
        <v>8119</v>
      </c>
      <c r="B45" s="378"/>
      <c r="C45" s="168" t="s">
        <v>7791</v>
      </c>
      <c r="D45" s="125"/>
      <c r="E45" s="125"/>
      <c r="F45" s="127" t="s">
        <v>7826</v>
      </c>
      <c r="G45" s="378"/>
      <c r="H45" s="168" t="s">
        <v>7793</v>
      </c>
      <c r="I45" s="125"/>
      <c r="J45" s="125"/>
      <c r="K45" s="117" t="s">
        <v>8120</v>
      </c>
      <c r="L45" s="190"/>
      <c r="M45" s="137" t="s">
        <v>7796</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8121</v>
      </c>
      <c r="AA45" s="373"/>
      <c r="AB45" s="137" t="s">
        <v>7798</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8122</v>
      </c>
      <c r="AK45" s="373"/>
      <c r="AL45" s="137" t="s">
        <v>7800</v>
      </c>
      <c r="AM45" s="143"/>
      <c r="AN45" s="143"/>
      <c r="AO45" s="139" t="s">
        <v>8123</v>
      </c>
      <c r="AP45" s="190"/>
      <c r="AQ45" s="143" t="s">
        <v>7801</v>
      </c>
      <c r="AR45" s="125"/>
      <c r="AS45" s="125"/>
      <c r="AT45" s="127" t="s">
        <v>8124</v>
      </c>
      <c r="AU45" s="191"/>
      <c r="AV45" s="143" t="s">
        <v>7802</v>
      </c>
      <c r="AW45" s="28"/>
      <c r="AX45" s="28"/>
      <c r="AY45" s="125"/>
      <c r="AZ45" s="125"/>
      <c r="BA45" s="125"/>
      <c r="BB45" s="125"/>
      <c r="BC45" s="125"/>
    </row>
    <row r="46">
      <c r="A46" s="127" t="s">
        <v>8125</v>
      </c>
      <c r="B46" s="363" t="s">
        <v>934</v>
      </c>
      <c r="C46" s="168" t="s">
        <v>5488</v>
      </c>
      <c r="D46" s="168" t="s">
        <v>5509</v>
      </c>
      <c r="E46" s="125"/>
      <c r="F46" s="127" t="s">
        <v>8126</v>
      </c>
      <c r="G46" s="363" t="s">
        <v>934</v>
      </c>
      <c r="H46" s="168" t="s">
        <v>7913</v>
      </c>
      <c r="I46" s="168" t="s">
        <v>8127</v>
      </c>
      <c r="J46" s="125"/>
      <c r="K46" s="117" t="s">
        <v>8128</v>
      </c>
      <c r="L46" s="363" t="s">
        <v>934</v>
      </c>
      <c r="M46" s="137" t="s">
        <v>5490</v>
      </c>
      <c r="N46" s="137" t="s">
        <v>5511</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8129</v>
      </c>
      <c r="AA46" s="373" t="s">
        <v>934</v>
      </c>
      <c r="AB46" s="143" t="str">
        <f>IFERROR(__xludf.DUMMYFUNCTION("GOOGLETRANSLATE(C46,""zh-tw"",""KO"")"),"감자")</f>
        <v>감자</v>
      </c>
      <c r="AC46" s="316" t="s">
        <v>8130</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8131</v>
      </c>
      <c r="AK46" s="373" t="s">
        <v>934</v>
      </c>
      <c r="AL46" s="137" t="s">
        <v>5493</v>
      </c>
      <c r="AM46" s="137" t="s">
        <v>8132</v>
      </c>
      <c r="AN46" s="143"/>
      <c r="AO46" s="139" t="s">
        <v>8133</v>
      </c>
      <c r="AP46" s="363" t="s">
        <v>934</v>
      </c>
      <c r="AQ46" s="143" t="s">
        <v>5495</v>
      </c>
      <c r="AR46" s="143" t="s">
        <v>5515</v>
      </c>
      <c r="AS46" s="125"/>
      <c r="AT46" s="127" t="s">
        <v>8134</v>
      </c>
      <c r="AU46" s="363" t="s">
        <v>934</v>
      </c>
      <c r="AV46" s="143" t="s">
        <v>5497</v>
      </c>
      <c r="AW46" s="143" t="s">
        <v>5511</v>
      </c>
      <c r="AX46" s="28"/>
      <c r="AY46" s="125"/>
      <c r="AZ46" s="125"/>
      <c r="BA46" s="125"/>
      <c r="BB46" s="125"/>
      <c r="BC46" s="125"/>
    </row>
    <row r="47">
      <c r="A47" s="127" t="s">
        <v>8135</v>
      </c>
      <c r="B47" s="363" t="s">
        <v>934</v>
      </c>
      <c r="C47" s="168" t="s">
        <v>5509</v>
      </c>
      <c r="D47" s="125"/>
      <c r="E47" s="125"/>
      <c r="F47" s="127" t="s">
        <v>8136</v>
      </c>
      <c r="G47" s="363" t="s">
        <v>934</v>
      </c>
      <c r="H47" s="168" t="s">
        <v>8127</v>
      </c>
      <c r="I47" s="125"/>
      <c r="J47" s="125"/>
      <c r="K47" s="117" t="s">
        <v>8137</v>
      </c>
      <c r="L47" s="363" t="s">
        <v>934</v>
      </c>
      <c r="M47" s="137" t="s">
        <v>5511</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8138</v>
      </c>
      <c r="AA47" s="373" t="s">
        <v>934</v>
      </c>
      <c r="AB47" s="316" t="s">
        <v>8130</v>
      </c>
      <c r="AC47" s="143"/>
      <c r="AD47" s="143"/>
      <c r="AE47" s="127" t="str">
        <f>IFERROR(__xludf.DUMMYFUNCTION("GOOGLETRANSLATE(A47,""zh-tw"",""ru"")"),"Вода чили")</f>
        <v>Вода чили</v>
      </c>
      <c r="AF47" s="372" t="str">
        <f>IFERROR(__xludf.DUMMYFUNCTION("GOOGLETRANSLATE(L47,""zh-tw"",""es-MX"")"),"B")</f>
        <v>B</v>
      </c>
      <c r="AG47" s="168" t="str">
        <f>IFERROR(__xludf.DUMMYFUNCTION("GOOGLETRANSLATE(C47,""zh-tw"",""ru"")"),"чили")</f>
        <v>чили</v>
      </c>
      <c r="AH47" s="168"/>
      <c r="AI47" s="168"/>
      <c r="AJ47" s="376" t="s">
        <v>8139</v>
      </c>
      <c r="AK47" s="373" t="s">
        <v>934</v>
      </c>
      <c r="AL47" s="137" t="s">
        <v>8132</v>
      </c>
      <c r="AM47" s="143"/>
      <c r="AN47" s="143"/>
      <c r="AO47" s="139" t="s">
        <v>8140</v>
      </c>
      <c r="AP47" s="363" t="s">
        <v>934</v>
      </c>
      <c r="AQ47" s="143" t="s">
        <v>5515</v>
      </c>
      <c r="AR47" s="125"/>
      <c r="AS47" s="125"/>
      <c r="AT47" s="127" t="s">
        <v>8141</v>
      </c>
      <c r="AU47" s="363" t="s">
        <v>934</v>
      </c>
      <c r="AV47" s="143" t="s">
        <v>5511</v>
      </c>
      <c r="AW47" s="28"/>
      <c r="AX47" s="28"/>
      <c r="AY47" s="125"/>
      <c r="AZ47" s="125"/>
      <c r="BA47" s="125"/>
      <c r="BB47" s="125"/>
      <c r="BC47" s="125"/>
    </row>
    <row r="48">
      <c r="A48" s="127" t="s">
        <v>8142</v>
      </c>
      <c r="B48" s="378"/>
      <c r="C48" s="168" t="s">
        <v>7706</v>
      </c>
      <c r="D48" s="168" t="s">
        <v>7855</v>
      </c>
      <c r="E48" s="125"/>
      <c r="F48" s="127" t="s">
        <v>8143</v>
      </c>
      <c r="G48" s="378"/>
      <c r="H48" s="168" t="s">
        <v>7708</v>
      </c>
      <c r="I48" s="168" t="s">
        <v>7857</v>
      </c>
      <c r="J48" s="125"/>
      <c r="K48" s="117" t="s">
        <v>8144</v>
      </c>
      <c r="L48" s="190"/>
      <c r="M48" s="137" t="s">
        <v>7710</v>
      </c>
      <c r="N48" s="137" t="s">
        <v>7859</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8145</v>
      </c>
      <c r="AA48" s="373"/>
      <c r="AB48" s="316" t="s">
        <v>7711</v>
      </c>
      <c r="AC48" s="137" t="s">
        <v>7860</v>
      </c>
      <c r="AD48" s="143"/>
      <c r="AE48" s="127" t="str">
        <f>IFERROR(__xludf.DUMMYFUNCTION("GOOGLETRANSLATE(A48,""zh-tw"",""ru"")"),"Водный монстр жевательная резинка")</f>
        <v>Водный монстр жевательная резинка</v>
      </c>
      <c r="AF48" s="372"/>
      <c r="AG48" s="168" t="str">
        <f>IFERROR(__xludf.DUMMYFUNCTION("GOOGLETRANSLATE(C48,""zh-tw"",""ru"")"),"слизь")</f>
        <v>слизь</v>
      </c>
      <c r="AH48" s="168" t="str">
        <f>IFERROR(__xludf.DUMMYFUNCTION("GOOGLETRANSLATE(D48,""zh-tw"",""ru"")"),"Водяной монстр-слизь")</f>
        <v>Водяной монстр-слизь</v>
      </c>
      <c r="AI48" s="168"/>
      <c r="AJ48" s="376" t="s">
        <v>8146</v>
      </c>
      <c r="AK48" s="373"/>
      <c r="AL48" s="137" t="s">
        <v>7713</v>
      </c>
      <c r="AM48" s="137" t="s">
        <v>7862</v>
      </c>
      <c r="AN48" s="143"/>
      <c r="AO48" s="139" t="s">
        <v>8147</v>
      </c>
      <c r="AP48" s="190"/>
      <c r="AQ48" s="143" t="s">
        <v>7715</v>
      </c>
      <c r="AR48" s="143" t="s">
        <v>7864</v>
      </c>
      <c r="AS48" s="125"/>
      <c r="AT48" s="127" t="s">
        <v>8148</v>
      </c>
      <c r="AU48" s="191"/>
      <c r="AV48" s="143" t="s">
        <v>7716</v>
      </c>
      <c r="AW48" s="143" t="s">
        <v>8149</v>
      </c>
      <c r="AX48" s="28"/>
      <c r="AY48" s="125"/>
      <c r="AZ48" s="125"/>
      <c r="BA48" s="125"/>
      <c r="BB48" s="125"/>
      <c r="BC48" s="125"/>
    </row>
    <row r="49">
      <c r="A49" s="127" t="s">
        <v>8150</v>
      </c>
      <c r="B49" s="378"/>
      <c r="C49" s="168" t="s">
        <v>7706</v>
      </c>
      <c r="D49" s="168" t="s">
        <v>7855</v>
      </c>
      <c r="E49" s="125"/>
      <c r="F49" s="127" t="s">
        <v>8151</v>
      </c>
      <c r="G49" s="378"/>
      <c r="H49" s="168" t="s">
        <v>7708</v>
      </c>
      <c r="I49" s="168" t="s">
        <v>7857</v>
      </c>
      <c r="J49" s="125"/>
      <c r="K49" s="117" t="s">
        <v>8152</v>
      </c>
      <c r="L49" s="190"/>
      <c r="M49" s="137" t="s">
        <v>7710</v>
      </c>
      <c r="N49" s="137" t="s">
        <v>7859</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8153</v>
      </c>
      <c r="AA49" s="373"/>
      <c r="AB49" s="316" t="s">
        <v>7711</v>
      </c>
      <c r="AC49" s="316" t="s">
        <v>7860</v>
      </c>
      <c r="AD49" s="143"/>
      <c r="AE49" s="127" t="str">
        <f>IFERROR(__xludf.DUMMYFUNCTION("GOOGLETRANSLATE(A49,""zh-tw"",""ru"")"),"Водяной монстр, строганный лед")</f>
        <v>Водяной монстр, строганный лед</v>
      </c>
      <c r="AF49" s="372"/>
      <c r="AG49" s="168" t="str">
        <f>IFERROR(__xludf.DUMMYFUNCTION("GOOGLETRANSLATE(C49,""zh-tw"",""ru"")"),"слизь")</f>
        <v>слизь</v>
      </c>
      <c r="AH49" s="168" t="str">
        <f>IFERROR(__xludf.DUMMYFUNCTION("GOOGLETRANSLATE(D49,""zh-tw"",""ru"")"),"Водяной монстр-слизь")</f>
        <v>Водяной монстр-слизь</v>
      </c>
      <c r="AI49" s="168"/>
      <c r="AJ49" s="376" t="s">
        <v>8154</v>
      </c>
      <c r="AK49" s="373"/>
      <c r="AL49" s="137" t="s">
        <v>7713</v>
      </c>
      <c r="AM49" s="137" t="s">
        <v>7862</v>
      </c>
      <c r="AN49" s="143"/>
      <c r="AO49" s="139" t="s">
        <v>8155</v>
      </c>
      <c r="AP49" s="190"/>
      <c r="AQ49" s="143" t="s">
        <v>7715</v>
      </c>
      <c r="AR49" s="143" t="s">
        <v>7864</v>
      </c>
      <c r="AS49" s="125"/>
      <c r="AT49" s="127" t="s">
        <v>8156</v>
      </c>
      <c r="AU49" s="191"/>
      <c r="AV49" s="143" t="s">
        <v>7716</v>
      </c>
      <c r="AW49" s="143" t="s">
        <v>8149</v>
      </c>
      <c r="AX49" s="28"/>
      <c r="AY49" s="125"/>
      <c r="AZ49" s="125"/>
      <c r="BA49" s="125"/>
      <c r="BB49" s="125"/>
      <c r="BC49" s="125"/>
    </row>
    <row r="50">
      <c r="A50" s="127" t="s">
        <v>8157</v>
      </c>
      <c r="B50" s="379" t="s">
        <v>8158</v>
      </c>
      <c r="C50" s="168" t="s">
        <v>7706</v>
      </c>
      <c r="D50" s="168" t="s">
        <v>7855</v>
      </c>
      <c r="E50" s="168" t="s">
        <v>8159</v>
      </c>
      <c r="F50" s="127" t="s">
        <v>8160</v>
      </c>
      <c r="G50" s="379" t="s">
        <v>8161</v>
      </c>
      <c r="H50" s="168" t="s">
        <v>7708</v>
      </c>
      <c r="I50" s="168" t="s">
        <v>7857</v>
      </c>
      <c r="J50" s="168" t="s">
        <v>8162</v>
      </c>
      <c r="K50" s="117" t="s">
        <v>8163</v>
      </c>
      <c r="L50" s="174" t="s">
        <v>8164</v>
      </c>
      <c r="M50" s="137" t="s">
        <v>7710</v>
      </c>
      <c r="N50" s="137" t="s">
        <v>7859</v>
      </c>
      <c r="O50" s="137" t="s">
        <v>8165</v>
      </c>
      <c r="P50" s="117" t="str">
        <f>IFERROR(__xludf.DUMMYFUNCTION("GOOGLETRANSLATE(A50,""zh-tw"",""zh"")"),"水怪软糖(红)")</f>
        <v>水怪软糖(红)</v>
      </c>
      <c r="Q50" s="379" t="s">
        <v>8158</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8166</v>
      </c>
      <c r="AA50" s="373" t="s">
        <v>8167</v>
      </c>
      <c r="AB50" s="137" t="s">
        <v>7711</v>
      </c>
      <c r="AC50" s="316" t="s">
        <v>7860</v>
      </c>
      <c r="AD50" s="143" t="str">
        <f>IFERROR(__xludf.DUMMYFUNCTION("GOOGLETRANSLATE(E50,""zh-tw"",""KO"")"),"토마토/고추")</f>
        <v>토마토/고추</v>
      </c>
      <c r="AE50" s="127" t="str">
        <f>IFERROR(__xludf.DUMMYFUNCTION("GOOGLETRANSLATE(A50,""zh-tw"",""ru"")"),"Жевательные конфеты Water Monster (красные)")</f>
        <v>Жевательные конфеты Water Monster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монстр-слизь")</f>
        <v>Водяной монстр-слизь</v>
      </c>
      <c r="AI50" s="168" t="str">
        <f>IFERROR(__xludf.DUMMYFUNCTION("GOOGLETRANSLATE(E50,""zh-tw"",""ru"")"),"Помидоры/Перцы")</f>
        <v>Помидоры/Перцы</v>
      </c>
      <c r="AJ50" s="376" t="s">
        <v>8168</v>
      </c>
      <c r="AK50" s="373" t="s">
        <v>934</v>
      </c>
      <c r="AL50" s="137" t="s">
        <v>7713</v>
      </c>
      <c r="AM50" s="137" t="s">
        <v>7862</v>
      </c>
      <c r="AN50" s="143" t="str">
        <f>IFERROR(__xludf.DUMMYFUNCTION("GOOGLETRANSLATE(E50,""zh-tw"",""de"")"),"Tomaten/Paprika")</f>
        <v>Tomaten/Paprika</v>
      </c>
      <c r="AO50" s="139" t="s">
        <v>8169</v>
      </c>
      <c r="AP50" s="89" t="s">
        <v>8170</v>
      </c>
      <c r="AQ50" s="143" t="s">
        <v>7715</v>
      </c>
      <c r="AR50" s="143" t="s">
        <v>7864</v>
      </c>
      <c r="AS50" s="143" t="s">
        <v>8171</v>
      </c>
      <c r="AT50" s="127" t="s">
        <v>8172</v>
      </c>
      <c r="AU50" s="162" t="s">
        <v>8173</v>
      </c>
      <c r="AV50" s="143" t="s">
        <v>7716</v>
      </c>
      <c r="AW50" s="143" t="s">
        <v>8149</v>
      </c>
      <c r="AX50" s="143" t="s">
        <v>8174</v>
      </c>
      <c r="AY50" s="143"/>
      <c r="AZ50" s="143"/>
      <c r="BA50" s="143"/>
      <c r="BB50" s="143"/>
      <c r="BC50" s="143"/>
    </row>
    <row r="51">
      <c r="A51" s="127" t="s">
        <v>8175</v>
      </c>
      <c r="B51" s="378"/>
      <c r="C51" s="168" t="s">
        <v>7737</v>
      </c>
      <c r="D51" s="125"/>
      <c r="E51" s="125"/>
      <c r="F51" s="127" t="s">
        <v>8176</v>
      </c>
      <c r="G51" s="378"/>
      <c r="H51" s="168" t="s">
        <v>7739</v>
      </c>
      <c r="I51" s="125"/>
      <c r="J51" s="125"/>
      <c r="K51" s="117" t="s">
        <v>8177</v>
      </c>
      <c r="L51" s="190"/>
      <c r="M51" s="137" t="s">
        <v>7741</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8178</v>
      </c>
      <c r="AK51" s="373"/>
      <c r="AL51" s="137" t="s">
        <v>7743</v>
      </c>
      <c r="AM51" s="143"/>
      <c r="AN51" s="143"/>
      <c r="AO51" s="139" t="s">
        <v>8179</v>
      </c>
      <c r="AP51" s="190"/>
      <c r="AQ51" s="143" t="s">
        <v>7745</v>
      </c>
      <c r="AR51" s="125"/>
      <c r="AS51" s="125"/>
      <c r="AT51" s="127" t="s">
        <v>8180</v>
      </c>
      <c r="AU51" s="191"/>
      <c r="AV51" s="143" t="s">
        <v>7747</v>
      </c>
      <c r="AW51" s="28"/>
      <c r="AX51" s="28"/>
      <c r="AY51" s="125"/>
      <c r="AZ51" s="125"/>
      <c r="BA51" s="125"/>
      <c r="BB51" s="125"/>
      <c r="BC51" s="125"/>
    </row>
    <row r="52">
      <c r="A52" s="127" t="s">
        <v>8181</v>
      </c>
      <c r="B52" s="378"/>
      <c r="C52" s="168" t="s">
        <v>5472</v>
      </c>
      <c r="D52" s="168" t="s">
        <v>7737</v>
      </c>
      <c r="E52" s="125"/>
      <c r="F52" s="127" t="s">
        <v>8182</v>
      </c>
      <c r="G52" s="378"/>
      <c r="H52" s="168" t="s">
        <v>8183</v>
      </c>
      <c r="I52" s="168" t="s">
        <v>7739</v>
      </c>
      <c r="J52" s="125"/>
      <c r="K52" s="117" t="s">
        <v>8184</v>
      </c>
      <c r="L52" s="190"/>
      <c r="M52" s="137" t="s">
        <v>5476</v>
      </c>
      <c r="N52" s="137" t="s">
        <v>7741</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8185</v>
      </c>
      <c r="AK52" s="373"/>
      <c r="AL52" s="137" t="s">
        <v>8186</v>
      </c>
      <c r="AM52" s="137" t="s">
        <v>7743</v>
      </c>
      <c r="AN52" s="143"/>
      <c r="AO52" s="139" t="s">
        <v>8187</v>
      </c>
      <c r="AP52" s="190"/>
      <c r="AQ52" s="143" t="s">
        <v>5482</v>
      </c>
      <c r="AR52" s="143" t="s">
        <v>7745</v>
      </c>
      <c r="AS52" s="125"/>
      <c r="AT52" s="127" t="s">
        <v>8188</v>
      </c>
      <c r="AU52" s="191"/>
      <c r="AV52" s="143" t="s">
        <v>5485</v>
      </c>
      <c r="AW52" s="143" t="s">
        <v>7747</v>
      </c>
      <c r="AX52" s="28"/>
      <c r="AY52" s="125"/>
      <c r="AZ52" s="125"/>
      <c r="BA52" s="125"/>
      <c r="BB52" s="125"/>
      <c r="BC52" s="125"/>
    </row>
    <row r="53">
      <c r="A53" s="127" t="s">
        <v>8189</v>
      </c>
      <c r="B53" s="378"/>
      <c r="C53" s="168" t="s">
        <v>5499</v>
      </c>
      <c r="D53" s="125"/>
      <c r="E53" s="125"/>
      <c r="F53" s="127" t="s">
        <v>8190</v>
      </c>
      <c r="G53" s="378"/>
      <c r="H53" s="168" t="s">
        <v>8013</v>
      </c>
      <c r="I53" s="125"/>
      <c r="J53" s="125"/>
      <c r="K53" s="117" t="s">
        <v>8191</v>
      </c>
      <c r="L53" s="190"/>
      <c r="M53" s="137" t="s">
        <v>5501</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8192</v>
      </c>
      <c r="AK53" s="373"/>
      <c r="AL53" s="137" t="s">
        <v>5507</v>
      </c>
      <c r="AM53" s="143"/>
      <c r="AN53" s="143"/>
      <c r="AO53" s="139" t="s">
        <v>8193</v>
      </c>
      <c r="AP53" s="190"/>
      <c r="AQ53" s="143" t="s">
        <v>5495</v>
      </c>
      <c r="AR53" s="125"/>
      <c r="AS53" s="125"/>
      <c r="AT53" s="127" t="s">
        <v>8194</v>
      </c>
      <c r="AU53" s="191"/>
      <c r="AV53" s="143" t="s">
        <v>5507</v>
      </c>
      <c r="AW53" s="28"/>
      <c r="AX53" s="28"/>
      <c r="AY53" s="125"/>
      <c r="AZ53" s="125"/>
      <c r="BA53" s="125"/>
      <c r="BB53" s="125"/>
      <c r="BC53" s="125"/>
    </row>
    <row r="54">
      <c r="A54" s="127" t="s">
        <v>5472</v>
      </c>
      <c r="B54" s="378"/>
      <c r="C54" s="168" t="s">
        <v>5472</v>
      </c>
      <c r="D54" s="125"/>
      <c r="E54" s="125"/>
      <c r="F54" s="127" t="s">
        <v>8195</v>
      </c>
      <c r="G54" s="378"/>
      <c r="H54" s="168" t="s">
        <v>8183</v>
      </c>
      <c r="I54" s="125"/>
      <c r="J54" s="125"/>
      <c r="K54" s="117" t="s">
        <v>5476</v>
      </c>
      <c r="L54" s="190"/>
      <c r="M54" s="137" t="s">
        <v>5476</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8186</v>
      </c>
      <c r="AK54" s="373"/>
      <c r="AL54" s="137" t="s">
        <v>8186</v>
      </c>
      <c r="AM54" s="143"/>
      <c r="AN54" s="143"/>
      <c r="AO54" s="139" t="s">
        <v>5482</v>
      </c>
      <c r="AP54" s="190"/>
      <c r="AQ54" s="143" t="s">
        <v>5482</v>
      </c>
      <c r="AR54" s="125"/>
      <c r="AS54" s="125"/>
      <c r="AT54" s="127" t="s">
        <v>5485</v>
      </c>
      <c r="AU54" s="191"/>
      <c r="AV54" s="143" t="s">
        <v>5485</v>
      </c>
      <c r="AW54" s="28"/>
      <c r="AX54" s="28"/>
      <c r="AY54" s="125"/>
      <c r="AZ54" s="125"/>
      <c r="BA54" s="125"/>
      <c r="BB54" s="125"/>
      <c r="BC54" s="125"/>
    </row>
    <row r="55">
      <c r="A55" s="134" t="s">
        <v>8196</v>
      </c>
      <c r="B55" s="190"/>
      <c r="C55" s="380" t="s">
        <v>8054</v>
      </c>
      <c r="D55" s="380" t="s">
        <v>8197</v>
      </c>
      <c r="E55" s="380" t="s">
        <v>8198</v>
      </c>
      <c r="F55" s="126"/>
      <c r="G55" s="378"/>
      <c r="H55" s="125"/>
      <c r="I55" s="125"/>
      <c r="J55" s="125"/>
      <c r="K55" s="114" t="s">
        <v>8199</v>
      </c>
      <c r="L55" s="162"/>
      <c r="M55" s="137" t="s">
        <v>8058</v>
      </c>
      <c r="N55" s="137" t="s">
        <v>8200</v>
      </c>
      <c r="O55" s="137" t="s">
        <v>7724</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치킨 라이스볼")</f>
        <v>훈제 치킨 라이스볼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8201</v>
      </c>
      <c r="AP55" s="162"/>
      <c r="AQ55" s="137" t="s">
        <v>8064</v>
      </c>
      <c r="AR55" s="137" t="s">
        <v>8202</v>
      </c>
      <c r="AS55" s="137" t="s">
        <v>7731</v>
      </c>
      <c r="AT55" s="134" t="s">
        <v>8203</v>
      </c>
      <c r="AU55" s="191"/>
      <c r="AV55" s="137" t="s">
        <v>8066</v>
      </c>
      <c r="AW55" s="137" t="s">
        <v>8204</v>
      </c>
      <c r="AX55" s="143" t="s">
        <v>7734</v>
      </c>
      <c r="AY55" s="125"/>
      <c r="AZ55" s="125"/>
      <c r="BA55" s="125"/>
      <c r="BB55" s="125"/>
      <c r="BC55" s="125"/>
    </row>
    <row r="56">
      <c r="A56" s="134" t="s">
        <v>8205</v>
      </c>
      <c r="B56" s="190"/>
      <c r="C56" s="380" t="s">
        <v>8054</v>
      </c>
      <c r="D56" s="380" t="s">
        <v>8206</v>
      </c>
      <c r="E56" s="380" t="s">
        <v>8198</v>
      </c>
      <c r="F56" s="126"/>
      <c r="G56" s="378"/>
      <c r="H56" s="125"/>
      <c r="I56" s="125"/>
      <c r="J56" s="125"/>
      <c r="K56" s="114" t="s">
        <v>8207</v>
      </c>
      <c r="L56" s="190"/>
      <c r="M56" s="137" t="s">
        <v>8058</v>
      </c>
      <c r="N56" s="137" t="s">
        <v>7725</v>
      </c>
      <c r="O56" s="137" t="s">
        <v>7724</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8208</v>
      </c>
      <c r="AP56" s="162"/>
      <c r="AQ56" s="137" t="s">
        <v>8064</v>
      </c>
      <c r="AR56" s="137" t="s">
        <v>7732</v>
      </c>
      <c r="AS56" s="137" t="s">
        <v>7731</v>
      </c>
      <c r="AT56" s="134" t="s">
        <v>8209</v>
      </c>
      <c r="AU56" s="191"/>
      <c r="AV56" s="137" t="s">
        <v>8066</v>
      </c>
      <c r="AW56" s="381" t="s">
        <v>7735</v>
      </c>
      <c r="AX56" s="143" t="s">
        <v>7734</v>
      </c>
      <c r="AY56" s="125"/>
      <c r="AZ56" s="125"/>
      <c r="BA56" s="125"/>
      <c r="BB56" s="125"/>
      <c r="BC56" s="125"/>
    </row>
    <row r="57">
      <c r="A57" s="134" t="s">
        <v>8210</v>
      </c>
      <c r="B57" s="190"/>
      <c r="C57" s="380" t="s">
        <v>7911</v>
      </c>
      <c r="D57" s="380" t="s">
        <v>7911</v>
      </c>
      <c r="E57" s="380" t="s">
        <v>7911</v>
      </c>
      <c r="F57" s="126"/>
      <c r="G57" s="190"/>
      <c r="H57" s="125"/>
      <c r="I57" s="125"/>
      <c r="J57" s="125"/>
      <c r="K57" s="114" t="s">
        <v>8211</v>
      </c>
      <c r="L57" s="190"/>
      <c r="M57" s="137" t="s">
        <v>7916</v>
      </c>
      <c r="N57" s="137" t="s">
        <v>7916</v>
      </c>
      <c r="O57" s="137" t="s">
        <v>7916</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당근꼬치")</f>
        <v>구운 당근꼬치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8212</v>
      </c>
      <c r="AP57" s="162"/>
      <c r="AQ57" s="137" t="s">
        <v>7919</v>
      </c>
      <c r="AR57" s="137" t="s">
        <v>7919</v>
      </c>
      <c r="AS57" s="137" t="s">
        <v>7919</v>
      </c>
      <c r="AT57" s="134" t="s">
        <v>8213</v>
      </c>
      <c r="AU57" s="191"/>
      <c r="AV57" s="137" t="s">
        <v>7920</v>
      </c>
      <c r="AW57" s="137" t="s">
        <v>7920</v>
      </c>
      <c r="AX57" s="137" t="s">
        <v>7920</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8214</v>
      </c>
      <c r="AK1" s="307" t="s">
        <v>240</v>
      </c>
      <c r="AO1" s="382"/>
      <c r="AP1" s="382"/>
    </row>
    <row r="2" ht="45.0" customHeight="1">
      <c r="AO2" s="382"/>
      <c r="AP2" s="382"/>
    </row>
    <row r="3" ht="55.5" customHeight="1">
      <c r="A3" s="383" t="s">
        <v>8215</v>
      </c>
      <c r="B3" s="25" t="s">
        <v>8216</v>
      </c>
      <c r="C3" s="384" t="s">
        <v>8217</v>
      </c>
      <c r="D3" s="157" t="s">
        <v>8218</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8219</v>
      </c>
      <c r="J3" s="25" t="s">
        <v>8220</v>
      </c>
      <c r="K3" s="384" t="s">
        <v>8221</v>
      </c>
      <c r="L3" s="157" t="s">
        <v>8222</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 다이어그램")</f>
        <v>상태 다이어그램</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8223</v>
      </c>
      <c r="AH3" s="388" t="s">
        <v>8224</v>
      </c>
      <c r="AI3" s="389" t="s">
        <v>8225</v>
      </c>
      <c r="AJ3" s="390" t="s">
        <v>4814</v>
      </c>
      <c r="AK3" s="159" t="s">
        <v>8226</v>
      </c>
      <c r="AL3" s="161" t="s">
        <v>8227</v>
      </c>
      <c r="AM3" s="391" t="s">
        <v>8228</v>
      </c>
      <c r="AN3" s="392" t="s">
        <v>4818</v>
      </c>
      <c r="AO3" s="393"/>
      <c r="AP3" s="393"/>
    </row>
    <row r="4" ht="26.25" customHeight="1">
      <c r="A4" s="176" t="s">
        <v>8229</v>
      </c>
      <c r="B4" s="316" t="s">
        <v>8230</v>
      </c>
      <c r="C4" s="215" t="s">
        <v>816</v>
      </c>
      <c r="D4" s="394" t="s">
        <v>8231</v>
      </c>
      <c r="E4" s="176" t="s">
        <v>8232</v>
      </c>
      <c r="F4" s="318" t="str">
        <f>IFERROR(__xludf.DUMMYFUNCTION("GOOGLETRANSLATE(B4,""zh-tw"",""ja"")"),"少し落ち着かない気分です")</f>
        <v>少し落ち着かない気分です</v>
      </c>
      <c r="G4" s="395" t="str">
        <f>IFERROR(__xludf.DUMMYFUNCTION("GOOGLETRANSLATE(C4,""zh-tw"",""ja"")"),"-")</f>
        <v>-</v>
      </c>
      <c r="H4" s="394" t="s">
        <v>8233</v>
      </c>
      <c r="I4" s="176" t="s">
        <v>8234</v>
      </c>
      <c r="J4" s="316" t="s">
        <v>8235</v>
      </c>
      <c r="K4" s="395" t="str">
        <f>IFERROR(__xludf.DUMMYFUNCTION("GOOGLETRANSLATE(C4,""zh-tw"",""en"")"),"-")</f>
        <v>-</v>
      </c>
      <c r="L4" s="394" t="s">
        <v>8236</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조금 불안하다")</f>
        <v>나는 조금 불안하다</v>
      </c>
      <c r="W4" s="304" t="str">
        <f>IFERROR(__xludf.DUMMYFUNCTION("GOOGLETRANSLATE(C4,""zh-tw"",""KO"")"),"-")</f>
        <v>-</v>
      </c>
      <c r="X4" s="142" t="str">
        <f>IFERROR(__xludf.DUMMYFUNCTION("GOOGLETRANSLATE(D4,""zh-tw"",""KO"")"),"내 동생은 성적 욕망이 있어요.")</f>
        <v>내 동생은 성적 욕망이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8237</v>
      </c>
      <c r="AH4" s="47" t="s">
        <v>8238</v>
      </c>
      <c r="AI4" s="305" t="s">
        <v>816</v>
      </c>
      <c r="AJ4" s="123" t="s">
        <v>8239</v>
      </c>
      <c r="AK4" s="107" t="s">
        <v>8240</v>
      </c>
      <c r="AL4" s="47" t="s">
        <v>8241</v>
      </c>
      <c r="AM4" s="305" t="s">
        <v>816</v>
      </c>
      <c r="AN4" s="123" t="s">
        <v>8242</v>
      </c>
      <c r="AO4" s="398"/>
      <c r="AP4" s="398"/>
    </row>
    <row r="5" ht="26.25" customHeight="1">
      <c r="A5" s="176" t="s">
        <v>8229</v>
      </c>
      <c r="B5" s="316" t="s">
        <v>8243</v>
      </c>
      <c r="C5" s="215" t="s">
        <v>816</v>
      </c>
      <c r="D5" s="394" t="s">
        <v>8244</v>
      </c>
      <c r="E5" s="176" t="s">
        <v>8232</v>
      </c>
      <c r="F5" s="318" t="str">
        <f>IFERROR(__xludf.DUMMYFUNCTION("GOOGLETRANSLATE(B5,""zh-tw"",""ja"")"),"体全体が何らかの刺激を求めている。")</f>
        <v>体全体が何らかの刺激を求めている。</v>
      </c>
      <c r="G5" s="215" t="s">
        <v>816</v>
      </c>
      <c r="H5" s="394" t="s">
        <v>8245</v>
      </c>
      <c r="I5" s="176" t="s">
        <v>8234</v>
      </c>
      <c r="J5" s="316" t="s">
        <v>8246</v>
      </c>
      <c r="K5" s="215" t="s">
        <v>816</v>
      </c>
      <c r="L5" s="394" t="s">
        <v>8247</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온몸은 어떤 종류의 자극을 갈구하고 있어요.")</f>
        <v>내 온몸은 어떤 종류의 자극을 갈구하고 있어요.</v>
      </c>
      <c r="W5" s="304" t="str">
        <f>IFERROR(__xludf.DUMMYFUNCTION("GOOGLETRANSLATE(C5,""zh-tw"",""KO"")"),"-")</f>
        <v>-</v>
      </c>
      <c r="X5" s="142" t="str">
        <f>IFERROR(__xludf.DUMMYFUNCTION("GOOGLETRANSLATE(D5,""zh-tw"",""KO"")"),"내 동생은 성욕이 강해요.")</f>
        <v>내 동생은 성욕이 강해요.</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8237</v>
      </c>
      <c r="AH5" s="47" t="s">
        <v>8248</v>
      </c>
      <c r="AI5" s="305" t="s">
        <v>816</v>
      </c>
      <c r="AJ5" s="123" t="s">
        <v>8249</v>
      </c>
      <c r="AK5" s="107" t="s">
        <v>8240</v>
      </c>
      <c r="AL5" s="47" t="s">
        <v>8250</v>
      </c>
      <c r="AM5" s="305" t="s">
        <v>816</v>
      </c>
      <c r="AN5" s="123" t="s">
        <v>8251</v>
      </c>
      <c r="AO5" s="398"/>
      <c r="AP5" s="398"/>
    </row>
    <row r="6" ht="26.25" customHeight="1">
      <c r="A6" s="176" t="s">
        <v>8229</v>
      </c>
      <c r="B6" s="316" t="s">
        <v>8252</v>
      </c>
      <c r="C6" s="215" t="s">
        <v>816</v>
      </c>
      <c r="D6" s="394" t="s">
        <v>8253</v>
      </c>
      <c r="E6" s="176" t="s">
        <v>8232</v>
      </c>
      <c r="F6" s="318" t="str">
        <f>IFERROR(__xludf.DUMMYFUNCTION("GOOGLETRANSLATE(B6,""zh-tw"",""ja"")"),"もう自分をコントロールできない。")</f>
        <v>もう自分をコントロールできない。</v>
      </c>
      <c r="G6" s="215" t="s">
        <v>816</v>
      </c>
      <c r="H6" s="394" t="s">
        <v>8254</v>
      </c>
      <c r="I6" s="176" t="s">
        <v>8234</v>
      </c>
      <c r="J6" s="316" t="s">
        <v>8255</v>
      </c>
      <c r="K6" s="215" t="s">
        <v>816</v>
      </c>
      <c r="L6" s="394" t="s">
        <v>8256</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IFERROR(__xludf.DUMMYFUNCTION("GOOGLETRANSLATE(B6,""zh-tw"",""KO"")"),"나는 더 이상 나 자신을 통제할 수 없어.")</f>
        <v>나는 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8237</v>
      </c>
      <c r="AH6" s="47" t="s">
        <v>8257</v>
      </c>
      <c r="AI6" s="305" t="s">
        <v>816</v>
      </c>
      <c r="AJ6" s="123" t="s">
        <v>8258</v>
      </c>
      <c r="AK6" s="107" t="s">
        <v>8240</v>
      </c>
      <c r="AL6" s="47" t="s">
        <v>8259</v>
      </c>
      <c r="AM6" s="305" t="s">
        <v>816</v>
      </c>
      <c r="AN6" s="123" t="s">
        <v>8260</v>
      </c>
      <c r="AO6" s="398"/>
      <c r="AP6" s="398"/>
    </row>
    <row r="7">
      <c r="A7" s="176" t="s">
        <v>8261</v>
      </c>
      <c r="B7" s="316" t="s">
        <v>8262</v>
      </c>
      <c r="C7" s="215" t="s">
        <v>8263</v>
      </c>
      <c r="D7" s="394" t="s">
        <v>8264</v>
      </c>
      <c r="E7" s="176" t="s">
        <v>8265</v>
      </c>
      <c r="F7" s="318" t="str">
        <f>IFERROR(__xludf.DUMMYFUNCTION("GOOGLETRANSLATE(B7,""zh-tw"",""ja"")"),"うーん…")</f>
        <v>うーん…</v>
      </c>
      <c r="G7" s="215" t="s">
        <v>8266</v>
      </c>
      <c r="H7" s="394" t="s">
        <v>8267</v>
      </c>
      <c r="I7" s="176" t="s">
        <v>8268</v>
      </c>
      <c r="J7" s="316" t="s">
        <v>8269</v>
      </c>
      <c r="K7" s="215" t="s">
        <v>8270</v>
      </c>
      <c r="L7" s="394" t="s">
        <v>8271</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IFERROR(__xludf.DUMMYFUNCTION("GOOGLETRANSLATE(A7,""zh-tw"",""KO"")"),"오크들")</f>
        <v>오크들</v>
      </c>
      <c r="V7" s="143" t="str">
        <f>IFERROR(__xludf.DUMMYFUNCTION("GOOGLETRANSLATE(B7,""zh-tw"",""KO"")"),"으악...")</f>
        <v>으악...</v>
      </c>
      <c r="W7" s="304" t="str">
        <f>IFERROR(__xludf.DUMMYFUNCTION("GOOGLETRANSLATE(C7,""zh-tw"",""KO"")"),"그것은 욕망으로 가득 찬 마음을 가진 짐승으로 뒤틀렸습니다!")</f>
        <v>그것은 욕망으로 가득 찬 마음을 가진 짐승으로 뒤틀렸습니다!</v>
      </c>
      <c r="X7" s="142" t="str">
        <f>IFERROR(__xludf.DUMMYFUNCTION("GOOGLETRANSLATE(D7,""zh-tw"",""KO"")"),"내 동생은 성욕이 매우 강해요.")</f>
        <v>내 동생은 성욕이 매우 강해요.</v>
      </c>
      <c r="Y7" s="396" t="str">
        <f>IFERROR(__xludf.DUMMYFUNCTION("GOOGLETRANSLATE(A7,""zh-tw"",""RU"")"),"Орки")</f>
        <v>Орки</v>
      </c>
      <c r="Z7" s="318" t="str">
        <f>IFERROR(__xludf.DUMMYFUNCTION("GOOGLETRANSLATE(B7,""zh-tw"",""RU"")"),"Уф...")</f>
        <v>Уф...</v>
      </c>
      <c r="AA7" s="395"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8268</v>
      </c>
      <c r="AH7" s="137" t="s">
        <v>8272</v>
      </c>
      <c r="AI7" s="305" t="s">
        <v>8273</v>
      </c>
      <c r="AJ7" s="123" t="s">
        <v>8274</v>
      </c>
      <c r="AK7" s="107" t="s">
        <v>8268</v>
      </c>
      <c r="AL7" s="47" t="s">
        <v>8269</v>
      </c>
      <c r="AM7" s="214" t="s">
        <v>8275</v>
      </c>
      <c r="AN7" s="123" t="s">
        <v>8276</v>
      </c>
      <c r="AO7" s="398"/>
      <c r="AP7" s="398"/>
    </row>
    <row r="8">
      <c r="A8" s="176" t="s">
        <v>8277</v>
      </c>
      <c r="B8" s="316" t="s">
        <v>8278</v>
      </c>
      <c r="C8" s="215" t="s">
        <v>8279</v>
      </c>
      <c r="D8" s="394" t="s">
        <v>8280</v>
      </c>
      <c r="E8" s="176" t="s">
        <v>8281</v>
      </c>
      <c r="F8" s="316" t="s">
        <v>8282</v>
      </c>
      <c r="G8" s="395" t="str">
        <f>IFERROR(__xludf.DUMMYFUNCTION("GOOGLETRANSLATE(C8,""zh-tw"",""ja"")"),"賢者モードに入ると、すべての属性が上昇します。")</f>
        <v>賢者モードに入ると、すべての属性が上昇します。</v>
      </c>
      <c r="H8" s="394" t="s">
        <v>8283</v>
      </c>
      <c r="I8" s="176" t="s">
        <v>8284</v>
      </c>
      <c r="J8" s="316" t="s">
        <v>8285</v>
      </c>
      <c r="K8" s="215" t="s">
        <v>8286</v>
      </c>
      <c r="L8" s="394" t="s">
        <v>8287</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무엇이든 할 수 있을 것 같은 기분이 들어요.")</f>
        <v>지금은 무엇이든 할 수 있을 것 같은 기분이 들어요.</v>
      </c>
      <c r="W8" s="304" t="str">
        <f>IFERROR(__xludf.DUMMYFUNCTION("GOOGLETRANSLATE(C8,""zh-tw"",""KO"")"),"세이지 모드에 들어가면 모든 속성이 증가합니다.")</f>
        <v>세이지 모드에 들어가면 모든 속성이 증가합니다.</v>
      </c>
      <c r="X8" s="142" t="str">
        <f>IFERROR(__xludf.DUMMYFUNCTION("GOOGLETRANSLATE(D8,""zh-tw"",""KO"")"),"내 동생은 성욕이 없어요.")</f>
        <v>내 동생은 성욕이 없어요.</v>
      </c>
      <c r="Y8" s="396" t="str">
        <f>IFERROR(__xludf.DUMMYFUNCTION("GOOGLETRANSLATE(A8,""zh-tw"",""RU"")"),"Мудрец")</f>
        <v>Мудрец</v>
      </c>
      <c r="Z8" s="318" t="str">
        <f>IFERROR(__xludf.DUMMYFUNCTION("GOOGLETRANSLATE(B8,""zh-tw"",""RU"")"),"Я чувствую, что сейчас я могу сделать все, что угодно.")</f>
        <v>Я чувствую, что сейчас я могу сделать все, что угодно.</v>
      </c>
      <c r="AA8" s="39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8288</v>
      </c>
      <c r="AH8" s="137" t="s">
        <v>8289</v>
      </c>
      <c r="AI8" s="214" t="s">
        <v>8290</v>
      </c>
      <c r="AJ8" s="123" t="s">
        <v>8291</v>
      </c>
      <c r="AK8" s="107" t="s">
        <v>8292</v>
      </c>
      <c r="AL8" s="47" t="s">
        <v>8293</v>
      </c>
      <c r="AM8" s="305" t="s">
        <v>8294</v>
      </c>
      <c r="AN8" s="123" t="s">
        <v>8295</v>
      </c>
      <c r="AO8" s="398"/>
      <c r="AP8" s="398"/>
    </row>
    <row r="9">
      <c r="A9" s="176" t="s">
        <v>8296</v>
      </c>
      <c r="B9" s="316" t="s">
        <v>816</v>
      </c>
      <c r="C9" s="215" t="s">
        <v>8297</v>
      </c>
      <c r="D9" s="394" t="s">
        <v>8298</v>
      </c>
      <c r="E9" s="396" t="str">
        <f>IFERROR(__xludf.DUMMYFUNCTION("GOOGLETRANSLATE(A9,""zh-tw"",""ja"")"),"集中")</f>
        <v>集中</v>
      </c>
      <c r="F9" s="318" t="str">
        <f>IFERROR(__xludf.DUMMYFUNCTION("GOOGLETRANSLATE(B9,""zh-tw"",""ja"")"),"-")</f>
        <v>-</v>
      </c>
      <c r="G9" s="215" t="s">
        <v>8299</v>
      </c>
      <c r="H9" s="394" t="s">
        <v>8300</v>
      </c>
      <c r="I9" s="176" t="s">
        <v>8301</v>
      </c>
      <c r="J9" s="318" t="str">
        <f>IFERROR(__xludf.DUMMYFUNCTION("GOOGLETRANSLATE(B9,""zh-tw"",""en"")"),"-")</f>
        <v>-</v>
      </c>
      <c r="K9" s="215" t="s">
        <v>8302</v>
      </c>
      <c r="L9" s="394" t="s">
        <v>8303</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공격에 대비하는 데 집중하면 이동 속도가 감소합니다.")</f>
        <v>다음 공격에 대비하는 데 집중하면 이동 속도가 감소합니다.</v>
      </c>
      <c r="X9" s="142" t="str">
        <f>IFERROR(__xludf.DUMMYFUNCTION("GOOGLETRANSLATE(D9,""zh-tw"",""KO"")"),"근접 무기 오른쪽 마우스 버튼")</f>
        <v>근접 무기 오른쪽 마우스 버튼</v>
      </c>
      <c r="Y9" s="396" t="str">
        <f>IFERROR(__xludf.DUMMYFUNCTION("GOOGLETRANSLATE(A9,""zh-tw"",""RU"")"),"Фокус")</f>
        <v>Фокус</v>
      </c>
      <c r="Z9" s="318" t="str">
        <f>IFERROR(__xludf.DUMMYFUNCTION("GOOGLETRANSLATE(B9,""zh-tw"",""RU"")"),"-")</f>
        <v>-</v>
      </c>
      <c r="AA9" s="39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8304</v>
      </c>
      <c r="AH9" s="47" t="s">
        <v>816</v>
      </c>
      <c r="AI9" s="214" t="s">
        <v>8305</v>
      </c>
      <c r="AJ9" s="123" t="s">
        <v>8306</v>
      </c>
      <c r="AK9" s="107" t="s">
        <v>8301</v>
      </c>
      <c r="AL9" s="47" t="s">
        <v>816</v>
      </c>
      <c r="AM9" s="305" t="s">
        <v>8307</v>
      </c>
      <c r="AN9" s="123" t="s">
        <v>8308</v>
      </c>
      <c r="AO9" s="398"/>
      <c r="AP9" s="398"/>
    </row>
    <row r="10">
      <c r="A10" s="176" t="s">
        <v>8309</v>
      </c>
      <c r="B10" s="316" t="s">
        <v>8310</v>
      </c>
      <c r="C10" s="215" t="s">
        <v>816</v>
      </c>
      <c r="D10" s="394" t="s">
        <v>8311</v>
      </c>
      <c r="E10" s="176" t="s">
        <v>8312</v>
      </c>
      <c r="F10" s="316" t="s">
        <v>8313</v>
      </c>
      <c r="G10" s="395" t="str">
        <f>IFERROR(__xludf.DUMMYFUNCTION("GOOGLETRANSLATE(C10,""zh-tw"",""ja"")"),"-")</f>
        <v>-</v>
      </c>
      <c r="H10" s="394" t="s">
        <v>8314</v>
      </c>
      <c r="I10" s="176" t="s">
        <v>8315</v>
      </c>
      <c r="J10" s="316" t="s">
        <v>8316</v>
      </c>
      <c r="K10" s="395" t="str">
        <f>IFERROR(__xludf.DUMMYFUNCTION("GOOGLETRANSLATE(C10,""zh-tw"",""en"")"),"-")</f>
        <v>-</v>
      </c>
      <c r="L10" s="394" t="s">
        <v>8317</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스텝이나 맵 전환 중 영구적인 버그 발생")</f>
        <v>플래시 스텝이나 맵 전환 중 영구적인 버그 발생</v>
      </c>
      <c r="Y10" s="396" t="str">
        <f>IFERROR(__xludf.DUMMYFUNCTION("GOOGLETRANSLATE(A10,""zh-tw"",""RU"")"),"Флэш-шаг")</f>
        <v>Флэш-шаг</v>
      </c>
      <c r="Z10" s="318" t="str">
        <f>IFERROR(__xludf.DUMMYFUNCTION("GOOGLETRANSLATE(B10,""zh-tw"",""RU"")"),"Багровая тройная скорость")</f>
        <v>Багровая тройная скорость</v>
      </c>
      <c r="AA10" s="395"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8315</v>
      </c>
      <c r="AH10" s="137" t="s">
        <v>8318</v>
      </c>
      <c r="AI10" s="305" t="s">
        <v>816</v>
      </c>
      <c r="AJ10" s="123" t="s">
        <v>8319</v>
      </c>
      <c r="AK10" s="107" t="s">
        <v>8315</v>
      </c>
      <c r="AL10" s="47" t="s">
        <v>8320</v>
      </c>
      <c r="AM10" s="305" t="s">
        <v>816</v>
      </c>
      <c r="AN10" s="123" t="s">
        <v>8321</v>
      </c>
      <c r="AO10" s="398"/>
      <c r="AP10" s="398"/>
    </row>
    <row r="11">
      <c r="A11" s="176" t="s">
        <v>8322</v>
      </c>
      <c r="B11" s="316" t="s">
        <v>816</v>
      </c>
      <c r="C11" s="215" t="s">
        <v>8323</v>
      </c>
      <c r="D11" s="394" t="s">
        <v>8324</v>
      </c>
      <c r="E11" s="176" t="s">
        <v>8325</v>
      </c>
      <c r="F11" s="318" t="str">
        <f>IFERROR(__xludf.DUMMYFUNCTION("GOOGLETRANSLATE(B11,""zh-tw"",""ja"")"),"-")</f>
        <v>-</v>
      </c>
      <c r="G11" s="215" t="s">
        <v>8326</v>
      </c>
      <c r="H11" s="394" t="s">
        <v>8327</v>
      </c>
      <c r="I11" s="176" t="s">
        <v>8328</v>
      </c>
      <c r="J11" s="318" t="str">
        <f>IFERROR(__xludf.DUMMYFUNCTION("GOOGLETRANSLATE(B11,""zh-tw"",""en"")"),"-")</f>
        <v>-</v>
      </c>
      <c r="K11" s="215" t="s">
        <v>8329</v>
      </c>
      <c r="L11" s="394" t="s">
        <v>8330</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f>
        <v>플래시 스텝 금지</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IFERROR(__xludf.DUMMYFUNCTION("GOOGLETRANSLATE(A11,""zh-tw"",""RU"")"),"Флэш-шаг запрещен")</f>
        <v>Флэш-шаг запрещен</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8331</v>
      </c>
      <c r="AH11" s="47" t="s">
        <v>816</v>
      </c>
      <c r="AI11" s="305" t="s">
        <v>8332</v>
      </c>
      <c r="AJ11" s="123" t="s">
        <v>8333</v>
      </c>
      <c r="AK11" s="107" t="s">
        <v>8334</v>
      </c>
      <c r="AL11" s="47" t="s">
        <v>816</v>
      </c>
      <c r="AM11" s="305" t="s">
        <v>8334</v>
      </c>
      <c r="AN11" s="123" t="s">
        <v>8335</v>
      </c>
      <c r="AO11" s="398"/>
      <c r="AP11" s="398"/>
    </row>
    <row r="12">
      <c r="A12" s="176" t="s">
        <v>8336</v>
      </c>
      <c r="B12" s="316" t="s">
        <v>816</v>
      </c>
      <c r="C12" s="215" t="s">
        <v>8337</v>
      </c>
      <c r="D12" s="394" t="s">
        <v>8338</v>
      </c>
      <c r="E12" s="176" t="s">
        <v>8339</v>
      </c>
      <c r="F12" s="318" t="str">
        <f>IFERROR(__xludf.DUMMYFUNCTION("GOOGLETRANSLATE(B12,""zh-tw"",""ja"")"),"-")</f>
        <v>-</v>
      </c>
      <c r="G12" s="215" t="s">
        <v>8340</v>
      </c>
      <c r="H12" s="394" t="s">
        <v>8341</v>
      </c>
      <c r="I12" s="176" t="s">
        <v>8342</v>
      </c>
      <c r="J12" s="318" t="str">
        <f>IFERROR(__xludf.DUMMYFUNCTION("GOOGLETRANSLATE(B12,""zh-tw"",""en"")"),"-")</f>
        <v>-</v>
      </c>
      <c r="K12" s="215" t="s">
        <v>8343</v>
      </c>
      <c r="L12" s="394" t="s">
        <v>8344</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IFERROR(__xludf.DUMMYFUNCTION("GOOGLETRANSLATE(C12,""zh-tw"",""KO"")"),"나는 빙빙 돌아서서 어지러움을 느낀다.")</f>
        <v>나는 빙빙 돌아서서 어지러움을 느낀다.</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8345</v>
      </c>
      <c r="AH12" s="47" t="s">
        <v>816</v>
      </c>
      <c r="AI12" s="305" t="s">
        <v>8346</v>
      </c>
      <c r="AJ12" s="123" t="s">
        <v>8347</v>
      </c>
      <c r="AK12" s="107" t="s">
        <v>8348</v>
      </c>
      <c r="AL12" s="47" t="s">
        <v>816</v>
      </c>
      <c r="AM12" s="305" t="s">
        <v>8349</v>
      </c>
      <c r="AN12" s="123" t="s">
        <v>8350</v>
      </c>
      <c r="AO12" s="398"/>
      <c r="AP12" s="398"/>
    </row>
    <row r="13">
      <c r="A13" s="176" t="s">
        <v>8351</v>
      </c>
      <c r="B13" s="316" t="s">
        <v>816</v>
      </c>
      <c r="C13" s="215" t="s">
        <v>8352</v>
      </c>
      <c r="D13" s="394" t="s">
        <v>8353</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8354</v>
      </c>
      <c r="J13" s="318" t="str">
        <f>IFERROR(__xludf.DUMMYFUNCTION("GOOGLETRANSLATE(B13,""zh-tw"",""en"")"),"-")</f>
        <v>-</v>
      </c>
      <c r="K13" s="215" t="s">
        <v>8355</v>
      </c>
      <c r="L13" s="394" t="s">
        <v>8356</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IFERROR(__xludf.DUMMYFUNCTION("GOOGLETRANSLATE(A13,""zh-tw"",""KO"")"),"주문시전")</f>
        <v>주문시전</v>
      </c>
      <c r="V13" s="143" t="str">
        <f>IFERROR(__xludf.DUMMYFUNCTION("GOOGLETRANSLATE(B13,""zh-tw"",""KO"")"),"-")</f>
        <v>-</v>
      </c>
      <c r="W13" s="304" t="str">
        <f>IFERROR(__xludf.DUMMYFUNCTION("GOOGLETRANSLATE(C13,""zh-tw"",""KO"")"),"마법의 주문을 외우는 동안")</f>
        <v>마법의 주문을 외우는 동안</v>
      </c>
      <c r="X13" s="142" t="str">
        <f>IFERROR(__xludf.DUMMYFUNCTION("GOOGLETRANSLATE(D13,""zh-tw"",""KO"")"),"지팡이 무기를 마우스 오른쪽 버튼으로 클릭합니다.")</f>
        <v>지팡이 무기를 마우스 오른쪽 버튼으로 클릭합니다.</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8357</v>
      </c>
      <c r="AH13" s="47" t="s">
        <v>816</v>
      </c>
      <c r="AI13" s="214" t="s">
        <v>8358</v>
      </c>
      <c r="AJ13" s="123" t="s">
        <v>8359</v>
      </c>
      <c r="AK13" s="107" t="s">
        <v>8360</v>
      </c>
      <c r="AL13" s="47" t="s">
        <v>816</v>
      </c>
      <c r="AM13" s="305" t="s">
        <v>8361</v>
      </c>
      <c r="AN13" s="123" t="s">
        <v>8362</v>
      </c>
      <c r="AO13" s="398"/>
      <c r="AP13" s="398"/>
    </row>
    <row r="14">
      <c r="A14" s="176" t="s">
        <v>8363</v>
      </c>
      <c r="B14" s="316" t="s">
        <v>8364</v>
      </c>
      <c r="C14" s="215" t="s">
        <v>8365</v>
      </c>
      <c r="D14" s="394" t="s">
        <v>8366</v>
      </c>
      <c r="E14" s="176" t="s">
        <v>8363</v>
      </c>
      <c r="F14" s="316" t="s">
        <v>8367</v>
      </c>
      <c r="G14" s="215" t="s">
        <v>8368</v>
      </c>
      <c r="H14" s="394" t="s">
        <v>8369</v>
      </c>
      <c r="I14" s="176" t="s">
        <v>8370</v>
      </c>
      <c r="J14" s="316" t="s">
        <v>8371</v>
      </c>
      <c r="K14" s="215" t="s">
        <v>8372</v>
      </c>
      <c r="L14" s="394" t="s">
        <v>8373</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지남에 따라 더 많은 손상")</f>
        <v>시간이 지남에 따라 더 많은 손상</v>
      </c>
      <c r="X14" s="142" t="str">
        <f>IFERROR(__xludf.DUMMYFUNCTION("GOOGLETRANSLATE(D14,""zh-tw"",""KO"")"),"좀비의 공격을 받다")</f>
        <v>좀비의 공격을 받다</v>
      </c>
      <c r="Y14" s="396" t="str">
        <f>IFERROR(__xludf.DUMMYFUNCTION("GOOGLETRANSLATE(A14,""zh-tw"",""RU"")"),"Отравление")</f>
        <v>Отравление</v>
      </c>
      <c r="Z14" s="318" t="str">
        <f>IFERROR(__xludf.DUMMYFUNCTION("GOOGLETRANSLATE(B14,""zh-tw"",""RU"")"),"Заражение токсинами")</f>
        <v>Заражение токсинами</v>
      </c>
      <c r="AA14" s="395"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8374</v>
      </c>
      <c r="AH14" s="137" t="s">
        <v>8375</v>
      </c>
      <c r="AI14" s="305" t="s">
        <v>8376</v>
      </c>
      <c r="AJ14" s="123" t="s">
        <v>8377</v>
      </c>
      <c r="AK14" s="107" t="s">
        <v>8378</v>
      </c>
      <c r="AL14" s="47" t="s">
        <v>8379</v>
      </c>
      <c r="AM14" s="305" t="s">
        <v>8380</v>
      </c>
      <c r="AN14" s="123" t="s">
        <v>8381</v>
      </c>
      <c r="AO14" s="398"/>
      <c r="AP14" s="398"/>
    </row>
    <row r="15">
      <c r="A15" s="176" t="s">
        <v>8382</v>
      </c>
      <c r="B15" s="316" t="s">
        <v>8383</v>
      </c>
      <c r="C15" s="215" t="s">
        <v>8384</v>
      </c>
      <c r="D15" s="394" t="s">
        <v>8385</v>
      </c>
      <c r="E15" s="396" t="str">
        <f>IFERROR(__xludf.DUMMYFUNCTION("GOOGLETRANSLATE(A15,""zh-tw"",""ja"")"),"出血")</f>
        <v>出血</v>
      </c>
      <c r="F15" s="316" t="s">
        <v>8386</v>
      </c>
      <c r="G15" s="395" t="str">
        <f>IFERROR(__xludf.DUMMYFUNCTION("GOOGLETRANSLATE(C15,""zh-tw"",""ja"")"),"受けるダメージは最大スタミナに基づいて決まります。")</f>
        <v>受けるダメージは最大スタミナに基づいて決まります。</v>
      </c>
      <c r="H15" s="394" t="s">
        <v>8387</v>
      </c>
      <c r="I15" s="396" t="str">
        <f>IFERROR(__xludf.DUMMYFUNCTION("GOOGLETRANSLATE(A15,""zh-tw"",""en"")"),"Bleeding")</f>
        <v>Bleeding</v>
      </c>
      <c r="J15" s="316" t="s">
        <v>8388</v>
      </c>
      <c r="K15" s="215" t="s">
        <v>8389</v>
      </c>
      <c r="L15" s="394" t="s">
        <v>8390</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않았습니다.")</f>
        <v>출혈이 멈추지 않았습니다.</v>
      </c>
      <c r="W15" s="304" t="str">
        <f>IFERROR(__xludf.DUMMYFUNCTION("GOOGLETRANSLATE(C15,""zh-tw"",""KO"")"),"최대 체력에 따라 받은 피해량입니다.")</f>
        <v>최대 체력에 따라 받은 피해량입니다.</v>
      </c>
      <c r="X15" s="142" t="str">
        <f>IFERROR(__xludf.DUMMYFUNCTION("GOOGLETRANSLATE(D15,""zh-tw"",""KO"")"),"작은 붉은 짐승에게 공격당함")</f>
        <v>작은 붉은 짐승에게 공격당함</v>
      </c>
      <c r="Y15" s="396" t="str">
        <f>IFERROR(__xludf.DUMMYFUNCTION("GOOGLETRANSLATE(A15,""zh-tw"",""RU"")"),"Кровотечение")</f>
        <v>Кровотечение</v>
      </c>
      <c r="Z15" s="318" t="str">
        <f>IFERROR(__xludf.DUMMYFUNCTION("GOOGLETRANSLATE(B15,""zh-tw"",""RU"")"),"Кровотечение не останавливалось.")</f>
        <v>Кровотечение не останавливалось.</v>
      </c>
      <c r="AA15" s="39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8391</v>
      </c>
      <c r="AH15" s="137" t="s">
        <v>8392</v>
      </c>
      <c r="AI15" s="305" t="s">
        <v>8393</v>
      </c>
      <c r="AJ15" s="123" t="s">
        <v>8394</v>
      </c>
      <c r="AK15" s="107" t="s">
        <v>8395</v>
      </c>
      <c r="AL15" s="47" t="s">
        <v>8396</v>
      </c>
      <c r="AM15" s="305" t="s">
        <v>8397</v>
      </c>
      <c r="AN15" s="123" t="s">
        <v>8398</v>
      </c>
      <c r="AO15" s="398"/>
      <c r="AP15" s="398"/>
    </row>
    <row r="16">
      <c r="A16" s="176" t="s">
        <v>8399</v>
      </c>
      <c r="B16" s="316" t="s">
        <v>8400</v>
      </c>
      <c r="C16" s="215" t="s">
        <v>8401</v>
      </c>
      <c r="D16" s="394" t="s">
        <v>8402</v>
      </c>
      <c r="E16" s="176" t="s">
        <v>8403</v>
      </c>
      <c r="F16" s="318" t="str">
        <f>IFERROR(__xludf.DUMMYFUNCTION("GOOGLETRANSLATE(B16,""zh-tw"",""ja"")"),"見てください、この男は雷に打たれました！")</f>
        <v>見てください、この男は雷に打たれました！</v>
      </c>
      <c r="G16" s="215" t="s">
        <v>8404</v>
      </c>
      <c r="H16" s="394" t="s">
        <v>8405</v>
      </c>
      <c r="I16" s="176" t="s">
        <v>8406</v>
      </c>
      <c r="J16" s="316" t="s">
        <v>8407</v>
      </c>
      <c r="K16" s="215" t="s">
        <v>8408</v>
      </c>
      <c r="L16" s="394" t="s">
        <v>8409</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IFERROR(__xludf.DUMMYFUNCTION("GOOGLETRANSLATE(B16,""zh-tw"",""KO"")"),"보세요, 이 사람이 번개를 맞았어요!")</f>
        <v>보세요, 이 사람이 번개를 맞았어요!</v>
      </c>
      <c r="W16" s="304" t="str">
        <f>IFERROR(__xludf.DUMMYFUNCTION("GOOGLETRANSLATE(C16,""zh-tw"",""KO"")"),"완전 마비로 움직일 수 없습니다!")</f>
        <v>완전 마비로 움직일 수 없습니다!</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 в этого парня ударила молния!")</f>
        <v>Смотри, в этого парня ударила молния!</v>
      </c>
      <c r="AA16" s="395"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8410</v>
      </c>
      <c r="AH16" s="137" t="s">
        <v>8411</v>
      </c>
      <c r="AI16" s="214" t="s">
        <v>8412</v>
      </c>
      <c r="AJ16" s="123" t="s">
        <v>8413</v>
      </c>
      <c r="AK16" s="107" t="s">
        <v>8414</v>
      </c>
      <c r="AL16" s="47" t="s">
        <v>8415</v>
      </c>
      <c r="AM16" s="305" t="s">
        <v>8416</v>
      </c>
      <c r="AN16" s="123" t="s">
        <v>8417</v>
      </c>
      <c r="AO16" s="398"/>
      <c r="AP16" s="398"/>
    </row>
    <row r="17">
      <c r="A17" s="176" t="s">
        <v>8418</v>
      </c>
      <c r="B17" s="316" t="s">
        <v>8419</v>
      </c>
      <c r="C17" s="215" t="s">
        <v>8420</v>
      </c>
      <c r="D17" s="394" t="s">
        <v>8421</v>
      </c>
      <c r="E17" s="176" t="s">
        <v>8418</v>
      </c>
      <c r="F17" s="318" t="str">
        <f>IFERROR(__xludf.DUMMYFUNCTION("GOOGLETRANSLATE(B17,""zh-tw"",""ja"")"),"暑い！暑い！暑い！暑い！")</f>
        <v>暑い！暑い！暑い！暑い！</v>
      </c>
      <c r="G17" s="215" t="s">
        <v>8422</v>
      </c>
      <c r="H17" s="394" t="s">
        <v>8423</v>
      </c>
      <c r="I17" s="176" t="s">
        <v>8424</v>
      </c>
      <c r="J17" s="316" t="s">
        <v>8425</v>
      </c>
      <c r="K17" s="215" t="s">
        <v>8426</v>
      </c>
      <c r="L17" s="394" t="s">
        <v>8427</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더워요! 너무 더워요! 너무 더워요!")</f>
        <v>너무 더워요! 너무 더워요! 너무 더워요!</v>
      </c>
      <c r="W17" s="304" t="str">
        <f>IFERROR(__xludf.DUMMYFUNCTION("GOOGLETRANSLATE(C17,""zh-tw"",""KO"")"),"범위 내의 모든 유닛을 지속적으로 불태웁니다.")</f>
        <v>범위 내의 모든 유닛을 지속적으로 불태웁니다.</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8428</v>
      </c>
      <c r="AH17" s="47" t="s">
        <v>8429</v>
      </c>
      <c r="AI17" s="214" t="s">
        <v>8430</v>
      </c>
      <c r="AJ17" s="136" t="s">
        <v>8431</v>
      </c>
      <c r="AK17" s="107" t="s">
        <v>8432</v>
      </c>
      <c r="AL17" s="47" t="s">
        <v>8433</v>
      </c>
      <c r="AM17" s="305" t="s">
        <v>8434</v>
      </c>
      <c r="AN17" s="123" t="s">
        <v>8435</v>
      </c>
      <c r="AO17" s="398"/>
      <c r="AP17" s="398"/>
    </row>
    <row r="18">
      <c r="A18" s="176" t="s">
        <v>8436</v>
      </c>
      <c r="B18" s="316" t="s">
        <v>8437</v>
      </c>
      <c r="C18" s="215" t="s">
        <v>8438</v>
      </c>
      <c r="D18" s="394" t="s">
        <v>4879</v>
      </c>
      <c r="E18" s="176" t="s">
        <v>8439</v>
      </c>
      <c r="F18" s="318" t="str">
        <f>IFERROR(__xludf.DUMMYFUNCTION("GOOGLETRANSLATE(B18,""zh-tw"",""ja"")"),"アイスキャンディーにしてみよう！")</f>
        <v>アイスキャンディーにしてみよう！</v>
      </c>
      <c r="G18" s="215" t="s">
        <v>8440</v>
      </c>
      <c r="H18" s="394" t="s">
        <v>8441</v>
      </c>
      <c r="I18" s="176" t="s">
        <v>8442</v>
      </c>
      <c r="J18" s="316" t="s">
        <v>8443</v>
      </c>
      <c r="K18" s="215" t="s">
        <v>8444</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IFERROR(__xludf.DUMMYFUNCTION("GOOGLETRANSLATE(B18,""zh-tw"",""es-MX"")"),"¡Conviértelo en un helado!")</f>
        <v>¡Conviértelo en un helado!</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IFERROR(__xludf.DUMMYFUNCTION("GOOGLETRANSLATE(B18,""zh-tw"",""KO"")"),"아이스팝으로 만들어 보세요!")</f>
        <v>아이스팝으로 만들어 보세요!</v>
      </c>
      <c r="W18" s="304" t="str">
        <f>IFERROR(__xludf.DUMMYFUNCTION("GOOGLETRANSLATE(C18,""zh-tw"",""KO"")"),"완전히 얼어붙어 버렸어요!")</f>
        <v>완전히 얼어붙어 버렸어요!</v>
      </c>
      <c r="X18" s="142" t="str">
        <f>IFERROR(__xludf.DUMMYFUNCTION("GOOGLETRANSLATE(D18,""zh-tw"",""KO"")"),"얼어붙은 슬라임")</f>
        <v>얼어붙은 슬라임</v>
      </c>
      <c r="Y18" s="396" t="str">
        <f>IFERROR(__xludf.DUMMYFUNCTION("GOOGLETRANSLATE(A18,""zh-tw"",""RU"")"),"Лед")</f>
        <v>Лед</v>
      </c>
      <c r="Z18" s="318" t="str">
        <f>IFERROR(__xludf.DUMMYFUNCTION("GOOGLETRANSLATE(B18,""zh-tw"",""RU"")"),"Превратите его в фруктовый лед!")</f>
        <v>Превратите его в фруктовый лед!</v>
      </c>
      <c r="AA18" s="395" t="str">
        <f>IFERROR(__xludf.DUMMYFUNCTION("GOOGLETRANSLATE(C18,""zh-tw"",""RU"")"),"Он замерз!")</f>
        <v>Он замерз!</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IFERROR(__xludf.DUMMYFUNCTION("GOOGLETRANSLATE(B18,""zh-tw"",""DE"")"),"Verwandle es in ein Eis am Stiel!")</f>
        <v>Verwandle es in ein Eis am Stiel!</v>
      </c>
      <c r="AE18" s="395" t="str">
        <f>IFERROR(__xludf.DUMMYFUNCTION("GOOGLETRANSLATE(C18,""zh-tw"",""DE"")"),"Es ist komplett durchgefroren!")</f>
        <v>Es ist komplett durchgefroren!</v>
      </c>
      <c r="AF18" s="397" t="str">
        <f>IFERROR(__xludf.DUMMYFUNCTION("GOOGLETRANSLATE(D18,""zh-tw"",""DE"")"),"Gefrorener Schleim")</f>
        <v>Gefrorener Schleim</v>
      </c>
      <c r="AG18" s="107" t="s">
        <v>8445</v>
      </c>
      <c r="AH18" s="137" t="s">
        <v>8446</v>
      </c>
      <c r="AI18" s="214" t="s">
        <v>8447</v>
      </c>
      <c r="AJ18" s="123" t="s">
        <v>4890</v>
      </c>
      <c r="AK18" s="107" t="s">
        <v>8448</v>
      </c>
      <c r="AL18" s="47" t="s">
        <v>8449</v>
      </c>
      <c r="AM18" s="305" t="s">
        <v>8450</v>
      </c>
      <c r="AN18" s="123" t="s">
        <v>4892</v>
      </c>
      <c r="AO18" s="398"/>
      <c r="AP18" s="398"/>
    </row>
    <row r="19">
      <c r="A19" s="176" t="s">
        <v>8451</v>
      </c>
      <c r="B19" s="316" t="s">
        <v>8452</v>
      </c>
      <c r="C19" s="215" t="s">
        <v>8453</v>
      </c>
      <c r="D19" s="394" t="s">
        <v>8454</v>
      </c>
      <c r="E19" s="176" t="s">
        <v>8455</v>
      </c>
      <c r="F19" s="318" t="str">
        <f>IFERROR(__xludf.DUMMYFUNCTION("GOOGLETRANSLATE(B19,""zh-tw"",""ja"")"),"ふふ、私に反抗するとこうなるのね～♡")</f>
        <v>ふふ、私に反抗するとこうなるのね～♡</v>
      </c>
      <c r="G19" s="215" t="s">
        <v>8456</v>
      </c>
      <c r="H19" s="397" t="str">
        <f>IFERROR(__xludf.DUMMYFUNCTION("GOOGLETRANSLATE(D19,""zh-tw"",""ja"")"),"ミステリーショップでは魚はもらえません。")</f>
        <v>ミステリーショップでは魚はもらえません。</v>
      </c>
      <c r="I19" s="176" t="s">
        <v>8457</v>
      </c>
      <c r="J19" s="316" t="s">
        <v>8458</v>
      </c>
      <c r="K19" s="215" t="s">
        <v>8459</v>
      </c>
      <c r="L19" s="394" t="s">
        <v>8460</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IFERROR(__xludf.DUMMYFUNCTION("GOOGLETRANSLATE(C19,""zh-tw"",""KO"")"),"이상한 작은 악마 가게 주인의 저주를 받았습니다")</f>
        <v>이상한 작은 악마 가게 주인의 저주를 받았습니다</v>
      </c>
      <c r="X19" s="142" t="str">
        <f>IFERROR(__xludf.DUMMYFUNCTION("GOOGLETRANSLATE(D19,""zh-tw"",""KO"")"),"미스터리 샵에서는 물고기를 팔지 않습니다.")</f>
        <v>미스터리 샵에서는 물고기를 팔지 않습니다.</v>
      </c>
      <c r="Y19" s="396" t="str">
        <f>IFERROR(__xludf.DUMMYFUNCTION("GOOGLETRANSLATE(A19,""zh-tw"",""RU"")"),"Проклятие демона")</f>
        <v>Проклятие демона</v>
      </c>
      <c r="Z19" s="318" t="str">
        <f>IFERROR(__xludf.DUMMYFUNCTION("GOOGLETRANSLATE(B19,""zh-tw"",""RU"")"),"Фуфу, вот что происходит, когда ты восстаёшь против меня~♡")</f>
        <v>Фуфу, вот что происходит, когда ты восстаёшь против меня~♡</v>
      </c>
      <c r="AA19" s="395"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8461</v>
      </c>
      <c r="AH19" s="137" t="s">
        <v>8462</v>
      </c>
      <c r="AI19" s="305" t="s">
        <v>8463</v>
      </c>
      <c r="AJ19" s="136" t="s">
        <v>8464</v>
      </c>
      <c r="AK19" s="107" t="s">
        <v>8465</v>
      </c>
      <c r="AL19" s="47" t="s">
        <v>8466</v>
      </c>
      <c r="AM19" s="305" t="s">
        <v>8467</v>
      </c>
      <c r="AN19" s="123" t="s">
        <v>8468</v>
      </c>
      <c r="AO19" s="398"/>
      <c r="AP19" s="398"/>
    </row>
    <row r="20">
      <c r="A20" s="176" t="s">
        <v>8469</v>
      </c>
      <c r="B20" s="316" t="s">
        <v>8470</v>
      </c>
      <c r="C20" s="215" t="s">
        <v>8471</v>
      </c>
      <c r="D20" s="394" t="s">
        <v>8472</v>
      </c>
      <c r="E20" s="176" t="s">
        <v>8473</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8474</v>
      </c>
      <c r="J20" s="316" t="s">
        <v>8475</v>
      </c>
      <c r="K20" s="215" t="s">
        <v>8476</v>
      </c>
      <c r="L20" s="394" t="s">
        <v>8477</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ataques")</f>
        <v>No ataques</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IFERROR(__xludf.DUMMYFUNCTION("GOOGLETRANSLATE(B20,""zh-tw"",""KO"")"),"여긴 내 영역이야, 여기서는 나쁜 짓을 하면 안 돼!♡")</f>
        <v>여긴 내 영역이야, 여기서는 나쁜 짓을 하면 안 돼!♡</v>
      </c>
      <c r="W20" s="304" t="str">
        <f>IFERROR(__xludf.DUMMYFUNCTION("GOOGLETRANSLATE(C20,""zh-tw"",""KO"")"),"공격 행위 금지")</f>
        <v>공격 행위 금지</v>
      </c>
      <c r="X20" s="142" t="str">
        <f>IFERROR(__xludf.DUMMYFUNCTION("GOOGLETRANSLATE(D20,""zh-tw"",""KO"")"),"미스터리 샵 근처")</f>
        <v>미스터리 샵 근처</v>
      </c>
      <c r="Y20" s="396" t="str">
        <f>IFERROR(__xludf.DUMMYFUNCTION("GOOGLETRANSLATE(A20,""zh-tw"",""RU"")"),"Не нападать")</f>
        <v>Не нападать</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8478</v>
      </c>
      <c r="AH20" s="137" t="s">
        <v>8479</v>
      </c>
      <c r="AI20" s="214" t="s">
        <v>8480</v>
      </c>
      <c r="AJ20" s="123" t="s">
        <v>8481</v>
      </c>
      <c r="AK20" s="107" t="s">
        <v>8482</v>
      </c>
      <c r="AL20" s="47" t="s">
        <v>8483</v>
      </c>
      <c r="AM20" s="305" t="s">
        <v>8484</v>
      </c>
      <c r="AN20" s="123" t="s">
        <v>8485</v>
      </c>
      <c r="AO20" s="398"/>
      <c r="AP20" s="398"/>
    </row>
    <row r="21">
      <c r="A21" s="176" t="s">
        <v>8486</v>
      </c>
      <c r="B21" s="316" t="s">
        <v>8487</v>
      </c>
      <c r="C21" s="215" t="s">
        <v>8488</v>
      </c>
      <c r="D21" s="394" t="s">
        <v>8489</v>
      </c>
      <c r="E21" s="176" t="s">
        <v>8490</v>
      </c>
      <c r="F21" s="316" t="s">
        <v>8491</v>
      </c>
      <c r="G21" s="215" t="s">
        <v>8492</v>
      </c>
      <c r="H21" s="397" t="str">
        <f>IFERROR(__xludf.DUMMYFUNCTION("GOOGLETRANSLATE(D21,""zh-tw"",""ja"")"),"妹にいたずらをすると怒る")</f>
        <v>妹にいたずらをすると怒る</v>
      </c>
      <c r="I21" s="176" t="s">
        <v>8493</v>
      </c>
      <c r="J21" s="316" t="s">
        <v>8494</v>
      </c>
      <c r="K21" s="215" t="s">
        <v>8495</v>
      </c>
      <c r="L21" s="394" t="s">
        <v>8496</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언니와의 중요한 약속을 지켜야 한다.")</f>
        <v>나는 언니와의 중요한 약속을 지켜야 한다.</v>
      </c>
      <c r="W21" s="304" t="str">
        <f>IFERROR(__xludf.DUMMYFUNCTION("GOOGLETRANSLATE(C21,""zh-tw"",""KO"")"),"심각한 부상을 입고 집으로 돌아가지 마세요.")</f>
        <v>심각한 부상을 입고 집으로 돌아가지 마세요.</v>
      </c>
      <c r="X21" s="142" t="str">
        <f>IFERROR(__xludf.DUMMYFUNCTION("GOOGLETRANSLATE(D21,""zh-tw"",""KO"")"),"여동생에게 장난을 치다가 화가 난다")</f>
        <v>여동생에게 장난을 치다가 화가 난다</v>
      </c>
      <c r="Y21" s="396" t="str">
        <f>IFERROR(__xludf.DUMMYFUNCTION("GOOGLETRANSLATE(A21,""zh-tw"",""RU"")"),"Не пораньтесь.")</f>
        <v>Не пораньтесь.</v>
      </c>
      <c r="Z21" s="318" t="str">
        <f>IFERROR(__xludf.DUMMYFUNCTION("GOOGLETRANSLATE(B21,""zh-tw"",""RU"")"),"Я должен сдержать важное обещание, данное моей сестре.")</f>
        <v>Я должен сдержать важное обещание, данное моей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8497</v>
      </c>
      <c r="AH21" s="137" t="s">
        <v>8498</v>
      </c>
      <c r="AI21" s="305" t="s">
        <v>8497</v>
      </c>
      <c r="AJ21" s="136" t="s">
        <v>8499</v>
      </c>
      <c r="AK21" s="107" t="s">
        <v>8500</v>
      </c>
      <c r="AL21" s="47" t="s">
        <v>8501</v>
      </c>
      <c r="AM21" s="305" t="s">
        <v>8502</v>
      </c>
      <c r="AN21" s="123" t="s">
        <v>8503</v>
      </c>
      <c r="AO21" s="398"/>
      <c r="AP21" s="398"/>
    </row>
    <row r="22">
      <c r="A22" s="176" t="s">
        <v>8504</v>
      </c>
      <c r="B22" s="316" t="s">
        <v>8487</v>
      </c>
      <c r="C22" s="215" t="s">
        <v>8505</v>
      </c>
      <c r="D22" s="394" t="s">
        <v>8489</v>
      </c>
      <c r="E22" s="176" t="s">
        <v>8506</v>
      </c>
      <c r="F22" s="316" t="s">
        <v>8491</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8507</v>
      </c>
      <c r="J22" s="316" t="s">
        <v>8494</v>
      </c>
      <c r="K22" s="395" t="str">
        <f>IFERROR(__xludf.DUMMYFUNCTION("GOOGLETRANSLATE(C22,""zh-tw"",""en"")"),"Making meat dishes")</f>
        <v>Making meat dishes</v>
      </c>
      <c r="L22" s="394" t="s">
        <v>8496</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언니와의 중요한 약속을 지켜야 한다.")</f>
        <v>나는 언니와의 중요한 약속을 지켜야 한다.</v>
      </c>
      <c r="W22" s="304" t="str">
        <f>IFERROR(__xludf.DUMMYFUNCTION("GOOGLETRANSLATE(C22,""zh-tw"",""KO"")"),"고기 요리 만들기")</f>
        <v>고기 요리 만들기</v>
      </c>
      <c r="X22" s="142" t="str">
        <f>IFERROR(__xludf.DUMMYFUNCTION("GOOGLETRANSLATE(D22,""zh-tw"",""KO"")"),"여동생에게 장난을 치다가 화가 난다")</f>
        <v>여동생에게 장난을 치다가 화가 난다</v>
      </c>
      <c r="Y22" s="396" t="str">
        <f>IFERROR(__xludf.DUMMYFUNCTION("GOOGLETRANSLATE(A22,""zh-tw"",""RU"")"),"Мясные блюда")</f>
        <v>Мясные блюда</v>
      </c>
      <c r="Z22" s="318" t="str">
        <f>IFERROR(__xludf.DUMMYFUNCTION("GOOGLETRANSLATE(B22,""zh-tw"",""RU"")"),"Я должен сдержать важное обещание, данное моей сестре.")</f>
        <v>Я должен сдержать важное обещание, данное моей сестре.</v>
      </c>
      <c r="AA22" s="395"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8508</v>
      </c>
      <c r="AH22" s="137" t="s">
        <v>8498</v>
      </c>
      <c r="AI22" s="305" t="s">
        <v>8509</v>
      </c>
      <c r="AJ22" s="123" t="s">
        <v>8510</v>
      </c>
      <c r="AK22" s="107" t="s">
        <v>8511</v>
      </c>
      <c r="AL22" s="47" t="s">
        <v>8501</v>
      </c>
      <c r="AM22" s="214" t="s">
        <v>8512</v>
      </c>
      <c r="AN22" s="123" t="s">
        <v>8503</v>
      </c>
      <c r="AO22" s="398"/>
      <c r="AP22" s="398"/>
    </row>
    <row r="23">
      <c r="A23" s="176" t="s">
        <v>8513</v>
      </c>
      <c r="B23" s="316" t="s">
        <v>8514</v>
      </c>
      <c r="C23" s="215" t="s">
        <v>8515</v>
      </c>
      <c r="D23" s="394" t="s">
        <v>273</v>
      </c>
      <c r="E23" s="176" t="s">
        <v>336</v>
      </c>
      <c r="F23" s="318" t="str">
        <f>IFERROR(__xludf.DUMMYFUNCTION("GOOGLETRANSLATE(B23,""zh-tw"",""ja"")"),"...")</f>
        <v>...</v>
      </c>
      <c r="G23" s="215" t="s">
        <v>8516</v>
      </c>
      <c r="H23" s="394" t="s">
        <v>276</v>
      </c>
      <c r="I23" s="176" t="s">
        <v>8517</v>
      </c>
      <c r="J23" s="318" t="str">
        <f>IFERROR(__xludf.DUMMYFUNCTION("GOOGLETRANSLATE(B23,""zh-tw"",""en"")"),"...")</f>
        <v>...</v>
      </c>
      <c r="K23" s="215" t="s">
        <v>8518</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잊으셨나요?")</f>
        <v>정확히 무엇을 잊으셨나요?</v>
      </c>
      <c r="V23" s="143" t="str">
        <f>IFERROR(__xludf.DUMMYFUNCTION("GOOGLETRANSLATE(B23,""zh-tw"",""KO"")"),"...")</f>
        <v>...</v>
      </c>
      <c r="W23" s="304" t="str">
        <f>IFERROR(__xludf.DUMMYFUNCTION("GOOGLETRANSLATE(C23,""zh-tw"",""KO"")"),"뭔가 중요한 걸 잊어버린 것 같아요. 언젠가는 생각날 거예요, 그렇죠?")</f>
        <v>뭔가 중요한 걸 잊어버린 것 같아요. 언젠가는 생각날 거예요, 그렇죠?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8519</v>
      </c>
      <c r="AH23" s="47" t="s">
        <v>8520</v>
      </c>
      <c r="AI23" s="214" t="s">
        <v>8521</v>
      </c>
      <c r="AJ23" s="123" t="s">
        <v>293</v>
      </c>
      <c r="AK23" s="107" t="s">
        <v>8522</v>
      </c>
      <c r="AL23" s="47" t="s">
        <v>816</v>
      </c>
      <c r="AM23" s="305" t="s">
        <v>8523</v>
      </c>
      <c r="AN23" s="123" t="s">
        <v>296</v>
      </c>
      <c r="AO23" s="398"/>
      <c r="AP23" s="398"/>
    </row>
    <row r="24">
      <c r="A24" s="176" t="s">
        <v>8524</v>
      </c>
      <c r="B24" s="316" t="s">
        <v>8525</v>
      </c>
      <c r="C24" s="215" t="s">
        <v>8526</v>
      </c>
      <c r="D24" s="394" t="s">
        <v>5666</v>
      </c>
      <c r="E24" s="176" t="s">
        <v>8527</v>
      </c>
      <c r="F24" s="316" t="s">
        <v>8528</v>
      </c>
      <c r="G24" s="395" t="str">
        <f>IFERROR(__xludf.DUMMYFUNCTION("GOOGLETRANSLATE(C24,""zh-tw"",""ja"")"),"彼の体は常に悪臭を放っていた")</f>
        <v>彼の体は常に悪臭を放っていた</v>
      </c>
      <c r="H24" s="394" t="s">
        <v>5668</v>
      </c>
      <c r="I24" s="176" t="s">
        <v>8529</v>
      </c>
      <c r="J24" s="316" t="s">
        <v>8530</v>
      </c>
      <c r="K24" s="215" t="s">
        <v>8531</v>
      </c>
      <c r="L24" s="394" t="s">
        <v>5669</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IFERROR(__xludf.DUMMYFUNCTION("GOOGLETRANSLATE(A24,""zh-tw"",""KO"")"),"온몸이 역겨운 냄새가 났다")</f>
        <v>온몸이 역겨운 냄새가 났다</v>
      </c>
      <c r="V24" s="143" t="str">
        <f>IFERROR(__xludf.DUMMYFUNCTION("GOOGLETRANSLATE(B24,""zh-tw"",""KO"")"),"그는 끔찍한 냄새를 풍겼다.")</f>
        <v>그는 끔찍한 냄새를 풍겼다.</v>
      </c>
      <c r="W24" s="304" t="str">
        <f>IFERROR(__xludf.DUMMYFUNCTION("GOOGLETRANSLATE(C24,""zh-tw"",""KO"")"),"그의 몸은 끊임없이 악취를 풍겼다")</f>
        <v>그의 몸은 끊임없이 악취를 풍겼다</v>
      </c>
      <c r="X24" s="142" t="str">
        <f>IFERROR(__xludf.DUMMYFUNCTION("GOOGLETRANSLATE(D24,""zh-tw"",""KO"")"),"냄새나는 생선 뼈")</f>
        <v>냄새나는 생선 뼈</v>
      </c>
      <c r="Y24" s="396" t="str">
        <f>IFERROR(__xludf.DUMMYFUNCTION("GOOGLETRANSLATE(A24,""zh-tw"",""RU"")"),"Все тело пахло отвратительно.")</f>
        <v>Все тело пахло отвратительно.</v>
      </c>
      <c r="Z24" s="318" t="str">
        <f>IFERROR(__xludf.DUMMYFUNCTION("GOOGLETRANSLATE(B24,""zh-tw"",""RU"")"),"От него ужасно пахло.")</f>
        <v>От него ужасно пахло.</v>
      </c>
      <c r="AA24" s="395"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8532</v>
      </c>
      <c r="AH24" s="47" t="s">
        <v>8533</v>
      </c>
      <c r="AI24" s="214" t="s">
        <v>8534</v>
      </c>
      <c r="AJ24" s="123" t="s">
        <v>5675</v>
      </c>
      <c r="AK24" s="107" t="s">
        <v>8535</v>
      </c>
      <c r="AL24" s="47" t="s">
        <v>8536</v>
      </c>
      <c r="AM24" s="305" t="s">
        <v>8537</v>
      </c>
      <c r="AN24" s="123" t="s">
        <v>5677</v>
      </c>
      <c r="AO24" s="398"/>
      <c r="AP24" s="398"/>
    </row>
    <row r="25">
      <c r="A25" s="176" t="s">
        <v>8538</v>
      </c>
      <c r="B25" s="316" t="s">
        <v>8539</v>
      </c>
      <c r="C25" s="215" t="s">
        <v>8540</v>
      </c>
      <c r="D25" s="394" t="s">
        <v>8541</v>
      </c>
      <c r="E25" s="396" t="str">
        <f>IFERROR(__xludf.DUMMYFUNCTION("GOOGLETRANSLATE(A25,""zh-tw"",""ja"")"),"美味しい")</f>
        <v>美味しい</v>
      </c>
      <c r="F25" s="318" t="str">
        <f>IFERROR(__xludf.DUMMYFUNCTION("GOOGLETRANSLATE(B25,""zh-tw"",""ja"")"),"美味しいものを食べてお腹も温まりました〜")</f>
        <v>美味しいものを食べてお腹も温まりました〜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8542</v>
      </c>
      <c r="J25" s="316" t="s">
        <v>8543</v>
      </c>
      <c r="K25" s="215" t="s">
        <v>8544</v>
      </c>
      <c r="L25" s="394" t="s">
        <v>8545</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calor en el estómago.")</f>
        <v>Comí algo delicioso y siento calor en el estómago.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IFERROR(__xludf.DUMMYFUNCTION("GOOGLETRANSLATE(B25,""zh-tw"",""KO"")"),"맛있는거 먹고 나니 배가 따뜻해졌어요~")</f>
        <v>맛있는거 먹고 나니 배가 따뜻해졌어요~</v>
      </c>
      <c r="W25" s="304" t="str">
        <f>IFERROR(__xludf.DUMMYFUNCTION("GOOGLETRANSLATE(C25,""zh-tw"",""KO"")"),"체력은 초당 소량 회복됩니다.")</f>
        <v>체력은 초당 소량 회복됩니다.</v>
      </c>
      <c r="X25" s="142" t="str">
        <f>IFERROR(__xludf.DUMMYFUNCTION("GOOGLETRANSLATE(D25,""zh-tw"",""KO"")"),"맛있는 요리")</f>
        <v>맛있는 요리</v>
      </c>
      <c r="Y25" s="396" t="str">
        <f>IFERROR(__xludf.DUMMYFUNCTION("GOOGLETRANSLATE(A25,""zh-tw"",""RU"")"),"Вкусный")</f>
        <v>Вкусный</v>
      </c>
      <c r="Z25" s="318" t="str">
        <f>IFERROR(__xludf.DUMMYFUNCTION("GOOGLETRANSLATE(B25,""zh-tw"",""RU"")"),"Я съела что-то вкусненькое, и у меня внутри тепло~")</f>
        <v>Я съела что-то вкусненькое, и у меня внутри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96" t="str">
        <f>IFERROR(__xludf.DUMMYFUNCTION("GOOGLETRANSLATE(A25,""zh-tw"",""DE"")"),"Lecker")</f>
        <v>Lecker</v>
      </c>
      <c r="AD25" s="318" t="str">
        <f>IFERROR(__xludf.DUMMYFUNCTION("GOOGLETRANSLATE(B25,""zh-tw"",""DE"")"),"Ich habe etwas Leckeres gegessen und mein Bauch fühlt sich warm an.")</f>
        <v>Ich habe etwas Leckeres gegessen und mein Bauch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8546</v>
      </c>
      <c r="AH25" s="137" t="s">
        <v>8547</v>
      </c>
      <c r="AI25" s="305" t="s">
        <v>8548</v>
      </c>
      <c r="AJ25" s="136" t="s">
        <v>8549</v>
      </c>
      <c r="AK25" s="107" t="s">
        <v>8550</v>
      </c>
      <c r="AL25" s="47" t="s">
        <v>8551</v>
      </c>
      <c r="AM25" s="305" t="s">
        <v>8552</v>
      </c>
      <c r="AN25" s="123" t="s">
        <v>8553</v>
      </c>
      <c r="AO25" s="398"/>
      <c r="AP25" s="398"/>
    </row>
    <row r="26">
      <c r="A26" s="176" t="s">
        <v>8554</v>
      </c>
      <c r="B26" s="316" t="s">
        <v>8555</v>
      </c>
      <c r="C26" s="215" t="s">
        <v>8556</v>
      </c>
      <c r="D26" s="394" t="s">
        <v>8557</v>
      </c>
      <c r="E26" s="176" t="s">
        <v>8558</v>
      </c>
      <c r="F26" s="316" t="s">
        <v>8559</v>
      </c>
      <c r="G26" s="395" t="str">
        <f>IFERROR(__xludf.DUMMYFUNCTION("GOOGLETRANSLATE(C26,""zh-tw"",""ja"")"),"攻撃力+50%")</f>
        <v>攻撃力+50%</v>
      </c>
      <c r="H26" s="397" t="str">
        <f>IFERROR(__xludf.DUMMYFUNCTION("GOOGLETRANSLATE(D26,""zh-tw"",""ja"")"),"食べ物")</f>
        <v>食べ物</v>
      </c>
      <c r="I26" s="176" t="s">
        <v>8560</v>
      </c>
      <c r="J26" s="316" t="s">
        <v>8561</v>
      </c>
      <c r="K26" s="215" t="s">
        <v>8562</v>
      </c>
      <c r="L26" s="394" t="s">
        <v>8563</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IFERROR(__xludf.DUMMYFUNCTION("GOOGLETRANSLATE(B26,""zh-tw"",""KO"")"),"힘이... 솟구쳐 올랐다!")</f>
        <v>힘이... 솟구쳐 올랐다!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IFERROR(__xludf.DUMMYFUNCTION("GOOGLETRANSLATE(B26,""zh-tw"",""RU"")"),"Сила... возросла!")</f>
        <v>Сила... возросла!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8564</v>
      </c>
      <c r="AH26" s="137" t="s">
        <v>8565</v>
      </c>
      <c r="AI26" s="305" t="s">
        <v>8566</v>
      </c>
      <c r="AJ26" s="123" t="s">
        <v>8567</v>
      </c>
      <c r="AK26" s="107" t="s">
        <v>8568</v>
      </c>
      <c r="AL26" s="47" t="s">
        <v>8569</v>
      </c>
      <c r="AM26" s="305" t="s">
        <v>8570</v>
      </c>
      <c r="AN26" s="123" t="s">
        <v>8571</v>
      </c>
      <c r="AO26" s="398"/>
      <c r="AP26" s="398"/>
    </row>
    <row r="27">
      <c r="A27" s="176" t="s">
        <v>8572</v>
      </c>
      <c r="B27" s="316" t="s">
        <v>8573</v>
      </c>
      <c r="C27" s="215" t="s">
        <v>8574</v>
      </c>
      <c r="D27" s="394" t="s">
        <v>8557</v>
      </c>
      <c r="E27" s="176" t="s">
        <v>8575</v>
      </c>
      <c r="F27" s="316" t="s">
        <v>8576</v>
      </c>
      <c r="G27" s="395" t="str">
        <f>IFERROR(__xludf.DUMMYFUNCTION("GOOGLETRANSLATE(C27,""zh-tw"",""ja"")"),"魔法力+50%")</f>
        <v>魔法力+50%</v>
      </c>
      <c r="H27" s="397" t="str">
        <f>IFERROR(__xludf.DUMMYFUNCTION("GOOGLETRANSLATE(D27,""zh-tw"",""ja"")"),"食べ物")</f>
        <v>食べ物</v>
      </c>
      <c r="I27" s="176" t="s">
        <v>8577</v>
      </c>
      <c r="J27" s="316" t="s">
        <v>8578</v>
      </c>
      <c r="K27" s="215" t="s">
        <v>8579</v>
      </c>
      <c r="L27" s="394" t="s">
        <v>8563</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되었습니다.")</f>
        <v>나는 점차 모든 것을 이해하게 되었습니다.</v>
      </c>
      <c r="W27" s="304" t="str">
        <f>IFERROR(__xludf.DUMMYFUNCTION("GOOGLETRANSLATE(C27,""zh-tw"",""KO"")"),"마법력 +50%")</f>
        <v>마법력 +50%</v>
      </c>
      <c r="X27" s="142" t="str">
        <f>IFERROR(__xludf.DUMMYFUNCTION("GOOGLETRANSLATE(D27,""zh-tw"",""KO"")"),"음식")</f>
        <v>음식</v>
      </c>
      <c r="Y27" s="396" t="str">
        <f>IFERROR(__xludf.DUMMYFUNCTION("GOOGLETRANSLATE(A27,""zh-tw"",""RU"")"),"Улучшение магии")</f>
        <v>Улучшение магии</v>
      </c>
      <c r="Z27" s="318" t="str">
        <f>IFERROR(__xludf.DUMMYFUNCTION("GOOGLETRANSLATE(B27,""zh-tw"",""RU"")"),"Постепенно я все понял.")</f>
        <v>Постепенно я все понял.</v>
      </c>
      <c r="AA27" s="395" t="str">
        <f>IFERROR(__xludf.DUMMYFUNCTION("GOOGLETRANSLATE(C27,""zh-tw"",""RU"")"),"Магическая сила +50%")</f>
        <v>Магическая сила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8580</v>
      </c>
      <c r="AH27" s="137" t="s">
        <v>8581</v>
      </c>
      <c r="AI27" s="305" t="s">
        <v>8582</v>
      </c>
      <c r="AJ27" s="123" t="s">
        <v>8567</v>
      </c>
      <c r="AK27" s="107" t="s">
        <v>8583</v>
      </c>
      <c r="AL27" s="47" t="s">
        <v>8584</v>
      </c>
      <c r="AM27" s="305" t="s">
        <v>8585</v>
      </c>
      <c r="AN27" s="123" t="s">
        <v>8571</v>
      </c>
      <c r="AO27" s="398"/>
      <c r="AP27" s="398"/>
    </row>
    <row r="28">
      <c r="A28" s="176" t="s">
        <v>8586</v>
      </c>
      <c r="B28" s="316" t="s">
        <v>8587</v>
      </c>
      <c r="C28" s="215" t="s">
        <v>8588</v>
      </c>
      <c r="D28" s="394" t="s">
        <v>8557</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8589</v>
      </c>
      <c r="J28" s="316" t="s">
        <v>8590</v>
      </c>
      <c r="K28" s="215" t="s">
        <v>8591</v>
      </c>
      <c r="L28" s="394" t="s">
        <v>8563</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IFERROR(__xludf.DUMMYFUNCTION("GOOGLETRANSLATE(B28,""zh-tw"",""KO"")"),"따라잡을 수 있을까...? 내 속도!")</f>
        <v>따라잡을 수 있을까...? 내 속도!</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Моя скорость!")</f>
        <v>Смогу ли я угнаться...? Моя скорость!</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8592</v>
      </c>
      <c r="AH28" s="137" t="s">
        <v>8593</v>
      </c>
      <c r="AI28" s="305" t="s">
        <v>8594</v>
      </c>
      <c r="AJ28" s="123" t="s">
        <v>8567</v>
      </c>
      <c r="AK28" s="107" t="s">
        <v>8595</v>
      </c>
      <c r="AL28" s="47" t="s">
        <v>8596</v>
      </c>
      <c r="AM28" s="305" t="s">
        <v>8597</v>
      </c>
      <c r="AN28" s="123" t="s">
        <v>8571</v>
      </c>
      <c r="AO28" s="398"/>
      <c r="AP28" s="398"/>
    </row>
    <row r="29">
      <c r="A29" s="176" t="s">
        <v>8598</v>
      </c>
      <c r="B29" s="316" t="s">
        <v>8599</v>
      </c>
      <c r="C29" s="215" t="s">
        <v>8600</v>
      </c>
      <c r="D29" s="394" t="s">
        <v>8601</v>
      </c>
      <c r="E29" s="396" t="str">
        <f>IFERROR(__xludf.DUMMYFUNCTION("GOOGLETRANSLATE(A29,""zh-tw"",""ja"")"),"巨神兵")</f>
        <v>巨神兵</v>
      </c>
      <c r="F29" s="316" t="s">
        <v>8602</v>
      </c>
      <c r="G29" s="215" t="s">
        <v>8603</v>
      </c>
      <c r="H29" s="397" t="str">
        <f>IFERROR(__xludf.DUMMYFUNCTION("GOOGLETRANSLATE(D29,""zh-tw"",""ja"")"),"タロットカード")</f>
        <v>タロットカード</v>
      </c>
      <c r="I29" s="176" t="s">
        <v>8604</v>
      </c>
      <c r="J29" s="316" t="s">
        <v>8605</v>
      </c>
      <c r="K29" s="215" t="s">
        <v>8606</v>
      </c>
      <c r="L29" s="394" t="s">
        <v>8607</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IFERROR(__xludf.DUMMYFUNCTION("GOOGLETRANSLATE(A29,""zh-tw"",""KO"")"),"거신병")</f>
        <v>거신병</v>
      </c>
      <c r="V29" s="143" t="str">
        <f>IFERROR(__xludf.DUMMYFUNCTION("GOOGLETRANSLATE(B29,""zh-tw"",""KO"")"),"신성한 군인과 천상의 장군")</f>
        <v>신성한 군인과 천상의 장군</v>
      </c>
      <c r="W29" s="304" t="str">
        <f>IFERROR(__xludf.DUMMYFUNCTION("GOOGLETRANSLATE(C29,""zh-tw"",""KO"")"),"효과가 지속되는 동안 무기가 더 커져 공격 범위와 피해가 증가합니다.")</f>
        <v>효과가 지속되는 동안 무기가 더 커져 공격 범위와 피해가 증가합니다.</v>
      </c>
      <c r="X29" s="142" t="str">
        <f>IFERROR(__xludf.DUMMYFUNCTION("GOOGLETRANSLATE(D29,""zh-tw"",""KO"")"),"타로 카드")</f>
        <v>타로 카드</v>
      </c>
      <c r="Y29" s="396" t="str">
        <f>IFERROR(__xludf.DUMMYFUNCTION("GOOGLETRANSLATE(A29,""zh-tw"",""RU"")"),"Гигантский Божественный Солдат")</f>
        <v>Гигантский Божественный Солдат</v>
      </c>
      <c r="Z29" s="318" t="str">
        <f>IFERROR(__xludf.DUMMYFUNCTION("GOOGLETRANSLATE(B29,""zh-tw"",""RU"")"),"Божественные солдаты и небесные генералы")</f>
        <v>Божественные солдаты и небесные генералы</v>
      </c>
      <c r="AA29" s="39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8608</v>
      </c>
      <c r="AH29" s="47" t="s">
        <v>8609</v>
      </c>
      <c r="AI29" s="214" t="s">
        <v>8610</v>
      </c>
      <c r="AJ29" s="123" t="s">
        <v>8611</v>
      </c>
      <c r="AK29" s="107" t="s">
        <v>8612</v>
      </c>
      <c r="AL29" s="47" t="s">
        <v>8613</v>
      </c>
      <c r="AM29" s="305" t="s">
        <v>8614</v>
      </c>
      <c r="AN29" s="123" t="s">
        <v>8615</v>
      </c>
      <c r="AO29" s="398"/>
      <c r="AP29" s="398"/>
    </row>
    <row r="30">
      <c r="A30" s="176" t="s">
        <v>8616</v>
      </c>
      <c r="B30" s="316" t="s">
        <v>8617</v>
      </c>
      <c r="C30" s="215" t="s">
        <v>8618</v>
      </c>
      <c r="D30" s="394" t="s">
        <v>8601</v>
      </c>
      <c r="E30" s="176" t="s">
        <v>8619</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8620</v>
      </c>
      <c r="J30" s="316" t="s">
        <v>8621</v>
      </c>
      <c r="K30" s="395" t="str">
        <f>IFERROR(__xludf.DUMMYFUNCTION("GOOGLETRANSLATE(C30,""zh-tw"",""en"")"),"With the blessing of fate, it's easier to encounter happy things!")</f>
        <v>With the blessing of fate, it's easier to encounter happy things!</v>
      </c>
      <c r="L30" s="394" t="s">
        <v>8622</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IFERROR(__xludf.DUMMYFUNCTION("GOOGLETRANSLATE(A30,""zh-tw"",""KO"")"),"행운의 바퀴 - 오른쪽")</f>
        <v>행운의 바퀴 - 오른쪽</v>
      </c>
      <c r="V30" s="143" t="str">
        <f>IFERROR(__xludf.DUMMYFUNCTION("GOOGLETRANSLATE(B30,""zh-tw"",""KO"")"),"운명의 흐름...")</f>
        <v>운명의 흐름...</v>
      </c>
      <c r="W30" s="304" t="str">
        <f>IFERROR(__xludf.DUMMYFUNCTION("GOOGLETRANSLATE(C30,""zh-tw"",""KO"")"),"운명의 축복을 받으면 행복한 일이 더 쉽게 찾아올 거예요!")</f>
        <v>운명의 축복을 받으면 행복한 일이 더 쉽게 찾아올 거예요!</v>
      </c>
      <c r="X30" s="142" t="str">
        <f>IFERROR(__xludf.DUMMYFUNCTION("GOOGLETRANSLATE(D30,""zh-tw"",""KO"")"),"타로 카드")</f>
        <v>타로 카드</v>
      </c>
      <c r="Y30" s="396" t="str">
        <f>IFERROR(__xludf.DUMMYFUNCTION("GOOGLETRANSLATE(A30,""zh-tw"",""RU"")"),"Колесо Фортуны — Правое")</f>
        <v>Колесо Фортуны — Правое</v>
      </c>
      <c r="Z30" s="318" t="str">
        <f>IFERROR(__xludf.DUMMYFUNCTION("GOOGLETRANSLATE(B30,""zh-tw"",""RU"")"),"Поток судьбы...")</f>
        <v>Поток судьбы...</v>
      </c>
      <c r="AA30" s="39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8623</v>
      </c>
      <c r="AH30" s="137" t="s">
        <v>8624</v>
      </c>
      <c r="AI30" s="214" t="s">
        <v>8625</v>
      </c>
      <c r="AJ30" s="123" t="s">
        <v>8626</v>
      </c>
      <c r="AK30" s="107" t="s">
        <v>8627</v>
      </c>
      <c r="AL30" s="47" t="s">
        <v>8628</v>
      </c>
      <c r="AM30" s="305" t="s">
        <v>8629</v>
      </c>
      <c r="AN30" s="123" t="s">
        <v>8630</v>
      </c>
      <c r="AO30" s="398"/>
      <c r="AP30" s="398"/>
    </row>
    <row r="31">
      <c r="A31" s="176" t="s">
        <v>8631</v>
      </c>
      <c r="B31" s="316" t="s">
        <v>8632</v>
      </c>
      <c r="C31" s="215" t="s">
        <v>8633</v>
      </c>
      <c r="D31" s="394" t="s">
        <v>8601</v>
      </c>
      <c r="E31" s="176" t="s">
        <v>8634</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8635</v>
      </c>
      <c r="J31" s="316" t="s">
        <v>8636</v>
      </c>
      <c r="K31" s="395" t="str">
        <f>IFERROR(__xludf.DUMMYFUNCTION("GOOGLETRANSLATE(C31,""zh-tw"",""en"")"),"Being blessed by fate makes it easier to encounter difficult things!")</f>
        <v>Being blessed by fate makes it easier to encounter difficult things!</v>
      </c>
      <c r="L31" s="394" t="s">
        <v>8622</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IFERROR(__xludf.DUMMYFUNCTION("GOOGLETRANSLATE(A31,""zh-tw"",""KO"")"),"행운의 바퀴 - 역전")</f>
        <v>행운의 바퀴 - 역전</v>
      </c>
      <c r="V31" s="143" t="str">
        <f>IFERROR(__xludf.DUMMYFUNCTION("GOOGLETRANSLATE(B31,""zh-tw"",""KO"")"),"운명은 흐른다...")</f>
        <v>운명은 흐른다...</v>
      </c>
      <c r="W31" s="304" t="str">
        <f>IFERROR(__xludf.DUMMYFUNCTION("GOOGLETRANSLATE(C31,""zh-tw"",""KO"")"),"운명의 축복을 받으면 어려운 일을 겪기가 쉬워집니다!")</f>
        <v>운명의 축복을 받으면 어려운 일을 겪기가 쉬워집니다!</v>
      </c>
      <c r="X31" s="142" t="str">
        <f>IFERROR(__xludf.DUMMYFUNCTION("GOOGLETRANSLATE(D31,""zh-tw"",""KO"")"),"타로 카드")</f>
        <v>타로 카드</v>
      </c>
      <c r="Y31" s="396" t="str">
        <f>IFERROR(__xludf.DUMMYFUNCTION("GOOGLETRANSLATE(A31,""zh-tw"",""RU"")"),"Колесо Фортуны — Обратное")</f>
        <v>Колесо Фортуны — Обратное</v>
      </c>
      <c r="Z31" s="318" t="str">
        <f>IFERROR(__xludf.DUMMYFUNCTION("GOOGLETRANSLATE(B31,""zh-tw"",""RU"")"),"Судьба течет...")</f>
        <v>Судьба течет...</v>
      </c>
      <c r="AA31" s="39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8637</v>
      </c>
      <c r="AH31" s="137" t="s">
        <v>8638</v>
      </c>
      <c r="AI31" s="214" t="s">
        <v>8639</v>
      </c>
      <c r="AJ31" s="123" t="s">
        <v>8626</v>
      </c>
      <c r="AK31" s="107" t="s">
        <v>8640</v>
      </c>
      <c r="AL31" s="47" t="s">
        <v>8641</v>
      </c>
      <c r="AM31" s="305" t="s">
        <v>8642</v>
      </c>
      <c r="AN31" s="123" t="s">
        <v>8630</v>
      </c>
      <c r="AO31" s="398"/>
      <c r="AP31" s="398"/>
    </row>
    <row r="32">
      <c r="A32" s="176" t="s">
        <v>8643</v>
      </c>
      <c r="B32" s="316" t="s">
        <v>8644</v>
      </c>
      <c r="C32" s="215" t="s">
        <v>8645</v>
      </c>
      <c r="D32" s="394" t="s">
        <v>7193</v>
      </c>
      <c r="E32" s="176" t="s">
        <v>8646</v>
      </c>
      <c r="F32" s="316" t="s">
        <v>8647</v>
      </c>
      <c r="G32" s="215" t="s">
        <v>8648</v>
      </c>
      <c r="H32" s="394" t="s">
        <v>7195</v>
      </c>
      <c r="I32" s="176" t="s">
        <v>8649</v>
      </c>
      <c r="J32" s="316" t="s">
        <v>8650</v>
      </c>
      <c r="K32" s="215" t="s">
        <v>8651</v>
      </c>
      <c r="L32" s="394" t="s">
        <v>7197</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정말 맛없었어요...")</f>
        <v>하지만 정말 맛없었어요...</v>
      </c>
      <c r="W32" s="304" t="str">
        <f>IFERROR(__xludf.DUMMYFUNCTION("GOOGLETRANSLATE(C32,""zh-tw"",""KO"")"),"내 몸은 활력으로 가득 차고, 체력도 증가했습니다.")</f>
        <v>내 몸은 활력으로 가득 차고, 체력도 증가했습니다.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вкус действительно был ужасный...")</f>
        <v>Но вкус действительно был ужасный...</v>
      </c>
      <c r="AA32" s="39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8652</v>
      </c>
      <c r="AH32" s="137" t="s">
        <v>8653</v>
      </c>
      <c r="AI32" s="214" t="s">
        <v>8654</v>
      </c>
      <c r="AJ32" s="123" t="s">
        <v>7204</v>
      </c>
      <c r="AK32" s="107" t="s">
        <v>8655</v>
      </c>
      <c r="AL32" s="47" t="s">
        <v>8656</v>
      </c>
      <c r="AM32" s="305" t="s">
        <v>8657</v>
      </c>
      <c r="AN32" s="123" t="s">
        <v>7206</v>
      </c>
      <c r="AO32" s="398"/>
      <c r="AP32" s="398"/>
    </row>
    <row r="33">
      <c r="A33" s="176" t="s">
        <v>8658</v>
      </c>
      <c r="B33" s="316" t="s">
        <v>8659</v>
      </c>
      <c r="C33" s="215" t="s">
        <v>8660</v>
      </c>
      <c r="D33" s="394" t="s">
        <v>8661</v>
      </c>
      <c r="E33" s="176" t="s">
        <v>8662</v>
      </c>
      <c r="F33" s="316" t="s">
        <v>8663</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8664</v>
      </c>
      <c r="I33" s="176" t="s">
        <v>8665</v>
      </c>
      <c r="J33" s="316" t="s">
        <v>8666</v>
      </c>
      <c r="K33" s="215" t="s">
        <v>8667</v>
      </c>
      <c r="L33" s="394" t="s">
        <v>8668</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느낀다")</f>
        <v>무력감을 느낀다</v>
      </c>
      <c r="V33" s="143" t="str">
        <f>IFERROR(__xludf.DUMMYFUNCTION("GOOGLETRANSLATE(B33,""zh-tw"",""KO"")"),"더 이상 들어올릴 수 없어요...")</f>
        <v>더 이상 들어올릴 수 없어요...</v>
      </c>
      <c r="W33" s="304" t="str">
        <f>IFERROR(__xludf.DUMMYFUNCTION("GOOGLETRANSLATE(C33,""zh-tw"",""KO"")"),"힘과 지구력이 부족하면 무기가 본래의 성능을 최대한 발휘하지 못합니다!")</f>
        <v>힘과 지구력이 부족하면 무기가 본래의 성능을 최대한 발휘하지 못합니다!</v>
      </c>
      <c r="X33" s="142" t="str">
        <f>IFERROR(__xludf.DUMMYFUNCTION("GOOGLETRANSLATE(D33,""zh-tw"",""KO"")"),"조건을 충족하려면 은검이 필요합니다.")</f>
        <v>조건을 충족하려면 은검이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8669</v>
      </c>
      <c r="AH33" s="137" t="s">
        <v>8670</v>
      </c>
      <c r="AI33" s="214" t="s">
        <v>8671</v>
      </c>
      <c r="AJ33" s="123" t="s">
        <v>8672</v>
      </c>
      <c r="AK33" s="107" t="s">
        <v>8673</v>
      </c>
      <c r="AL33" s="47" t="s">
        <v>8674</v>
      </c>
      <c r="AM33" s="305" t="s">
        <v>8675</v>
      </c>
      <c r="AN33" s="123" t="s">
        <v>8676</v>
      </c>
      <c r="AO33" s="398"/>
      <c r="AP33" s="398"/>
    </row>
    <row r="34">
      <c r="A34" s="176" t="s">
        <v>8677</v>
      </c>
      <c r="B34" s="316" t="s">
        <v>8678</v>
      </c>
      <c r="C34" s="215" t="s">
        <v>8679</v>
      </c>
      <c r="D34" s="394" t="s">
        <v>6405</v>
      </c>
      <c r="E34" s="176" t="s">
        <v>8680</v>
      </c>
      <c r="F34" s="318" t="str">
        <f>IFERROR(__xludf.DUMMYFUNCTION("GOOGLETRANSLATE(B34,""zh-tw"",""ja"")"),"祝福を享受できますように")</f>
        <v>祝福を享受できますように</v>
      </c>
      <c r="G34" s="215" t="s">
        <v>8681</v>
      </c>
      <c r="H34" s="394" t="s">
        <v>6407</v>
      </c>
      <c r="I34" s="176" t="s">
        <v>8682</v>
      </c>
      <c r="J34" s="316" t="s">
        <v>8683</v>
      </c>
      <c r="K34" s="215" t="s">
        <v>8684</v>
      </c>
      <c r="L34" s="394" t="s">
        <v>6408</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IFERROR(__xludf.DUMMYFUNCTION("GOOGLETRANSLATE(B34,""zh-tw"",""KO"")"),"축복을 누리시길 바랍니다")</f>
        <v>축복을 누리시길 바랍니다</v>
      </c>
      <c r="W34" s="304" t="str">
        <f>IFERROR(__xludf.DUMMYFUNCTION("GOOGLETRANSLATE(C34,""zh-tw"",""KO"")"),"성배의 축복을 받으면 당신의 돈은 두 배가 될 것입니다.")</f>
        <v>성배의 축복을 받으면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IFERROR(__xludf.DUMMYFUNCTION("GOOGLETRANSLATE(B34,""zh-tw"",""RU"")"),"Да будут благословенны ваши сердца.")</f>
        <v>Да будут благословенны ваши сердца.</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8685</v>
      </c>
      <c r="AH34" s="137" t="s">
        <v>8686</v>
      </c>
      <c r="AI34" s="305" t="s">
        <v>8687</v>
      </c>
      <c r="AJ34" s="123" t="s">
        <v>8688</v>
      </c>
      <c r="AK34" s="107" t="s">
        <v>8689</v>
      </c>
      <c r="AL34" s="47" t="s">
        <v>8690</v>
      </c>
      <c r="AM34" s="305" t="s">
        <v>8691</v>
      </c>
      <c r="AN34" s="399" t="s">
        <v>8692</v>
      </c>
      <c r="AO34" s="398"/>
      <c r="AP34" s="398"/>
    </row>
    <row r="35">
      <c r="A35" s="176" t="s">
        <v>8693</v>
      </c>
      <c r="B35" s="316" t="s">
        <v>816</v>
      </c>
      <c r="C35" s="215" t="s">
        <v>816</v>
      </c>
      <c r="D35" s="394" t="s">
        <v>8694</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8695</v>
      </c>
      <c r="J35" s="318" t="str">
        <f>IFERROR(__xludf.DUMMYFUNCTION("GOOGLETRANSLATE(B35,""zh-tw"",""en"")"),"-")</f>
        <v>-</v>
      </c>
      <c r="K35" s="395" t="str">
        <f>IFERROR(__xludf.DUMMYFUNCTION("GOOGLETRANSLATE(C35,""zh-tw"",""en"")"),"-")</f>
        <v>-</v>
      </c>
      <c r="L35" s="394" t="s">
        <v>8696</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Ice Staff의 이전 버전")</f>
        <v>예를 들어, Ice Staff의 이전 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8697</v>
      </c>
      <c r="AH35" s="47" t="s">
        <v>816</v>
      </c>
      <c r="AI35" s="305" t="s">
        <v>816</v>
      </c>
      <c r="AJ35" s="123" t="s">
        <v>8698</v>
      </c>
      <c r="AK35" s="107" t="s">
        <v>8699</v>
      </c>
      <c r="AL35" s="47" t="s">
        <v>816</v>
      </c>
      <c r="AM35" s="305" t="s">
        <v>816</v>
      </c>
      <c r="AN35" s="123" t="s">
        <v>8700</v>
      </c>
      <c r="AO35" s="398"/>
      <c r="AP35" s="398"/>
    </row>
    <row r="36">
      <c r="A36" s="176" t="s">
        <v>8701</v>
      </c>
      <c r="B36" s="316" t="s">
        <v>8702</v>
      </c>
      <c r="C36" s="215" t="s">
        <v>8703</v>
      </c>
      <c r="D36" s="394" t="s">
        <v>5843</v>
      </c>
      <c r="E36" s="176" t="s">
        <v>5845</v>
      </c>
      <c r="F36" s="316" t="s">
        <v>8704</v>
      </c>
      <c r="G36" s="395" t="str">
        <f>IFERROR(__xludf.DUMMYFUNCTION("GOOGLETRANSLATE(C36,""zh-tw"",""ja"")"),"全属性が上昇し、一時的に無敵になる。")</f>
        <v>全属性が上昇し、一時的に無敵になる。</v>
      </c>
      <c r="H36" s="394" t="s">
        <v>5845</v>
      </c>
      <c r="I36" s="176" t="s">
        <v>5847</v>
      </c>
      <c r="J36" s="316" t="s">
        <v>8705</v>
      </c>
      <c r="K36" s="215" t="s">
        <v>8706</v>
      </c>
      <c r="L36" s="394" t="s">
        <v>5847</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속성이 증가하고, 일시적으로 무적이 됩니다.")</f>
        <v>모든 속성이 증가하고,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IFERROR(__xludf.DUMMYFUNCTION("GOOGLETRANSLATE(B36,""zh-tw"",""RU"")"),"Ты излучаешь славу")</f>
        <v>Ты излучаешь славу</v>
      </c>
      <c r="AA36" s="395"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8707</v>
      </c>
      <c r="AH36" s="137" t="s">
        <v>8708</v>
      </c>
      <c r="AI36" s="305" t="s">
        <v>8709</v>
      </c>
      <c r="AJ36" s="123" t="s">
        <v>8707</v>
      </c>
      <c r="AK36" s="107" t="s">
        <v>5853</v>
      </c>
      <c r="AL36" s="47" t="s">
        <v>8710</v>
      </c>
      <c r="AM36" s="305" t="s">
        <v>8711</v>
      </c>
      <c r="AN36" s="123" t="s">
        <v>5853</v>
      </c>
      <c r="AO36" s="398"/>
      <c r="AP36" s="398"/>
    </row>
    <row r="37">
      <c r="A37" s="176" t="s">
        <v>3348</v>
      </c>
      <c r="B37" s="316" t="s">
        <v>8712</v>
      </c>
      <c r="C37" s="215" t="s">
        <v>8713</v>
      </c>
      <c r="D37" s="394" t="s">
        <v>8714</v>
      </c>
      <c r="E37" s="176" t="s">
        <v>3351</v>
      </c>
      <c r="F37" s="316" t="s">
        <v>8715</v>
      </c>
      <c r="G37" s="395" t="str">
        <f>IFERROR(__xludf.DUMMYFUNCTION("GOOGLETRANSLATE(C37,""zh-tw"",""ja"")"),"スタミナを回復できない")</f>
        <v>スタミナを回復できない</v>
      </c>
      <c r="H37" s="394" t="s">
        <v>5254</v>
      </c>
      <c r="I37" s="176" t="s">
        <v>5256</v>
      </c>
      <c r="J37" s="316" t="s">
        <v>8716</v>
      </c>
      <c r="K37" s="215" t="s">
        <v>8717</v>
      </c>
      <c r="L37" s="394" t="s">
        <v>5256</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IFERROR(__xludf.DUMMYFUNCTION("GOOGLETRANSLATE(B37,""zh-tw"",""KO"")"),"죽지 않는 허수아비의 심장")</f>
        <v>죽지 않는 허수아비의 심장</v>
      </c>
      <c r="W37" s="304" t="str">
        <f>IFERROR(__xludf.DUMMYFUNCTION("GOOGLETRANSLATE(C37,""zh-tw"",""KO"")"),"체력 회복이 불가능합니다")</f>
        <v>체력 회복이 불가능합니다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5262</v>
      </c>
      <c r="AH37" s="137" t="s">
        <v>8718</v>
      </c>
      <c r="AI37" s="305" t="s">
        <v>8719</v>
      </c>
      <c r="AJ37" s="123" t="s">
        <v>5262</v>
      </c>
      <c r="AK37" s="107" t="s">
        <v>5264</v>
      </c>
      <c r="AL37" s="47" t="s">
        <v>8720</v>
      </c>
      <c r="AM37" s="305" t="s">
        <v>8721</v>
      </c>
      <c r="AN37" s="123" t="s">
        <v>5264</v>
      </c>
      <c r="AO37" s="398"/>
      <c r="AP37" s="398"/>
    </row>
    <row r="38">
      <c r="A38" s="176" t="s">
        <v>8722</v>
      </c>
      <c r="B38" s="316" t="s">
        <v>816</v>
      </c>
      <c r="C38" s="215" t="s">
        <v>8723</v>
      </c>
      <c r="D38" s="394" t="s">
        <v>8724</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8725</v>
      </c>
      <c r="J38" s="318" t="str">
        <f>IFERROR(__xludf.DUMMYFUNCTION("GOOGLETRANSLATE(B38,""zh-tw"",""en"")"),"-")</f>
        <v>-</v>
      </c>
      <c r="K38" s="215" t="s">
        <v>8726</v>
      </c>
      <c r="L38" s="394" t="s">
        <v>8727</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있는 동안에는 이동 속도가 감소하고 공격이 불가능해집니다.")</f>
        <v>물 위에 떠 있는 동안에는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8728</v>
      </c>
      <c r="AH38" s="47" t="s">
        <v>816</v>
      </c>
      <c r="AI38" s="214" t="s">
        <v>8729</v>
      </c>
      <c r="AJ38" s="123" t="s">
        <v>8730</v>
      </c>
      <c r="AK38" s="107" t="s">
        <v>8731</v>
      </c>
      <c r="AL38" s="47" t="s">
        <v>816</v>
      </c>
      <c r="AM38" s="305" t="s">
        <v>8732</v>
      </c>
      <c r="AN38" s="123" t="s">
        <v>8733</v>
      </c>
      <c r="AO38" s="398"/>
      <c r="AP38" s="398"/>
    </row>
    <row r="39">
      <c r="A39" s="176" t="s">
        <v>8734</v>
      </c>
      <c r="B39" s="316" t="s">
        <v>8735</v>
      </c>
      <c r="C39" s="215" t="s">
        <v>8736</v>
      </c>
      <c r="D39" s="394" t="s">
        <v>5334</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8737</v>
      </c>
      <c r="J39" s="316" t="s">
        <v>8738</v>
      </c>
      <c r="K39" s="215" t="s">
        <v>8739</v>
      </c>
      <c r="L39" s="394" t="s">
        <v>5337</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 30 증가")</f>
        <v>공격력 30 증가</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8740</v>
      </c>
      <c r="AH39" s="137" t="s">
        <v>8741</v>
      </c>
      <c r="AI39" s="214" t="s">
        <v>8742</v>
      </c>
      <c r="AJ39" s="123" t="s">
        <v>5344</v>
      </c>
      <c r="AK39" s="107" t="s">
        <v>8743</v>
      </c>
      <c r="AL39" s="47" t="s">
        <v>8744</v>
      </c>
      <c r="AM39" s="305" t="s">
        <v>8745</v>
      </c>
      <c r="AN39" s="123" t="s">
        <v>5346</v>
      </c>
      <c r="AO39" s="398"/>
      <c r="AP39" s="398"/>
    </row>
    <row r="40">
      <c r="A40" s="176" t="s">
        <v>8746</v>
      </c>
      <c r="B40" s="316" t="s">
        <v>8747</v>
      </c>
      <c r="C40" s="215" t="s">
        <v>8748</v>
      </c>
      <c r="D40" s="394" t="s">
        <v>6131</v>
      </c>
      <c r="E40" s="176" t="s">
        <v>8749</v>
      </c>
      <c r="F40" s="316" t="s">
        <v>8750</v>
      </c>
      <c r="G40" s="395" t="str">
        <f>IFERROR(__xludf.DUMMYFUNCTION("GOOGLETRANSLATE(C40,""zh-tw"",""ja"")"),"スタミナは自動的に回復します。")</f>
        <v>スタミナは自動的に回復します。</v>
      </c>
      <c r="H40" s="394" t="s">
        <v>8751</v>
      </c>
      <c r="I40" s="176" t="s">
        <v>8752</v>
      </c>
      <c r="J40" s="316" t="s">
        <v>8753</v>
      </c>
      <c r="K40" s="215" t="s">
        <v>8754</v>
      </c>
      <c r="L40" s="394" t="s">
        <v>8755</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언니가 바로 옆에 있는 것 같은 느낌이 들어요...")</f>
        <v>마치 언니가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будто моя сестра рядом со мной...")</f>
        <v>Такое ощущение, будто моя сестра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8756</v>
      </c>
      <c r="AH40" s="137" t="s">
        <v>8757</v>
      </c>
      <c r="AI40" s="214" t="s">
        <v>8758</v>
      </c>
      <c r="AJ40" s="123" t="s">
        <v>8759</v>
      </c>
      <c r="AK40" s="107" t="s">
        <v>8760</v>
      </c>
      <c r="AL40" s="47" t="s">
        <v>8761</v>
      </c>
      <c r="AM40" s="305" t="s">
        <v>8762</v>
      </c>
      <c r="AN40" s="123" t="s">
        <v>8763</v>
      </c>
      <c r="AO40" s="398"/>
      <c r="AP40" s="398"/>
    </row>
    <row r="41">
      <c r="A41" s="176" t="s">
        <v>8764</v>
      </c>
      <c r="B41" s="316" t="s">
        <v>8765</v>
      </c>
      <c r="C41" s="215" t="s">
        <v>8766</v>
      </c>
      <c r="D41" s="394" t="s">
        <v>8767</v>
      </c>
      <c r="E41" s="176" t="s">
        <v>8768</v>
      </c>
      <c r="F41" s="316" t="s">
        <v>8769</v>
      </c>
      <c r="G41" s="215" t="s">
        <v>8770</v>
      </c>
      <c r="H41" s="394" t="s">
        <v>8771</v>
      </c>
      <c r="I41" s="176" t="s">
        <v>8772</v>
      </c>
      <c r="J41" s="316" t="s">
        <v>8773</v>
      </c>
      <c r="K41" s="215" t="s">
        <v>8774</v>
      </c>
      <c r="L41" s="394" t="s">
        <v>8775</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IFERROR(__xludf.DUMMYFUNCTION("GOOGLETRANSLATE(A41,""zh-tw"",""KO"")"),"글룩글룩")</f>
        <v>글룩글룩</v>
      </c>
      <c r="V41" s="143" t="str">
        <f>IFERROR(__xludf.DUMMYFUNCTION("GOOGLETRANSLATE(B41,""zh-tw"",""KO"")"),"배가 뒤집혔어요...")</f>
        <v>배가 뒤집혔어요...</v>
      </c>
      <c r="W41" s="304" t="str">
        <f>IFERROR(__xludf.DUMMYFUNCTION("GOOGLETRANSLATE(C41,""zh-tw"",""KO"")"),"배가 계속 아파요!")</f>
        <v>배가 계속 아파요!</v>
      </c>
      <c r="X41" s="142" t="str">
        <f>IFERROR(__xludf.DUMMYFUNCTION("GOOGLETRANSLATE(D41,""zh-tw"",""KO"")"),"독이 있는 요리")</f>
        <v>독이 있는 요리</v>
      </c>
      <c r="Y41" s="396" t="str">
        <f>IFERROR(__xludf.DUMMYFUNCTION("GOOGLETRANSLATE(A41,""zh-tw"",""RU"")"),"Глюг-глюг")</f>
        <v>Глюг-глюг</v>
      </c>
      <c r="Z41" s="318" t="str">
        <f>IFERROR(__xludf.DUMMYFUNCTION("GOOGLETRANSLATE(B41,""zh-tw"",""RU"")"),"У меня было расстройство желудка...")</f>
        <v>У меня было расстройство желудка...</v>
      </c>
      <c r="AA41" s="395"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8776</v>
      </c>
      <c r="AH41" s="137" t="s">
        <v>8777</v>
      </c>
      <c r="AI41" s="214" t="s">
        <v>8778</v>
      </c>
      <c r="AJ41" s="123" t="s">
        <v>8779</v>
      </c>
      <c r="AK41" s="107" t="s">
        <v>8772</v>
      </c>
      <c r="AL41" s="47" t="s">
        <v>8780</v>
      </c>
      <c r="AM41" s="305" t="s">
        <v>8781</v>
      </c>
      <c r="AN41" s="123" t="s">
        <v>8782</v>
      </c>
      <c r="AO41" s="398"/>
      <c r="AP41" s="398"/>
    </row>
    <row r="42">
      <c r="A42" s="176" t="s">
        <v>8783</v>
      </c>
      <c r="B42" s="316" t="s">
        <v>8784</v>
      </c>
      <c r="C42" s="215" t="s">
        <v>8785</v>
      </c>
      <c r="D42" s="394" t="s">
        <v>8786</v>
      </c>
      <c r="E42" s="176" t="s">
        <v>8787</v>
      </c>
      <c r="F42" s="316" t="s">
        <v>8788</v>
      </c>
      <c r="G42" s="215" t="s">
        <v>8789</v>
      </c>
      <c r="H42" s="394" t="s">
        <v>8790</v>
      </c>
      <c r="I42" s="176" t="s">
        <v>8791</v>
      </c>
      <c r="J42" s="316" t="s">
        <v>8792</v>
      </c>
      <c r="K42" s="215" t="s">
        <v>8793</v>
      </c>
      <c r="L42" s="394" t="s">
        <v>8794</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IFERROR(__xludf.DUMMYFUNCTION("GOOGLETRANSLATE(A42,""zh-tw"",""KO"")"),"글루 글루 글루")</f>
        <v>글루 글루 글루</v>
      </c>
      <c r="V42" s="143" t="str">
        <f>IFERROR(__xludf.DUMMYFUNCTION("GOOGLETRANSLATE(B42,""zh-tw"",""KO"")"),"국화는 시들었고, 상처는 땅에 흩어져 있었습니다...")</f>
        <v>국화는 시들었고, 상처는 땅에 흩어져 있었습니다...</v>
      </c>
      <c r="W42" s="304" t="str">
        <f>IFERROR(__xludf.DUMMYFUNCTION("GOOGLETRANSLATE(C42,""zh-tw"",""KO"")"),"엉덩이 통증 때문에 달리거나 달릴 수 없어요!")</f>
        <v>엉덩이 통증 때문에 달리거나 달릴 수 없어요!</v>
      </c>
      <c r="X42" s="142" t="str">
        <f>IFERROR(__xludf.DUMMYFUNCTION("GOOGLETRANSLATE(D42,""zh-tw"",""KO"")"),"매운 음식")</f>
        <v>매운 음식</v>
      </c>
      <c r="Y42" s="396" t="str">
        <f>IFERROR(__xludf.DUMMYFUNCTION("GOOGLETRANSLATE(A42,""zh-tw"",""RU"")"),"Глюг-глюг-глюг")</f>
        <v>Глюг-глюг-глюг</v>
      </c>
      <c r="Z42" s="318" t="str">
        <f>IFERROR(__xludf.DUMMYFUNCTION("GOOGLETRANSLATE(B42,""zh-tw"",""RU"")"),"Хризантемы увяли, раны разбросаны по земле...")</f>
        <v>Хризантемы увяли, раны разбросаны по земле...</v>
      </c>
      <c r="AA42" s="395"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8795</v>
      </c>
      <c r="AH42" s="137" t="s">
        <v>8796</v>
      </c>
      <c r="AI42" s="214" t="s">
        <v>8797</v>
      </c>
      <c r="AJ42" s="123" t="s">
        <v>8798</v>
      </c>
      <c r="AK42" s="107" t="s">
        <v>8791</v>
      </c>
      <c r="AL42" s="47" t="s">
        <v>8799</v>
      </c>
      <c r="AM42" s="305" t="s">
        <v>8800</v>
      </c>
      <c r="AN42" s="123" t="s">
        <v>8801</v>
      </c>
      <c r="AO42" s="398"/>
      <c r="AP42" s="398"/>
    </row>
    <row r="43">
      <c r="A43" s="176" t="s">
        <v>8802</v>
      </c>
      <c r="B43" s="316" t="s">
        <v>8803</v>
      </c>
      <c r="C43" s="215" t="s">
        <v>8804</v>
      </c>
      <c r="D43" s="394" t="s">
        <v>8805</v>
      </c>
      <c r="E43" s="176" t="s">
        <v>8806</v>
      </c>
      <c r="F43" s="316" t="s">
        <v>8807</v>
      </c>
      <c r="G43" s="215" t="s">
        <v>8808</v>
      </c>
      <c r="H43" s="394" t="s">
        <v>8809</v>
      </c>
      <c r="I43" s="176" t="s">
        <v>8810</v>
      </c>
      <c r="J43" s="316" t="s">
        <v>8811</v>
      </c>
      <c r="K43" s="215" t="s">
        <v>8812</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더워요.....")</f>
        <v>너무 더워요.....</v>
      </c>
      <c r="W43" s="304" t="str">
        <f>IFERROR(__xludf.DUMMYFUNCTION("GOOGLETRANSLATE(C43,""zh-tw"",""KO"")"),"더위 때문에 온몸이 약해지는 것 같아요...")</f>
        <v>더위 때문에 온몸이 약해지는 것 같아요...</v>
      </c>
      <c r="X43" s="142" t="str">
        <f>IFERROR(__xludf.DUMMYFUNCTION("GOOGLETRANSLATE(D43,""zh-tw"",""KO"")"),"더운 날씨")</f>
        <v>더운 날씨</v>
      </c>
      <c r="Y43" s="396" t="str">
        <f>IFERROR(__xludf.DUMMYFUNCTION("GOOGLETRANSLATE(A43,""zh-tw"",""RU"")"),"Возвращайтесь домой пораньше.")</f>
        <v>Возвращайтесь домой пораньше.</v>
      </c>
      <c r="Z43" s="318" t="str">
        <f>IFERROR(__xludf.DUMMYFUNCTION("GOOGLETRANSLATE(B43,""zh-tw"",""RU"")"),"Так жарко...")</f>
        <v>Так жарко...</v>
      </c>
      <c r="AA43" s="395"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8813</v>
      </c>
      <c r="AI43" s="214" t="s">
        <v>8814</v>
      </c>
      <c r="AJ43" s="400"/>
      <c r="AK43" s="107" t="s">
        <v>2386</v>
      </c>
      <c r="AL43" s="47" t="s">
        <v>8815</v>
      </c>
      <c r="AM43" s="305" t="s">
        <v>8816</v>
      </c>
      <c r="AN43" s="400"/>
      <c r="AO43" s="398"/>
      <c r="AP43" s="398"/>
    </row>
    <row r="44">
      <c r="A44" s="176" t="s">
        <v>8817</v>
      </c>
      <c r="B44" s="316" t="s">
        <v>8818</v>
      </c>
      <c r="C44" s="215" t="s">
        <v>8819</v>
      </c>
      <c r="D44" s="394" t="s">
        <v>8820</v>
      </c>
      <c r="E44" s="176" t="s">
        <v>8821</v>
      </c>
      <c r="F44" s="316" t="s">
        <v>8822</v>
      </c>
      <c r="G44" s="215" t="s">
        <v>8823</v>
      </c>
      <c r="H44" s="394" t="s">
        <v>8824</v>
      </c>
      <c r="I44" s="176" t="s">
        <v>8825</v>
      </c>
      <c r="J44" s="316" t="s">
        <v>8826</v>
      </c>
      <c r="K44" s="215" t="s">
        <v>8827</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IFERROR(__xludf.DUMMYFUNCTION("GOOGLETRANSLATE(B44,""zh-tw"",""KO"")"),"그렇게 간단한 게임도 못 하냐? 완전 초보잖아!")</f>
        <v>그렇게 간단한 게임도 못 하냐? 완전 초보잖아!</v>
      </c>
      <c r="W44" s="304" t="str">
        <f>IFERROR(__xludf.DUMMYFUNCTION("GOOGLETRANSLATE(C44,""zh-tw"",""KO"")"),"그는 부정행위를 해서 ""작은 물고기"" 자격증을 취득했습니다!")</f>
        <v>그는 부정행위를 해서 "작은 물고기" 자격증을 취득했습니다!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не можешь играть? Ты нуб!")</f>
        <v>Ты даже в такую ​​простую игру не можешь играть? Ты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8828</v>
      </c>
      <c r="AH44" s="137" t="s">
        <v>8829</v>
      </c>
      <c r="AI44" s="214" t="s">
        <v>8830</v>
      </c>
      <c r="AJ44" s="400"/>
      <c r="AK44" s="107" t="s">
        <v>8825</v>
      </c>
      <c r="AL44" s="47" t="s">
        <v>8831</v>
      </c>
      <c r="AM44" s="305" t="s">
        <v>8832</v>
      </c>
      <c r="AN44" s="400"/>
      <c r="AO44" s="398"/>
      <c r="AP44" s="398"/>
    </row>
    <row r="45">
      <c r="A45" s="176" t="s">
        <v>8833</v>
      </c>
      <c r="B45" s="316" t="s">
        <v>8834</v>
      </c>
      <c r="C45" s="215" t="s">
        <v>816</v>
      </c>
      <c r="D45" s="394" t="s">
        <v>6793</v>
      </c>
      <c r="E45" s="176" t="s">
        <v>8835</v>
      </c>
      <c r="F45" s="316" t="s">
        <v>8836</v>
      </c>
      <c r="G45" s="215" t="s">
        <v>816</v>
      </c>
      <c r="H45" s="394" t="s">
        <v>8837</v>
      </c>
      <c r="I45" s="176" t="s">
        <v>6797</v>
      </c>
      <c r="J45" s="316" t="s">
        <v>8838</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IFERROR(__xludf.DUMMYFUNCTION("GOOGLETRANSLATE(A45,""zh-tw"",""es-MX"")"),"Héroes del mundo")</f>
        <v>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4" t="str">
        <f>IFERROR(__xludf.DUMMYFUNCTION("GOOGLETRANSLATE(C45,""zh-tw"",""KO"")"),"-")</f>
        <v>-</v>
      </c>
      <c r="X45" s="142" t="str">
        <f>IFERROR(__xludf.DUMMYFUNCTION("GOOGLETRANSLATE(D45,""zh-tw"",""KO"")"),"붉은 홍옥수 펜던트")</f>
        <v>붉은 홍옥수 펜던트</v>
      </c>
      <c r="Y45" s="396" t="str">
        <f>IFERROR(__xludf.DUMMYFUNCTION("GOOGLETRANSLATE(A45,""zh-tw"",""RU"")"),"Герои мира")</f>
        <v>Герои мира</v>
      </c>
      <c r="Z45" s="318"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IFERROR(__xludf.DUMMYFUNCTION("GOOGLETRANSLATE(A45,""zh-tw"",""DE"")"),"Helden der Welt")</f>
        <v>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8839</v>
      </c>
      <c r="AH45" s="137" t="s">
        <v>8840</v>
      </c>
      <c r="AI45" s="401"/>
      <c r="AJ45" s="400"/>
      <c r="AK45" s="107" t="s">
        <v>6797</v>
      </c>
      <c r="AL45" s="47" t="s">
        <v>8838</v>
      </c>
      <c r="AM45" s="401"/>
      <c r="AN45" s="400"/>
      <c r="AO45" s="398"/>
      <c r="AP45" s="398"/>
    </row>
    <row r="46">
      <c r="A46" s="176" t="s">
        <v>8841</v>
      </c>
      <c r="B46" s="316" t="s">
        <v>8842</v>
      </c>
      <c r="C46" s="215" t="s">
        <v>8843</v>
      </c>
      <c r="D46" s="394" t="s">
        <v>6722</v>
      </c>
      <c r="E46" s="176" t="s">
        <v>8844</v>
      </c>
      <c r="F46" s="316" t="s">
        <v>8845</v>
      </c>
      <c r="G46" s="215" t="s">
        <v>8846</v>
      </c>
      <c r="H46" s="397" t="str">
        <f>IFERROR(__xludf.DUMMYFUNCTION("GOOGLETRANSLATE(D46,""zh-tw"",""ja"")"),"貪欲な貯金箱")</f>
        <v>貪欲な貯金箱</v>
      </c>
      <c r="I46" s="176" t="s">
        <v>8847</v>
      </c>
      <c r="J46" s="316" t="s">
        <v>8848</v>
      </c>
      <c r="K46" s="215" t="s">
        <v>8849</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당신에게도 표적으로 다가올 것입니다.")</f>
        <v>끝없는 탐욕은 결국 당신에게도 표적으로 다가올 것입니다.</v>
      </c>
      <c r="W46" s="304" t="str">
        <f>IFERROR(__xludf.DUMMYFUNCTION("GOOGLETRANSLATE(C46,""zh-tw"",""KO"")"),"부상당해 금화를 떨어뜨려야 했다")</f>
        <v>부상당해 금화를 떨어뜨려야 했다</v>
      </c>
      <c r="X46" s="142" t="str">
        <f>IFERROR(__xludf.DUMMYFUNCTION("GOOGLETRANSLATE(D46,""zh-tw"",""KO"")"),"탐욕스러운 돼지 저금통")</f>
        <v>탐욕스러운 돼지 저금통</v>
      </c>
      <c r="Y46" s="396" t="str">
        <f>IFERROR(__xludf.DUMMYFUNCTION("GOOGLETRANSLATE(A46,""zh-tw"",""RU"")"),"Жадный! Жадный!")</f>
        <v>Жадный! Жадный!</v>
      </c>
      <c r="Z46" s="318" t="str">
        <f>IFERROR(__xludf.DUMMYFUNCTION("GOOGLETRANSLATE(B46,""zh-tw"",""RU"")"),"Бесконечная жадность в конце концов остановит и вас.")</f>
        <v>Бесконечная жадность в конце концов остановит и вас.</v>
      </c>
      <c r="AA46" s="39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189" t="s">
        <v>8850</v>
      </c>
      <c r="AH46" s="137" t="s">
        <v>8851</v>
      </c>
      <c r="AI46" s="214" t="s">
        <v>8852</v>
      </c>
      <c r="AJ46" s="402"/>
      <c r="AK46" s="139" t="s">
        <v>8853</v>
      </c>
      <c r="AL46" s="143" t="s">
        <v>8854</v>
      </c>
      <c r="AM46" s="304" t="s">
        <v>8855</v>
      </c>
      <c r="AN46" s="402"/>
      <c r="AO46" s="201"/>
      <c r="AP46" s="201"/>
    </row>
    <row r="47">
      <c r="A47" s="176" t="s">
        <v>8856</v>
      </c>
      <c r="B47" s="316" t="s">
        <v>8857</v>
      </c>
      <c r="C47" s="215" t="s">
        <v>8858</v>
      </c>
      <c r="D47" s="394" t="s">
        <v>6625</v>
      </c>
      <c r="E47" s="176" t="s">
        <v>8859</v>
      </c>
      <c r="F47" s="316" t="s">
        <v>8860</v>
      </c>
      <c r="G47" s="215" t="s">
        <v>8861</v>
      </c>
      <c r="H47" s="397" t="str">
        <f>IFERROR(__xludf.DUMMYFUNCTION("GOOGLETRANSLATE(D47,""zh-tw"",""ja"")"),"夜霧の幻影")</f>
        <v>夜霧の幻影</v>
      </c>
      <c r="I47" s="176" t="s">
        <v>8862</v>
      </c>
      <c r="J47" s="316" t="s">
        <v>8863</v>
      </c>
      <c r="K47" s="215" t="s">
        <v>8864</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IFERROR(__xludf.DUMMYFUNCTION("GOOGLETRANSLATE(A47,""zh-tw"",""KO"")"),"너는 나를 볼 수 없어")</f>
        <v>너는 나를 볼 수 없어</v>
      </c>
      <c r="V47" s="143" t="str">
        <f>IFERROR(__xludf.DUMMYFUNCTION("GOOGLETRANSLATE(B47,""zh-tw"",""KO"")"),"내 사악한 눈으로 들여다봐! 안에 뭔가 있어!")</f>
        <v>내 사악한 눈으로 들여다봐! 안에 뭔가 있어!</v>
      </c>
      <c r="W47" s="304" t="str">
        <f>IFERROR(__xludf.DUMMYFUNCTION("GOOGLETRANSLATE(C47,""zh-tw"",""KO"")"),"6초마다 잠깐 투명 상태가 됩니다!")</f>
        <v>6초마다 잠깐 투명 상태가 됩니다!</v>
      </c>
      <c r="X47" s="142" t="str">
        <f>IFERROR(__xludf.DUMMYFUNCTION("GOOGLETRANSLATE(D47,""zh-tw"",""KO"")"),"나이트 포그 팬텀")</f>
        <v>나이트 포그 팬텀</v>
      </c>
      <c r="Y47" s="396" t="str">
        <f>IFERROR(__xludf.DUMMYFUNCTION("GOOGLETRANSLATE(A47,""zh-tw"",""RU"")"),"Ты меня не видишь")</f>
        <v>Ты меня не видишь</v>
      </c>
      <c r="Z47" s="318" t="str">
        <f>IFERROR(__xludf.DUMMYFUNCTION("GOOGLETRANSLATE(B47,""zh-tw"",""RU"")"),"ПОСМОТРИТЕ В МОЙ ЗЛОЙ ГЛАЗ И УВИДЬТЕ ЧТО-ТО ВНУТРИ!")</f>
        <v>ПОСМОТРИТЕ В МОЙ ЗЛОЙ ГЛАЗ И УВИДЬТЕ ЧТО-ТО ВНУТРИ!</v>
      </c>
      <c r="AA47" s="39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8865</v>
      </c>
      <c r="AH47" s="137" t="s">
        <v>8866</v>
      </c>
      <c r="AI47" s="214" t="s">
        <v>8867</v>
      </c>
      <c r="AJ47" s="142"/>
      <c r="AK47" s="139" t="s">
        <v>8868</v>
      </c>
      <c r="AL47" s="143" t="s">
        <v>8869</v>
      </c>
      <c r="AM47" s="304" t="s">
        <v>8870</v>
      </c>
      <c r="AN47" s="402"/>
      <c r="AO47" s="201"/>
      <c r="AP47" s="201"/>
    </row>
    <row r="48">
      <c r="A48" s="139" t="s">
        <v>8871</v>
      </c>
      <c r="B48" s="143" t="s">
        <v>8872</v>
      </c>
      <c r="C48" s="304" t="s">
        <v>8873</v>
      </c>
      <c r="D48" s="142" t="s">
        <v>8874</v>
      </c>
      <c r="E48" s="139" t="s">
        <v>8875</v>
      </c>
      <c r="F48" s="143" t="s">
        <v>8876</v>
      </c>
      <c r="G48" s="304" t="s">
        <v>8877</v>
      </c>
      <c r="H48" s="142" t="s">
        <v>8878</v>
      </c>
      <c r="I48" s="176" t="s">
        <v>8879</v>
      </c>
      <c r="J48" s="143" t="s">
        <v>8880</v>
      </c>
      <c r="K48" s="304" t="s">
        <v>8881</v>
      </c>
      <c r="L48" s="136" t="s">
        <v>8882</v>
      </c>
      <c r="M48" s="139" t="s">
        <v>8883</v>
      </c>
      <c r="N48" s="143" t="s">
        <v>8872</v>
      </c>
      <c r="O48" s="304" t="s">
        <v>8884</v>
      </c>
      <c r="P48" s="142" t="s">
        <v>8885</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IFERROR(__xludf.DUMMYFUNCTION("GOOGLETRANSLATE(A48,""zh-tw"",""KO"")"),"나는 항상 무언가가 나를 따라오는 것 같은 느낌이 든다.")</f>
        <v>나는 항상 무언가가 나를 따라오는 것 같은 느낌이 든다.</v>
      </c>
      <c r="V48" s="143" t="str">
        <f>IFERROR(__xludf.DUMMYFUNCTION("GOOGLETRANSLATE(B48,""zh-tw"",""KO"")"),"바스락거리는 소리...바스락거리는 소리...")</f>
        <v>바스락거리는 소리...바스락거리는 소리...</v>
      </c>
      <c r="W48" s="304" t="str">
        <f>IFERROR(__xludf.DUMMYFUNCTION("GOOGLETRANSLATE(C48,""zh-tw"",""KO"")"),"당신은 작은 생물들의 떼로부터 면밀히 관찰받고 있습니다.")</f>
        <v>당신은 작은 생물들의 떼로부터 면밀히 관찰받고 있습니다.</v>
      </c>
      <c r="X48" s="142" t="str">
        <f>IFERROR(__xludf.DUMMYFUNCTION("GOOGLETRANSLATE(D48,""zh-tw"",""KO"")"),"Z에 얽힘")</f>
        <v>Z에 얽힘</v>
      </c>
      <c r="Y48" s="396" t="str">
        <f>IFERROR(__xludf.DUMMYFUNCTION("GOOGLETRANSLATE(A48,""zh-tw"",""RU"")"),"Мне всегда кажется, что за мной что-то следует.")</f>
        <v>Мне всегда кажется, что за мной что-то следует.</v>
      </c>
      <c r="Z48" s="318" t="str">
        <f>IFERROR(__xludf.DUMMYFUNCTION("GOOGLETRANSLATE(B48,""zh-tw"",""RU"")"),"шорох...шорох...")</f>
        <v>шорох...шорох...</v>
      </c>
      <c r="AA48" s="395" t="str">
        <f>IFERROR(__xludf.DUMMYFUNCTION("GOOGLETRANSLATE(C48,""zh-tw"",""RU"")"),"За вами пристально наблюдает группа маленьких существ.")</f>
        <v>За вами пристально наблюдает группа маленьких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8886</v>
      </c>
      <c r="AE48" s="304" t="s">
        <v>8887</v>
      </c>
      <c r="AF48" s="142" t="s">
        <v>8888</v>
      </c>
      <c r="AG48" s="396" t="str">
        <f>IFERROR(__xludf.DUMMYFUNCTION("GOOGLETRANSLATE(A48,""zh-tw"",""VI"")"),"Tôi luôn cảm thấy như có thứ gì đó đang theo dõi mình.")</f>
        <v>Tôi luôn cảm thấy như có thứ gì đó đang theo dõi mình.</v>
      </c>
      <c r="AH48" s="145" t="s">
        <v>8889</v>
      </c>
      <c r="AI48" s="403" t="s">
        <v>8890</v>
      </c>
      <c r="AJ48" s="131" t="s">
        <v>8891</v>
      </c>
      <c r="AK48" s="139" t="s">
        <v>8892</v>
      </c>
      <c r="AL48" s="143" t="s">
        <v>8893</v>
      </c>
      <c r="AM48" s="304" t="s">
        <v>8894</v>
      </c>
      <c r="AN48" s="142" t="s">
        <v>8895</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8896</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8897</v>
      </c>
      <c r="G1" s="415" t="s">
        <v>8898</v>
      </c>
      <c r="H1" s="416"/>
      <c r="I1" s="416"/>
      <c r="J1" s="416"/>
      <c r="K1" s="416"/>
      <c r="L1" s="416"/>
      <c r="M1" s="416"/>
      <c r="N1" s="416"/>
      <c r="O1" s="416"/>
      <c r="P1" s="416"/>
      <c r="Q1" s="416"/>
      <c r="R1" s="416"/>
    </row>
    <row r="2">
      <c r="A2" s="417" t="s">
        <v>8899</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8900</v>
      </c>
      <c r="F2" s="190" t="s">
        <v>8901</v>
      </c>
      <c r="G2" s="420" t="s">
        <v>8902</v>
      </c>
      <c r="H2" s="153"/>
      <c r="I2" s="153"/>
      <c r="J2" s="153"/>
      <c r="K2" s="153"/>
      <c r="L2" s="153"/>
      <c r="M2" s="153"/>
      <c r="N2" s="153"/>
      <c r="O2" s="153"/>
      <c r="P2" s="153"/>
      <c r="Q2" s="153"/>
      <c r="R2" s="153"/>
    </row>
    <row r="3">
      <c r="A3" s="417" t="s">
        <v>8903</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8904</v>
      </c>
      <c r="F3" s="190" t="s">
        <v>8905</v>
      </c>
      <c r="G3" s="421" t="s">
        <v>8906</v>
      </c>
      <c r="H3" s="153"/>
      <c r="I3" s="153"/>
      <c r="J3" s="153"/>
      <c r="K3" s="153"/>
      <c r="L3" s="153"/>
      <c r="M3" s="153"/>
      <c r="N3" s="153"/>
      <c r="O3" s="153"/>
      <c r="P3" s="153"/>
      <c r="Q3" s="153"/>
      <c r="R3" s="153"/>
    </row>
    <row r="4">
      <c r="A4" s="417" t="s">
        <v>8907</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8908</v>
      </c>
      <c r="F4" s="190" t="s">
        <v>8909</v>
      </c>
      <c r="G4" s="420" t="s">
        <v>8910</v>
      </c>
      <c r="H4" s="153"/>
      <c r="I4" s="153"/>
      <c r="J4" s="153"/>
      <c r="K4" s="153"/>
      <c r="L4" s="153"/>
      <c r="M4" s="153"/>
      <c r="N4" s="153"/>
      <c r="O4" s="153"/>
      <c r="P4" s="153"/>
      <c r="Q4" s="153"/>
      <c r="R4" s="153"/>
    </row>
    <row r="5">
      <c r="A5" s="417" t="s">
        <v>8911</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8912</v>
      </c>
      <c r="F5" s="190" t="s">
        <v>8913</v>
      </c>
      <c r="G5" s="421" t="s">
        <v>8914</v>
      </c>
      <c r="H5" s="153"/>
      <c r="I5" s="153"/>
      <c r="J5" s="153"/>
      <c r="K5" s="153"/>
      <c r="L5" s="153"/>
      <c r="M5" s="153"/>
      <c r="N5" s="153"/>
      <c r="O5" s="153"/>
      <c r="P5" s="153"/>
      <c r="Q5" s="153"/>
      <c r="R5" s="153"/>
    </row>
    <row r="6">
      <c r="A6" s="422" t="s">
        <v>8915</v>
      </c>
      <c r="B6" s="423" t="s">
        <v>8916</v>
      </c>
      <c r="C6" s="424" t="s">
        <v>8917</v>
      </c>
      <c r="D6" s="425" t="s">
        <v>8918</v>
      </c>
      <c r="E6" s="426" t="s">
        <v>8919</v>
      </c>
      <c r="F6" s="427" t="s">
        <v>8920</v>
      </c>
      <c r="G6" s="428" t="s">
        <v>8921</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8922</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8923</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8924</v>
      </c>
      <c r="B3" s="45" t="s">
        <v>8924</v>
      </c>
      <c r="C3" s="436" t="s">
        <v>8924</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8925</v>
      </c>
      <c r="B5" s="45" t="str">
        <f>IFERROR(__xludf.DUMMYFUNCTION("GOOGLETRANSLATE(A5,""zh-tw"",""ja"")"),"公式YouTubeチャンネル")</f>
        <v>公式YouTubeチャンネル</v>
      </c>
      <c r="C5" s="436" t="str">
        <f>IFERROR(__xludf.DUMMYFUNCTION("GOOGLETRANSLATE(A5,""zh-tw"",""en"")"),"Official YouTube channel")</f>
        <v>Official YouTube channel</v>
      </c>
      <c r="D5" s="156" t="s">
        <v>8926</v>
      </c>
      <c r="E5" s="434"/>
      <c r="F5" s="434"/>
      <c r="G5" s="434"/>
      <c r="H5" s="434"/>
      <c r="I5" s="434"/>
      <c r="J5" s="434"/>
      <c r="K5" s="434"/>
      <c r="L5" s="434"/>
      <c r="M5" s="434"/>
      <c r="N5" s="434"/>
      <c r="O5" s="434"/>
      <c r="P5" s="434"/>
      <c r="Q5" s="434"/>
      <c r="R5" s="434"/>
      <c r="S5" s="434"/>
      <c r="T5" s="434"/>
      <c r="U5" s="434"/>
      <c r="V5" s="434"/>
      <c r="W5" s="434"/>
      <c r="X5" s="434"/>
      <c r="Y5" s="434"/>
      <c r="Z5" s="434"/>
    </row>
    <row r="6">
      <c r="A6" s="435" t="s">
        <v>8927</v>
      </c>
      <c r="B6" s="45" t="str">
        <f>IFERROR(__xludf.DUMMYFUNCTION("GOOGLETRANSLATE(A6,""zh-tw"",""ja"")"),"公式法案")</f>
        <v>公式法案</v>
      </c>
      <c r="C6" s="436" t="str">
        <f>IFERROR(__xludf.DUMMYFUNCTION("GOOGLETRANSLATE(A6,""zh-tw"",""en"")"),"Official bill")</f>
        <v>Official bill</v>
      </c>
      <c r="D6" s="156" t="s">
        <v>8926</v>
      </c>
      <c r="E6" s="434"/>
      <c r="F6" s="434"/>
      <c r="G6" s="434"/>
      <c r="H6" s="434"/>
      <c r="I6" s="434"/>
      <c r="J6" s="434"/>
      <c r="K6" s="434"/>
      <c r="L6" s="434"/>
      <c r="M6" s="434"/>
      <c r="N6" s="434"/>
      <c r="O6" s="434"/>
      <c r="P6" s="434"/>
      <c r="Q6" s="434"/>
      <c r="R6" s="434"/>
      <c r="S6" s="434"/>
      <c r="T6" s="434"/>
      <c r="U6" s="434"/>
      <c r="V6" s="434"/>
      <c r="W6" s="434"/>
      <c r="X6" s="434"/>
      <c r="Y6" s="434"/>
      <c r="Z6" s="434"/>
    </row>
    <row r="7">
      <c r="A7" s="435" t="s">
        <v>8928</v>
      </c>
      <c r="B7" s="45" t="str">
        <f>IFERROR(__xludf.DUMMYFUNCTION("GOOGLETRANSLATE(A7,""zh-tw"",""ja"")"),"片桐亜希のYouTubeチャンネル
（妹の声優）")</f>
        <v>片桐亜希のYouTubeチャンネル
（妹の声優）</v>
      </c>
      <c r="C7" s="436" t="str">
        <f>IFERROR(__xludf.DUMMYFUNCTION("GOOGLETRANSLATE(A7,""zh-tw"",""en"")"),"Aki Katagiri's YouTube channel
(Voice actress for her younger sister)")</f>
        <v>Aki Katagiri's YouTube channel
(Voice actress for her younger sister)</v>
      </c>
      <c r="D7" s="156" t="s">
        <v>8929</v>
      </c>
      <c r="E7" s="434"/>
      <c r="F7" s="434"/>
      <c r="G7" s="434"/>
      <c r="H7" s="434"/>
      <c r="I7" s="434"/>
      <c r="J7" s="434"/>
      <c r="K7" s="434"/>
      <c r="L7" s="434"/>
      <c r="M7" s="434"/>
      <c r="N7" s="434"/>
      <c r="O7" s="434"/>
      <c r="P7" s="434"/>
      <c r="Q7" s="434"/>
      <c r="R7" s="434"/>
      <c r="S7" s="434"/>
      <c r="T7" s="434"/>
      <c r="U7" s="434"/>
      <c r="V7" s="434"/>
      <c r="W7" s="434"/>
      <c r="X7" s="434"/>
      <c r="Y7" s="434"/>
      <c r="Z7" s="434"/>
    </row>
    <row r="8">
      <c r="A8" s="435" t="s">
        <v>8930</v>
      </c>
      <c r="B8" s="45" t="str">
        <f>IFERROR(__xludf.DUMMYFUNCTION("GOOGLETRANSLATE(A8,""zh-tw"",""ja"")"),"片桐亜紀（ビルビルチャンネル）
（妹役の声優）")</f>
        <v>片桐亜紀（ビルビルチャンネル）
（妹役の声優）</v>
      </c>
      <c r="C8" s="436" t="str">
        <f>IFERROR(__xludf.DUMMYFUNCTION("GOOGLETRANSLATE(A8,""zh-tw"",""en"")"),"Aki Katagiri (bilbill channel)
(Voice actress for the younger sister)")</f>
        <v>Aki Katagiri (bilbill channel)
(Voice actress for the younger sister)</v>
      </c>
      <c r="D8" s="156" t="s">
        <v>8929</v>
      </c>
      <c r="E8" s="434"/>
      <c r="F8" s="434"/>
      <c r="G8" s="434"/>
      <c r="H8" s="434"/>
      <c r="I8" s="434"/>
      <c r="J8" s="434"/>
      <c r="K8" s="434"/>
      <c r="L8" s="434"/>
      <c r="M8" s="434"/>
      <c r="N8" s="434"/>
      <c r="O8" s="434"/>
      <c r="P8" s="434"/>
      <c r="Q8" s="434"/>
      <c r="R8" s="434"/>
      <c r="S8" s="434"/>
      <c r="T8" s="434"/>
      <c r="U8" s="434"/>
      <c r="V8" s="434"/>
      <c r="W8" s="434"/>
      <c r="X8" s="434"/>
      <c r="Y8" s="434"/>
      <c r="Z8" s="434"/>
    </row>
    <row r="9">
      <c r="A9" s="435" t="s">
        <v>8931</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8932</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8933</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8934</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8935</v>
      </c>
      <c r="B1" s="77" t="s">
        <v>8936</v>
      </c>
      <c r="C1" s="411" t="s">
        <v>8937</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8938</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8939</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8940</v>
      </c>
      <c r="J1" s="414" t="s">
        <v>8941</v>
      </c>
      <c r="K1" s="138" t="s">
        <v>8942</v>
      </c>
      <c r="L1" s="138" t="s">
        <v>8943</v>
      </c>
      <c r="M1" s="447" t="s">
        <v>8944</v>
      </c>
      <c r="N1" s="447" t="s">
        <v>8945</v>
      </c>
      <c r="O1" s="416"/>
      <c r="P1" s="416"/>
      <c r="Q1" s="416"/>
      <c r="R1" s="416"/>
      <c r="S1" s="416"/>
      <c r="T1" s="416"/>
      <c r="U1" s="416"/>
      <c r="V1" s="416"/>
      <c r="W1" s="416"/>
    </row>
    <row r="2">
      <c r="A2" s="417" t="s">
        <v>8946</v>
      </c>
      <c r="B2" s="417" t="s">
        <v>8947</v>
      </c>
      <c r="C2" s="120" t="s">
        <v>8948</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8949</v>
      </c>
      <c r="F2" s="211" t="str">
        <f>IFERROR(__xludf.DUMMYFUNCTION("GOOGLETRANSLATE(B2,""zh-tw"",""en"")"),"1 - Search for ""NVIDIA APP install"" on Google and launch the NVIDIA application.")</f>
        <v>1 - Search for "NVIDIA APP install" on Google and launch the NVIDIA application.</v>
      </c>
      <c r="G2" s="449" t="s">
        <v>8950</v>
      </c>
      <c r="H2" s="418" t="str">
        <f>IFERROR(__xludf.DUMMYFUNCTION("GOOGLETRANSLATE(B2,""zh-tw"",""zh"")"),"1 - 在google上搜寻 NVIDIA APP安装，并启动 NVIDIA 应用程式。")</f>
        <v>1 - 在google上搜寻 NVIDIA APP安装，并启动 NVIDIA 应用程式。</v>
      </c>
      <c r="I2" s="419" t="s">
        <v>8951</v>
      </c>
      <c r="J2" s="419" t="s">
        <v>8952</v>
      </c>
      <c r="K2" s="190" t="s">
        <v>8953</v>
      </c>
      <c r="L2" s="190" t="s">
        <v>8954</v>
      </c>
      <c r="M2" s="450" t="s">
        <v>8955</v>
      </c>
      <c r="N2" s="450" t="s">
        <v>8956</v>
      </c>
      <c r="O2" s="153"/>
      <c r="P2" s="153"/>
      <c r="Q2" s="153"/>
      <c r="R2" s="153"/>
      <c r="S2" s="153"/>
      <c r="T2" s="153"/>
      <c r="U2" s="153"/>
      <c r="V2" s="153"/>
      <c r="W2" s="153"/>
    </row>
    <row r="3">
      <c r="A3" s="417" t="s">
        <v>8957</v>
      </c>
      <c r="B3" s="417" t="s">
        <v>8958</v>
      </c>
      <c r="C3" s="120" t="s">
        <v>8959</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8960</v>
      </c>
      <c r="F3" s="211" t="str">
        <f>IFERROR(__xludf.DUMMYFUNCTION("GOOGLETRANSLATE(B3,""zh-tw"",""en"")"),"2 - Restart the NVIDIA application after updating to the latest version.")</f>
        <v>2 - Restart the NVIDIA application after updating to the latest version.</v>
      </c>
      <c r="G3" s="449" t="s">
        <v>8961</v>
      </c>
      <c r="H3" s="418" t="str">
        <f>IFERROR(__xludf.DUMMYFUNCTION("GOOGLETRANSLATE(B3,""zh-tw"",""zh"")"),"2 - 在更新至最新版本后重新启动 NVIDIA 应用程式。")</f>
        <v>2 - 在更新至最新版本后重新启动 NVIDIA 应用程式。</v>
      </c>
      <c r="I3" s="419" t="s">
        <v>8962</v>
      </c>
      <c r="J3" s="419" t="s">
        <v>8963</v>
      </c>
      <c r="K3" s="190" t="s">
        <v>8964</v>
      </c>
      <c r="L3" s="190" t="s">
        <v>8965</v>
      </c>
      <c r="M3" s="450" t="s">
        <v>8966</v>
      </c>
      <c r="N3" s="450" t="s">
        <v>8967</v>
      </c>
      <c r="O3" s="153"/>
      <c r="P3" s="153"/>
      <c r="Q3" s="153"/>
      <c r="R3" s="153"/>
      <c r="S3" s="153"/>
      <c r="T3" s="153"/>
      <c r="U3" s="153"/>
      <c r="V3" s="153"/>
      <c r="W3" s="153"/>
    </row>
    <row r="4">
      <c r="A4" s="417" t="s">
        <v>8968</v>
      </c>
      <c r="B4" s="417" t="s">
        <v>8969</v>
      </c>
      <c r="C4" s="120" t="s">
        <v>8970</v>
      </c>
      <c r="D4" s="120" t="str">
        <f>IFERROR(__xludf.DUMMYFUNCTION("GOOGLETRANSLATE(B4,""zh-tw"",""ja"")"),"3 - NVIDIA アプリケーションで、グラフィック設定領域に移動します。")</f>
        <v>3 - NVIDIA アプリケーションで、グラフィック設定領域に移動します。</v>
      </c>
      <c r="E4" s="448" t="s">
        <v>8971</v>
      </c>
      <c r="F4" s="211" t="str">
        <f>IFERROR(__xludf.DUMMYFUNCTION("GOOGLETRANSLATE(B4,""zh-tw"",""en"")"),"3 - In the NVIDIA application, go to the graphics settings area.")</f>
        <v>3 - In the NVIDIA application, go to the graphics settings area.</v>
      </c>
      <c r="G4" s="449" t="s">
        <v>8972</v>
      </c>
      <c r="H4" s="418" t="str">
        <f>IFERROR(__xludf.DUMMYFUNCTION("GOOGLETRANSLATE(B4,""zh-tw"",""zh"")"),"3 - 在NVIDIA应用程式中，进入图形设置区域。")</f>
        <v>3 - 在NVIDIA应用程式中，进入图形设置区域。</v>
      </c>
      <c r="I4" s="419" t="s">
        <v>8973</v>
      </c>
      <c r="J4" s="419" t="s">
        <v>8974</v>
      </c>
      <c r="K4" s="190" t="s">
        <v>8975</v>
      </c>
      <c r="L4" s="190" t="s">
        <v>8976</v>
      </c>
      <c r="M4" s="450" t="s">
        <v>8977</v>
      </c>
      <c r="N4" s="450" t="s">
        <v>8978</v>
      </c>
      <c r="O4" s="153"/>
      <c r="P4" s="153"/>
      <c r="Q4" s="153"/>
      <c r="R4" s="153"/>
      <c r="S4" s="153"/>
      <c r="T4" s="153"/>
      <c r="U4" s="153"/>
      <c r="V4" s="153"/>
      <c r="W4" s="153"/>
    </row>
    <row r="5">
      <c r="A5" s="417" t="s">
        <v>8979</v>
      </c>
      <c r="B5" s="417" t="s">
        <v>8980</v>
      </c>
      <c r="C5" s="120" t="s">
        <v>8981</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8982</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8983</v>
      </c>
      <c r="H5" s="418" t="str">
        <f>IFERROR(__xludf.DUMMYFUNCTION("GOOGLETRANSLATE(B5,""zh-tw"",""zh"")"),"4 - 在「程式设定」中点击三个点，选择「新增程式」，然后寻找游戏的执行档。")</f>
        <v>4 - 在「程式设定」中点击三个点，选择「新增程式」，然后寻找游戏的执行档。</v>
      </c>
      <c r="I5" s="419" t="s">
        <v>8984</v>
      </c>
      <c r="J5" s="419" t="s">
        <v>8985</v>
      </c>
      <c r="K5" s="190" t="s">
        <v>8986</v>
      </c>
      <c r="L5" s="190" t="s">
        <v>8987</v>
      </c>
      <c r="M5" s="450" t="s">
        <v>8988</v>
      </c>
      <c r="N5" s="450" t="s">
        <v>8989</v>
      </c>
      <c r="O5" s="153"/>
      <c r="P5" s="153"/>
      <c r="Q5" s="153"/>
      <c r="R5" s="153"/>
      <c r="S5" s="153"/>
      <c r="T5" s="153"/>
      <c r="U5" s="153"/>
      <c r="V5" s="153"/>
      <c r="W5" s="153"/>
    </row>
    <row r="6">
      <c r="A6" s="417" t="s">
        <v>8990</v>
      </c>
      <c r="B6" s="417" t="s">
        <v>8991</v>
      </c>
      <c r="C6" s="120" t="s">
        <v>8992</v>
      </c>
      <c r="D6" s="120" t="str">
        <f>IFERROR(__xludf.DUMMYFUNCTION("GOOGLETRANSLATE(B6,""zh-tw"",""ja"")"),"5 - 「低遅延モード」を「超高」に、「電源管理モード」を「最適電力」に設定します。")</f>
        <v>5 - 「低遅延モード」を「超高」に、「電源管理モード」を「最適電力」に設定します。</v>
      </c>
      <c r="E6" s="448" t="s">
        <v>8993</v>
      </c>
      <c r="F6" s="211" t="str">
        <f>IFERROR(__xludf.DUMMYFUNCTION("GOOGLETRANSLATE(B6,""zh-tw"",""en"")"),"5 - Set ""Low Latency Mode"" to ""Ultra High"" and ""Power Management Mode"" to ""Optimal Power"".")</f>
        <v>5 - Set "Low Latency Mode" to "Ultra High" and "Power Management Mode" to "Optimal Power".</v>
      </c>
      <c r="G6" s="449" t="s">
        <v>8994</v>
      </c>
      <c r="H6" s="418" t="str">
        <f>IFERROR(__xludf.DUMMYFUNCTION("GOOGLETRANSLATE(B6,""zh-tw"",""zh"")"),"5 - 将「低延迟模式」设为「超高」，电源管理模式设为「最佳电源」。")</f>
        <v>5 - 将「低延迟模式」设为「超高」，电源管理模式设为「最佳电源」。</v>
      </c>
      <c r="I6" s="419" t="s">
        <v>8995</v>
      </c>
      <c r="J6" s="419" t="s">
        <v>8996</v>
      </c>
      <c r="K6" s="190" t="s">
        <v>8997</v>
      </c>
      <c r="L6" s="190" t="s">
        <v>8998</v>
      </c>
      <c r="M6" s="450" t="s">
        <v>8999</v>
      </c>
      <c r="N6" s="450" t="s">
        <v>9000</v>
      </c>
      <c r="O6" s="153"/>
      <c r="P6" s="153"/>
      <c r="Q6" s="153"/>
      <c r="R6" s="153"/>
      <c r="S6" s="153"/>
      <c r="T6" s="153"/>
      <c r="U6" s="153"/>
      <c r="V6" s="153"/>
      <c r="W6" s="153"/>
    </row>
    <row r="7">
      <c r="A7" s="417" t="s">
        <v>9001</v>
      </c>
      <c r="B7" s="417" t="s">
        <v>9002</v>
      </c>
      <c r="C7" s="120" t="s">
        <v>9003</v>
      </c>
      <c r="D7" s="120" t="str">
        <f>IFERROR(__xludf.DUMMYFUNCTION("GOOGLETRANSLATE(B7,""zh-tw"",""ja"")"),"6-「垂直同期」を「高速」に設定します。")</f>
        <v>6-「垂直同期」を「高速」に設定します。</v>
      </c>
      <c r="E7" s="448" t="s">
        <v>9004</v>
      </c>
      <c r="F7" s="211" t="str">
        <f>IFERROR(__xludf.DUMMYFUNCTION("GOOGLETRANSLATE(B7,""zh-tw"",""en"")"),"6- Set ""Vertical Sync"" to ""Fast"".")</f>
        <v>6- Set "Vertical Sync" to "Fast".</v>
      </c>
      <c r="G7" s="449" t="s">
        <v>9005</v>
      </c>
      <c r="H7" s="418" t="str">
        <f>IFERROR(__xludf.DUMMYFUNCTION("GOOGLETRANSLATE(B7,""zh-tw"",""zh"")"),"6- 将「垂直同步」设为「快速」。")</f>
        <v>6- 将「垂直同步」设为「快速」。</v>
      </c>
      <c r="I7" s="419" t="s">
        <v>9006</v>
      </c>
      <c r="J7" s="419" t="s">
        <v>9007</v>
      </c>
      <c r="K7" s="190" t="s">
        <v>9008</v>
      </c>
      <c r="L7" s="190" t="s">
        <v>9009</v>
      </c>
      <c r="M7" s="450" t="s">
        <v>9010</v>
      </c>
      <c r="N7" s="450" t="s">
        <v>9011</v>
      </c>
      <c r="O7" s="153"/>
      <c r="P7" s="153"/>
      <c r="Q7" s="153"/>
      <c r="R7" s="153"/>
      <c r="S7" s="153"/>
      <c r="T7" s="153"/>
      <c r="U7" s="153"/>
      <c r="V7" s="153"/>
      <c r="W7" s="153"/>
    </row>
    <row r="8">
      <c r="A8" s="417" t="s">
        <v>9012</v>
      </c>
      <c r="B8" s="417" t="s">
        <v>9013</v>
      </c>
      <c r="C8" s="120" t="s">
        <v>9014</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9015</v>
      </c>
      <c r="F8" s="211" t="str">
        <f>IFERROR(__xludf.DUMMYFUNCTION("GOOGLETRANSLATE(B8,""zh-tw"",""en"")"),"7 - If your computer cannot handle these options, please choose the best option.")</f>
        <v>7 - If your computer cannot handle these options, please choose the best option.</v>
      </c>
      <c r="G8" s="449" t="s">
        <v>9016</v>
      </c>
      <c r="H8" s="418" t="str">
        <f>IFERROR(__xludf.DUMMYFUNCTION("GOOGLETRANSLATE(B8,""zh-tw"",""zh"")"),"7 - 如果你的电脑无法负荷这些选项，请依照最佳的选项即可。")</f>
        <v>7 - 如果你的电脑无法负荷这些选项，请依照最佳的选项即可。</v>
      </c>
      <c r="I8" s="419" t="s">
        <v>9017</v>
      </c>
      <c r="J8" s="419" t="s">
        <v>9018</v>
      </c>
      <c r="K8" s="190" t="s">
        <v>9019</v>
      </c>
      <c r="L8" s="190" t="s">
        <v>9020</v>
      </c>
      <c r="M8" s="450" t="s">
        <v>9021</v>
      </c>
      <c r="N8" s="450" t="s">
        <v>9022</v>
      </c>
      <c r="O8" s="153"/>
      <c r="P8" s="153"/>
      <c r="Q8" s="153"/>
      <c r="R8" s="153"/>
      <c r="S8" s="153"/>
      <c r="T8" s="153"/>
      <c r="U8" s="153"/>
      <c r="V8" s="153"/>
      <c r="W8" s="153"/>
    </row>
    <row r="9">
      <c r="A9" s="417" t="s">
        <v>9023</v>
      </c>
      <c r="B9" s="417" t="s">
        <v>9024</v>
      </c>
      <c r="C9" s="120" t="s">
        <v>9025</v>
      </c>
      <c r="D9" s="120" t="str">
        <f>IFERROR(__xludf.DUMMYFUNCTION("GOOGLETRANSLATE(B9,""zh-tw"",""ja"")"),"8- ゲームを起動すると、その優れた安定性を体験できます。")</f>
        <v>8- ゲームを起動すると、その優れた安定性を体験できます。</v>
      </c>
      <c r="E9" s="448" t="s">
        <v>9026</v>
      </c>
      <c r="F9" s="211" t="str">
        <f>IFERROR(__xludf.DUMMYFUNCTION("GOOGLETRANSLATE(B9,""zh-tw"",""en"")"),"8- Now, launch the game and you will experience its excellent stability.")</f>
        <v>8- Now, launch the game and you will experience its excellent stability.</v>
      </c>
      <c r="G9" s="449" t="s">
        <v>9027</v>
      </c>
      <c r="H9" s="418" t="str">
        <f>IFERROR(__xludf.DUMMYFUNCTION("GOOGLETRANSLATE(B9,""zh-tw"",""zh"")"),"8- 现在，将游戏启动，你能体验到良好的稳定性能。")</f>
        <v>8- 现在，将游戏启动，你能体验到良好的稳定性能。</v>
      </c>
      <c r="I9" s="419" t="s">
        <v>9028</v>
      </c>
      <c r="J9" s="419" t="s">
        <v>9029</v>
      </c>
      <c r="K9" s="190" t="s">
        <v>9030</v>
      </c>
      <c r="L9" s="190" t="s">
        <v>9031</v>
      </c>
      <c r="M9" s="450" t="s">
        <v>9026</v>
      </c>
      <c r="N9" s="450" t="s">
        <v>9032</v>
      </c>
      <c r="O9" s="153"/>
      <c r="P9" s="153"/>
      <c r="Q9" s="153"/>
      <c r="R9" s="153"/>
      <c r="S9" s="153"/>
      <c r="T9" s="153"/>
      <c r="U9" s="153"/>
      <c r="V9" s="153"/>
      <c r="W9" s="153"/>
    </row>
    <row r="10">
      <c r="A10" s="417"/>
      <c r="B10" s="451" t="s">
        <v>9033</v>
      </c>
      <c r="C10" s="184"/>
      <c r="D10" s="452" t="s">
        <v>9034</v>
      </c>
      <c r="E10" s="453"/>
      <c r="F10" s="454" t="s">
        <v>8917</v>
      </c>
      <c r="G10" s="418"/>
      <c r="H10" s="455" t="s">
        <v>9035</v>
      </c>
      <c r="I10" s="456"/>
      <c r="J10" s="457" t="s">
        <v>8919</v>
      </c>
      <c r="K10" s="191"/>
      <c r="L10" s="427" t="str">
        <f>HYPERLINK("https://www.youtube.com/watch?v=9NSNcMB5M2o&amp;ab_channel=gabrielb", "Video Youtube tham khảo")</f>
        <v>Video Youtube tham khảo</v>
      </c>
      <c r="M10" s="458"/>
      <c r="N10" s="459" t="s">
        <v>9036</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