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human translation</t>
      </text>
    </commen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C84">
      <text>
        <t xml:space="preserve">Human Translation</t>
      </text>
    </comment>
    <comment authorId="0" ref="B85">
      <text>
        <t xml:space="preserve">Human Translator</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 authorId="0" ref="B113">
      <text>
        <t xml:space="preserve">Human Translator</t>
      </text>
    </comment>
    <comment authorId="0" ref="C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D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C78">
      <text>
        <t xml:space="preserve">Human Translator</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<sst xmlns="http://schemas.openxmlformats.org/spreadsheetml/2006/main" count="8519" uniqueCount="7122">
  <si>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</si>
  <si>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</si>
  <si>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</si>
  <si>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</si>
  <si>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</si>
  <si>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</si>
  <si>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</si>
  <si>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</si>
  <si>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</si>
  <si>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</si>
  <si>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</si>
  <si>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</si>
  <si>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</si>
  <si>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</si>
  <si>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</si>
  <si>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</si>
  <si>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</si>
  <si>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</si>
  <si>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</si>
  <si>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</si>
  <si>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</si>
  <si>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</si>
  <si>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</si>
  <si>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</si>
  <si>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</si>
  <si>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</si>
  <si>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</si>
  <si>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</si>
  <si>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</si>
  <si>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</si>
  <si>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</si>
  <si>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</si>
  <si>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</si>
  <si>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</si>
  <si>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</si>
  <si>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</si>
  <si>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</si>
  <si>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</si>
  <si>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</si>
  <si>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</si>
  <si>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</si>
  <si>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</si>
  <si>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</si>
  <si>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</si>
  <si>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</si>
  <si>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</si>
  <si>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</si>
  <si>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</si>
  <si>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</si>
  <si>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</si>
  <si>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</si>
  <si>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</si>
  <si>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</si>
  <si>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</si>
  <si>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</si>
  <si>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</si>
  <si>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</si>
  <si>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</si>
  <si>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</si>
  <si>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</si>
  <si>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</si>
  <si>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</si>
  <si>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</si>
  <si>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</si>
  <si>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</si>
  <si>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</si>
  <si>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</si>
  <si>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</si>
  <si>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</si>
  <si>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</si>
  <si>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</si>
  <si>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</si>
  <si>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</si>
  <si>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</si>
  <si>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</si>
  <si>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</si>
  <si>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</si>
  <si>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</si>
  <si>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</si>
  <si>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</si>
  <si>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</si>
  <si>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</si>
  <si>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</si>
  <si>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</si>
  <si>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</si>
  <si>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</si>
  <si>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</si>
  <si>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</si>
  <si>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</si>
  <si>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</si>
  <si>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</si>
  <si>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</si>
  <si>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</si>
  <si>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</si>
  <si>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</si>
  <si>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</si>
  <si>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</si>
  <si>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</si>
  <si>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</si>
  <si>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</si>
  <si>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</si>
  <si>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</si>
  <si>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</si>
  <si>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</si>
  <si>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</si>
  <si>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</si>
  <si>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</si>
  <si>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</si>
  <si>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</si>
  <si>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</si>
  <si>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</si>
  <si>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</si>
  <si>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</si>
  <si>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</si>
  <si>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</si>
  <si>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</si>
  <si>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</si>
  <si>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</si>
  <si>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</si>
  <si>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</si>
  <si>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</si>
  <si>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</si>
  <si>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</si>
  <si>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</si>
  <si>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</si>
  <si>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</si>
  <si>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</si>
  <si>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</si>
  <si>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</si>
  <si>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</si>
  <si>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</si>
  <si>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</si>
  <si>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</si>
  <si>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</si>
  <si>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</si>
  <si>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</si>
  <si>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</si>
  <si>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</si>
  <si>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</si>
  <si>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</si>
  <si>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</si>
  <si>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</si>
  <si>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</si>
  <si>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</si>
  <si>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</si>
  <si>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</si>
  <si>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</si>
  <si>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</si>
  <si>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</si>
  <si>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</si>
  <si>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</si>
  <si>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</si>
  <si>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</si>
  <si>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</si>
  <si>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</si>
  <si>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</si>
  <si>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</si>
  <si>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</si>
  <si>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</si>
  <si>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</si>
  <si>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</si>
  <si>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</si>
  <si>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</si>
  <si>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</si>
  <si>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</si>
  <si>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</si>
  <si>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</si>
  <si>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</si>
  <si>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</si>
  <si>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</si>
  <si>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</si>
  <si>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</si>
  <si>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</si>
  <si>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</si>
  <si>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</si>
  <si>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</si>
  <si>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</si>
  <si>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</si>
  <si>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</si>
  <si>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</si>
  <si>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</si>
  <si>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</si>
  <si>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</si>
  <si>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</si>
  <si>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</si>
  <si>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</si>
  <si>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</si>
  <si>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</si>
  <si>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</si>
  <si>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</si>
  <si>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</si>
  <si>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</si>
  <si>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</si>
  <si>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</si>
  <si>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</si>
  <si>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</si>
  <si>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</si>
  <si>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</si>
  <si>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</si>
  <si>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</si>
  <si>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</si>
  <si>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</si>
  <si>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</si>
  <si>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</si>
  <si>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</si>
  <si>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</si>
  <si>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</si>
  <si>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</si>
  <si>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</si>
  <si>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</si>
  <si>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</si>
  <si>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</si>
  <si>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</si>
  <si>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</si>
  <si>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</si>
  <si>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</si>
  <si>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</si>
  <si>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</si>
  <si>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</si>
  <si>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</si>
  <si>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</si>
  <si>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</si>
  <si>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</si>
  <si>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</si>
  <si>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</si>
  <si>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</si>
  <si>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</si>
  <si>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</si>
  <si>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</si>
  <si>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</si>
  <si>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</si>
  <si>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</si>
  <si>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</si>
  <si>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</si>
  <si>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</si>
  <si>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</si>
  <si>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</si>
  <si>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</si>
  <si>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</si>
  <si>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</si>
  <si>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</si>
  <si>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</si>
  <si>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</si>
  <si>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</si>
  <si>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</si>
  <si>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</si>
  <si>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</si>
  <si>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</si>
  <si>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</si>
  <si>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</si>
  <si>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</si>
  <si>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</si>
  <si>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</si>
  <si>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</si>
  <si>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</si>
  <si>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</si>
  <si>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</si>
  <si>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</si>
  <si>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</si>
  <si>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</si>
  <si>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</si>
  <si>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</si>
  <si>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</si>
  <si>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</si>
  <si>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</si>
  <si>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</si>
  <si>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</si>
  <si>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</si>
  <si>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</si>
  <si>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</si>
  <si>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</si>
  <si>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</si>
  <si>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</si>
  <si>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</si>
  <si>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</si>
  <si>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</si>
  <si>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</si>
  <si>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</si>
  <si>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</si>
  <si>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</si>
  <si>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</si>
  <si>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</si>
  <si>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</si>
  <si>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</si>
  <si>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</si>
  <si>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</si>
  <si>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</si>
  <si>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</si>
  <si>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</si>
  <si>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</si>
  <si>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</si>
  <si>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</si>
  <si>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</si>
  <si>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</si>
  <si>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</si>
  <si>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</si>
  <si>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</si>
  <si>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</si>
  <si>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</si>
  <si>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</si>
  <si>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</si>
  <si>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</si>
  <si>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</si>
  <si>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</si>
  <si>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</si>
  <si>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</si>
  <si>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</si>
  <si>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</si>
  <si>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</si>
  <si>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</si>
  <si>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</si>
  <si>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</si>
  <si>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</si>
  <si>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</si>
  <si>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</si>
  <si>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</si>
  <si>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</si>
  <si>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</si>
  <si>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</si>
  <si>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</si>
  <si>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</si>
  <si>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</si>
  <si>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</si>
  <si>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</si>
  <si>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</si>
  <si>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</si>
  <si>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</si>
  <si>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</si>
  <si>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</si>
  <si>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</si>
  <si>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</si>
  <si>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</si>
  <si>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</si>
  <si>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</si>
  <si>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</si>
  <si>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</si>
  <si>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</si>
  <si>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</si>
  <si>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</si>
  <si>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</si>
  <si>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</si>
  <si>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</si>
  <si>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</si>
  <si>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</si>
  <si>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</si>
  <si>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</si>
  <si>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</si>
  <si>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</si>
  <si>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</si>
  <si>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</si>
  <si>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</si>
  <si>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</si>
  <si>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</si>
  <si>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</si>
  <si>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</si>
  <si>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</si>
  <si>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</si>
  <si>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</si>
  <si>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</si>
  <si>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</si>
  <si>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</si>
  <si>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</si>
  <si>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</si>
  <si>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</si>
  <si>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</si>
  <si>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</si>
  <si>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</si>
  <si>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</si>
  <si>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</si>
  <si>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</si>
  <si>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</si>
  <si>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</si>
  <si>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</si>
  <si>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</si>
  <si>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</si>
  <si>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</si>
  <si>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</si>
  <si>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</si>
  <si>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</si>
  <si>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</si>
  <si>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</si>
  <si>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</si>
  <si>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</si>
  <si>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</si>
  <si>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</si>
  <si>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</si>
  <si>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</si>
  <si>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</si>
  <si>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</si>
  <si>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</si>
  <si>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</si>
  <si>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</si>
  <si>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</si>
  <si>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</si>
  <si>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</si>
  <si>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</si>
  <si>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</si>
  <si>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</si>
  <si>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</si>
  <si>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</si>
  <si>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</si>
  <si>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</si>
  <si>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</si>
  <si>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</si>
  <si>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</si>
  <si>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</si>
  <si>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</si>
  <si>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</si>
  <si>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</si>
  <si>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</si>
  <si>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</si>
  <si>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</si>
  <si>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</si>
  <si>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</si>
  <si>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</si>
  <si>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</si>
  <si>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</si>
  <si>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</si>
  <si>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</si>
  <si>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</si>
  <si>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</si>
  <si>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</si>
  <si>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</si>
  <si>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</si>
  <si>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</si>
  <si>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</si>
  <si>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</si>
  <si>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</si>
  <si>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</si>
  <si>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</si>
  <si>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</si>
  <si>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</si>
  <si>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</si>
  <si>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</si>
  <si>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</si>
  <si>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</si>
  <si>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</si>
  <si>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</si>
  <si>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</si>
  <si>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</si>
  <si>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</si>
  <si>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</si>
  <si>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</si>
  <si>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</si>
  <si>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</si>
  <si>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</si>
  <si>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</si>
  <si>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</si>
  <si>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</si>
  <si>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</si>
  <si>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</si>
  <si>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</si>
  <si>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</si>
  <si>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</si>
  <si>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</si>
  <si>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</si>
  <si>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</si>
  <si>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</si>
  <si>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</si>
  <si>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</si>
  <si>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</si>
  <si>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</si>
  <si>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</si>
  <si>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</si>
  <si>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</si>
  <si>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</si>
  <si>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</si>
  <si>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</si>
  <si>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</si>
  <si>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</si>
  <si>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</si>
  <si>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</si>
  <si>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</si>
  <si>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</si>
  <si>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</si>
  <si>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</si>
  <si>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</si>
  <si>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</si>
  <si>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</si>
  <si>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</si>
  <si>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</si>
  <si>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</si>
  <si>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</si>
  <si>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</si>
  <si>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</si>
  <si>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</si>
  <si>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</si>
  <si>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</si>
  <si>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</si>
  <si>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</si>
  <si>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</si>
  <si>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</si>
  <si>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</si>
  <si>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</si>
  <si>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</si>
  <si>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</si>
  <si>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</si>
  <si>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</si>
  <si>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</si>
  <si>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</si>
  <si>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</si>
  <si>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</si>
  <si>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</si>
  <si>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</si>
  <si>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</si>
  <si>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</si>
  <si>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</si>
  <si>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</si>
  <si>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</si>
  <si>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</si>
  <si>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</si>
  <si>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</si>
  <si>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</si>
  <si>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</si>
  <si>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</si>
  <si>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</si>
  <si>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</si>
  <si>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</si>
  <si>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</si>
  <si>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</si>
  <si>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</si>
  <si>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</si>
  <si>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</si>
  <si>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</si>
  <si>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</si>
  <si>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</si>
  <si>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</si>
  <si>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</si>
  <si>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</si>
  <si>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</si>
  <si>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</si>
  <si>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</si>
  <si>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</si>
  <si>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</si>
  <si>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</si>
  <si>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</si>
  <si>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</si>
  <si>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</si>
  <si>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</si>
  <si>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</si>
  <si>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</si>
  <si>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</si>
  <si>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</si>
  <si>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</si>
  <si>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</si>
  <si>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</si>
  <si>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</si>
  <si>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</si>
  <si>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</si>
  <si>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</si>
  <si>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</si>
  <si>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</si>
  <si>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</si>
  <si>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</si>
  <si>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</si>
  <si>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</si>
  <si>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</si>
  <si>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</si>
  <si>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</si>
  <si>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</si>
  <si>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</si>
  <si>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</si>
  <si>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</si>
  <si>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</si>
  <si>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</si>
  <si>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</si>
  <si>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</si>
  <si>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</si>
  <si>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</si>
  <si>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</si>
  <si>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</si>
  <si>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</si>
  <si>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</si>
  <si>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</si>
  <si>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</si>
  <si>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</si>
  <si>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</si>
  <si>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</si>
  <si>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</si>
  <si>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</si>
  <si>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</si>
  <si>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</si>
  <si>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</si>
  <si>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</si>
  <si>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</si>
  <si>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</si>
  <si>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</si>
  <si>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</si>
  <si>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</si>
  <si>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</si>
  <si>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</si>
  <si>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</si>
  <si>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</si>
  <si>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</si>
  <si>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</si>
  <si>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</si>
  <si>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</si>
  <si>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</si>
  <si>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</si>
  <si>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</si>
  <si>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</si>
  <si>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</si>
  <si>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</si>
  <si>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</si>
  <si>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</si>
  <si>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</si>
  <si>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</si>
  <si>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</si>
  <si>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</si>
  <si>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</si>
  <si>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</si>
  <si>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</si>
  <si>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</si>
  <si>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</si>
  <si>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</si>
  <si>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</si>
  <si>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</si>
  <si>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</si>
  <si>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</si>
  <si>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</si>
  <si>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</si>
  <si>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</si>
  <si>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</si>
  <si>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</si>
  <si>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</si>
  <si>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</si>
  <si>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</si>
  <si>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</si>
  <si>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</si>
  <si>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</si>
  <si>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</si>
  <si>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</si>
  <si>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</si>
  <si>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</si>
  <si>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</si>
  <si>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</si>
  <si>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</si>
  <si>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</si>
  <si>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</si>
  <si>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</si>
  <si>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</si>
  <si>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</si>
  <si>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</si>
  <si>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</si>
  <si>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</si>
  <si>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</si>
  <si>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</si>
  <si>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</si>
  <si>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</si>
  <si>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</si>
  <si>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</si>
  <si>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</si>
  <si>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</si>
  <si>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</si>
  <si>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</si>
  <si>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</si>
  <si>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</si>
  <si>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</si>
  <si>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</si>
  <si>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</si>
  <si>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</si>
  <si>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</si>
  <si>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</si>
  <si>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</si>
  <si>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</si>
  <si>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</si>
  <si>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</si>
  <si>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</si>
  <si>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</si>
  <si>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</si>
  <si>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</si>
  <si>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</si>
  <si>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</si>
  <si>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</si>
  <si>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</si>
  <si>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</si>
  <si>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</si>
  <si>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</si>
  <si>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</si>
  <si>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</si>
  <si>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</si>
  <si>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</si>
  <si>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</si>
  <si>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</si>
  <si>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</si>
  <si>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</si>
  <si>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</si>
  <si>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</si>
  <si>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</si>
  <si>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</si>
  <si>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</si>
  <si>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</si>
  <si>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</si>
  <si>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</si>
  <si>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</si>
  <si>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</si>
  <si>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</si>
  <si>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</si>
  <si>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</si>
  <si>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</si>
  <si>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</si>
  <si>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</si>
  <si>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</si>
  <si>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</si>
  <si>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</si>
  <si>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</si>
  <si>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</si>
  <si>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</si>
  <si>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</si>
  <si>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</si>
  <si>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</si>
  <si>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</si>
  <si>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</si>
  <si>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</si>
  <si>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</si>
  <si>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</si>
  <si>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</si>
  <si>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</si>
  <si>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</si>
  <si>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</si>
  <si>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</si>
  <si>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</si>
  <si>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</si>
  <si>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</si>
  <si>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</si>
  <si>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</si>
  <si>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</si>
  <si>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</si>
  <si>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</si>
  <si>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</si>
  <si>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</si>
  <si>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</si>
  <si>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</si>
  <si>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</si>
  <si>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</si>
  <si>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</si>
  <si>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</si>
  <si>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</si>
  <si>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</si>
  <si>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</si>
  <si>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</si>
  <si>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</si>
  <si>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</si>
  <si>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</si>
  <si>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</si>
  <si>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</si>
  <si>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</si>
  <si>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</si>
  <si>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</si>
  <si>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</si>
  <si>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</si>
  <si>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</si>
  <si>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</si>
  <si>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</si>
  <si>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</si>
  <si>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</si>
  <si>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</si>
  <si>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</si>
  <si>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</si>
  <si>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</si>
  <si>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</si>
  <si>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</si>
  <si>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</si>
  <si>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</si>
  <si>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</si>
  <si>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</si>
  <si>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</si>
  <si>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</si>
  <si>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</si>
  <si>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</si>
  <si>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</si>
  <si>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</si>
  <si>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</si>
  <si>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</si>
  <si>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</si>
  <si>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</si>
  <si>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</si>
  <si>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</si>
  <si>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</si>
  <si>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</si>
  <si>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</si>
  <si>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</si>
  <si>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</si>
  <si>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</si>
  <si>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</si>
  <si>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</si>
  <si>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</si>
  <si>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</si>
  <si>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</si>
  <si>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</si>
  <si>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</si>
  <si>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</si>
  <si>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</si>
  <si>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</si>
  <si>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</si>
  <si>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</si>
  <si>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</si>
  <si>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</si>
  <si>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</si>
  <si>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</si>
  <si>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</si>
  <si>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</si>
  <si>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</si>
  <si>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</si>
  <si>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</si>
  <si>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</si>
  <si>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</si>
  <si>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</si>
  <si>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</si>
  <si>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</si>
  <si>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</si>
  <si>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</si>
  <si>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</si>
  <si>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</si>
  <si>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</si>
  <si>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</si>
  <si>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</si>
  <si>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</si>
  <si>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</si>
  <si>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</si>
  <si>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</si>
  <si>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</si>
  <si>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</si>
  <si>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</si>
  <si>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</si>
  <si>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</si>
  <si>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</si>
  <si>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</si>
  <si>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</si>
  <si>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</si>
  <si>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</si>
  <si>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</si>
  <si>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</si>
  <si>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</si>
  <si>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</si>
  <si>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</si>
  <si>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</si>
  <si>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</si>
  <si>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</si>
  <si>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</si>
  <si>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</si>
  <si>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</si>
  <si>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</si>
  <si>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</si>
  <si>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</si>
  <si>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</si>
  <si>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</si>
  <si>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</si>
  <si>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</si>
  <si>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</si>
  <si>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</si>
  <si>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</si>
  <si>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</si>
  <si>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</si>
  <si>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</si>
  <si>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</si>
  <si>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</si>
  <si>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</si>
  <si>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</si>
  <si>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</si>
  <si>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</si>
  <si>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</si>
  <si>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</si>
  <si>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</si>
  <si>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</si>
  <si>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</si>
  <si>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</si>
  <si>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</si>
  <si>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</si>
  <si>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</si>
  <si>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</si>
  <si>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</si>
  <si>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</si>
  <si>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</si>
  <si>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</si>
  <si>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</si>
  <si>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</si>
  <si>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</si>
  <si>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</si>
  <si>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</si>
  <si>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</si>
  <si>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</si>
  <si>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</si>
  <si>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</si>
  <si>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</si>
  <si>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</si>
  <si>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</si>
  <si>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</si>
  <si>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</si>
  <si>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</si>
  <si>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</si>
  <si>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</si>
  <si>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</si>
  <si>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</si>
  <si>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</si>
  <si>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</si>
  <si>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</si>
  <si>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</si>
  <si>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</si>
  <si>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</si>
  <si>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</si>
  <si>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</si>
  <si>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</si>
  <si>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</si>
  <si>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</si>
  <si>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</si>
  <si>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</si>
  <si>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</si>
  <si>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</si>
  <si>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</si>
  <si>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</si>
  <si>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</si>
  <si>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</si>
  <si>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</si>
  <si>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</si>
  <si>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</si>
  <si>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</si>
  <si>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</si>
  <si>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</si>
  <si>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</si>
  <si>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</si>
  <si>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</si>
  <si>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</si>
  <si>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</si>
  <si>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</si>
  <si>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</si>
  <si>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</si>
  <si>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</si>
  <si>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</si>
  <si>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</si>
  <si>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</si>
  <si>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</si>
  <si>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</si>
  <si>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</si>
  <si>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</si>
  <si>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</si>
  <si>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</si>
  <si>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</si>
  <si>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</si>
  <si>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</si>
  <si>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</si>
  <si>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</si>
  <si>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</si>
  <si>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</si>
  <si>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</si>
  <si>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</si>
  <si>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</si>
  <si>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</si>
  <si>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</si>
  <si>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</si>
  <si>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</si>
  <si>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</si>
  <si>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</si>
  <si>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</si>
  <si>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</si>
  <si>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</si>
  <si>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</si>
  <si>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</si>
  <si>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</si>
  <si>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</si>
  <si>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</si>
  <si>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</si>
  <si>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</si>
  <si>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</si>
  <si>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</si>
  <si>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</si>
  <si>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</si>
  <si>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</si>
  <si>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</si>
  <si>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</si>
  <si>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</si>
  <si>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</si>
  <si>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</si>
  <si>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</si>
  <si>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</si>
  <si>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</si>
  <si>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</si>
  <si>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</si>
  <si>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</si>
  <si>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</si>
  <si>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</si>
  <si>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</si>
  <si>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</si>
  <si>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</si>
  <si>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</si>
  <si>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</si>
  <si>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</si>
  <si>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</si>
  <si>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</si>
  <si>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</si>
  <si>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</si>
  <si>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</si>
  <si>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</si>
  <si>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</si>
  <si>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</si>
  <si>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</si>
  <si>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</si>
  <si>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</si>
  <si>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</si>
  <si>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</si>
  <si>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</si>
  <si>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</si>
  <si>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</si>
  <si>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</si>
  <si>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</si>
  <si>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</si>
  <si>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</si>
  <si>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</si>
  <si>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</si>
  <si>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</si>
  <si>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</si>
  <si>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</si>
  <si>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</si>
  <si>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</si>
  <si>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</si>
  <si>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</si>
  <si>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</si>
  <si>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</si>
  <si>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</si>
  <si>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</si>
  <si>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</si>
  <si>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</si>
  <si>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</si>
  <si>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</si>
  <si>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</si>
  <si>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</si>
  <si>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</si>
  <si>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</si>
  <si>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</si>
  <si>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</si>
  <si>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</si>
  <si>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</si>
  <si>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</si>
  <si>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</si>
  <si>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</si>
  <si>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</si>
  <si>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</si>
  <si>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</si>
  <si>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</si>
  <si>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</si>
  <si>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</si>
  <si>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</si>
  <si>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</si>
  <si>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</si>
  <si>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</si>
  <si>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</si>
  <si>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</si>
  <si>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</si>
  <si>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</si>
  <si>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</si>
  <si>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</si>
  <si>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</si>
  <si>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</si>
  <si>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</si>
  <si>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</si>
  <si>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</si>
  <si>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</si>
  <si>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</si>
  <si>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</si>
  <si>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</si>
  <si>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</si>
  <si>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</si>
  <si>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</si>
  <si>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</si>
  <si>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</si>
  <si>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</si>
  <si>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</si>
  <si>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</si>
  <si>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</si>
  <si>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</si>
  <si>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</si>
  <si>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</si>
  <si>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</si>
  <si>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</si>
  <si>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</si>
  <si>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</si>
  <si>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</si>
  <si>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</si>
  <si>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</si>
  <si>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</si>
  <si>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</si>
  <si>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</si>
  <si>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</si>
  <si>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</si>
  <si>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</si>
  <si>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</si>
  <si>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</si>
  <si>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</si>
  <si>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</si>
  <si>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</si>
  <si>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</si>
  <si>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</si>
  <si>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</si>
  <si>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</si>
  <si>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</si>
  <si>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</si>
  <si>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</si>
  <si>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</si>
  <si>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</si>
  <si>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</si>
  <si>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</si>
  <si>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</si>
  <si>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</si>
  <si>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</si>
  <si>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</si>
  <si>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</si>
  <si>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</si>
  <si>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</si>
  <si>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</si>
  <si>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</si>
  <si>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</si>
  <si>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</si>
  <si>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</si>
  <si>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</si>
  <si>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</si>
  <si>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</si>
  <si>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</si>
  <si>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</si>
  <si>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</si>
  <si>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</si>
  <si>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</si>
  <si>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</si>
  <si>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</si>
  <si>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</si>
  <si>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</si>
  <si>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</si>
  <si>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</si>
  <si>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</si>
  <si>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</si>
  <si>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</si>
  <si>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</si>
  <si>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</si>
  <si>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</si>
  <si>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</si>
  <si>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</si>
  <si>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</si>
  <si>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</si>
  <si>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</si>
  <si>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</si>
  <si>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</si>
  <si>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</si>
  <si>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</si>
  <si>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</si>
  <si>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</si>
  <si>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</si>
  <si>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</si>
  <si>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</si>
  <si>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</si>
  <si>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</si>
  <si>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</si>
  <si>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</si>
  <si>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</si>
  <si>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</si>
  <si>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</si>
  <si>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</si>
  <si>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</si>
  <si>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</si>
  <si>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</si>
  <si>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</si>
  <si>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</si>
  <si>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</si>
  <si>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</si>
  <si>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</si>
  <si>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</si>
  <si>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</si>
  <si>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</si>
  <si>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</si>
  <si>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</si>
  <si>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</si>
  <si>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</si>
  <si>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</si>
  <si>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</si>
  <si>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</si>
  <si>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</si>
  <si>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</si>
  <si>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</si>
  <si>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</si>
  <si>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</si>
  <si>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</si>
  <si>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</si>
  <si>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</si>
  <si>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</si>
  <si>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</si>
  <si>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</si>
  <si>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</si>
  <si>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</si>
  <si>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</si>
  <si>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</si>
  <si>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</si>
  <si>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</si>
  <si>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</si>
  <si>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</si>
  <si>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</si>
  <si>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</si>
  <si>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</si>
  <si>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</si>
  <si>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</si>
  <si>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</si>
  <si>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</si>
  <si>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</si>
  <si>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</si>
  <si>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</si>
  <si>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</si>
  <si>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</si>
  <si>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</si>
  <si>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</si>
  <si>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</si>
  <si>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</si>
  <si>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</si>
  <si>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</si>
  <si>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</si>
  <si>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</si>
  <si>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</si>
  <si>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</si>
  <si>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</si>
  <si>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</si>
  <si>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</si>
  <si>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</si>
  <si>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</si>
  <si>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</si>
  <si>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</si>
  <si>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</si>
  <si>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</si>
  <si>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</si>
  <si>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</si>
  <si>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</si>
  <si>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</si>
  <si>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</si>
  <si>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</si>
  <si>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</si>
  <si>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</si>
  <si>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</si>
  <si>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</si>
  <si>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</si>
  <si>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</si>
  <si>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</si>
  <si>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</si>
  <si>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</si>
  <si>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</si>
  <si>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</si>
  <si>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</si>
  <si>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</si>
  <si>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</si>
  <si>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</si>
  <si>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</si>
  <si>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</si>
  <si>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</si>
  <si>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</si>
  <si>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</si>
  <si>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</si>
  <si>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</si>
  <si>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</si>
  <si>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</si>
  <si>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</si>
  <si>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</si>
  <si>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</si>
  <si>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</si>
  <si>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</si>
  <si>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</si>
  <si>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</si>
  <si>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</si>
  <si>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</si>
  <si>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</si>
  <si>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</si>
  <si>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</si>
  <si>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</si>
  <si>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</si>
  <si>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</si>
  <si>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</si>
  <si>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</si>
  <si>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</si>
  <si>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</si>
  <si>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</si>
  <si>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</si>
  <si>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</si>
  <si>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</si>
  <si>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</si>
  <si>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</si>
  <si>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</si>
  <si>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</si>
  <si>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</si>
  <si>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</si>
  <si>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</si>
  <si>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</si>
  <si>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</si>
  <si>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</si>
  <si>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</si>
  <si>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</si>
  <si>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</si>
  <si>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</si>
  <si>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</si>
  <si>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</si>
  <si>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</si>
  <si>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</si>
  <si>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</si>
  <si>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</si>
  <si>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</si>
  <si>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</si>
  <si>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</si>
  <si>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</si>
  <si>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</si>
  <si>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</si>
  <si>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</si>
  <si>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</si>
  <si>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</si>
  <si>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</si>
  <si>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</si>
  <si>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</si>
  <si>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</si>
  <si>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</si>
  <si>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</si>
  <si>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</si>
  <si>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</si>
  <si>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</si>
  <si>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</si>
  <si>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</si>
  <si>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</si>
  <si>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</si>
  <si>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</si>
  <si>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</si>
  <si>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</si>
  <si>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</si>
  <si>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</si>
  <si>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</si>
  <si>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</si>
  <si>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</si>
  <si>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</si>
  <si>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</si>
  <si>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</si>
  <si>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</si>
  <si>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</si>
  <si>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</si>
  <si>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</si>
  <si>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</si>
  <si>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</si>
  <si>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</si>
  <si>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</si>
  <si>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</si>
  <si>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</si>
  <si>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</si>
  <si>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</si>
  <si>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</si>
  <si>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</si>
  <si>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</si>
  <si>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</si>
  <si>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</si>
  <si>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</si>
  <si>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</si>
  <si>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</si>
  <si>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</si>
  <si>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</si>
  <si>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</si>
  <si>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</si>
  <si>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</si>
  <si>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</si>
  <si>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</si>
  <si>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</si>
  <si>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</si>
  <si>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</si>
  <si>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</si>
  <si>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</si>
  <si>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</si>
  <si>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</si>
  <si>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</si>
  <si>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</si>
  <si>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</si>
  <si>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</si>
  <si>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</si>
  <si>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</si>
  <si>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</si>
  <si>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</si>
  <si>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</si>
  <si>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</si>
  <si>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</si>
  <si>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</si>
  <si>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</si>
  <si>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</si>
  <si>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</si>
  <si>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</si>
  <si>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</si>
  <si>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</si>
  <si>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</si>
  <si>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</si>
  <si>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</si>
  <si>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</si>
  <si>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</si>
  <si>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</si>
  <si>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</si>
  <si>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</si>
  <si>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</si>
  <si>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</si>
  <si>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</si>
  <si>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</si>
  <si>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</si>
  <si>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</si>
  <si>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</si>
  <si>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</si>
  <si>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</si>
  <si>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</si>
  <si>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</si>
  <si>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</si>
  <si>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</si>
  <si>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</si>
  <si>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</si>
  <si>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</si>
  <si>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</si>
  <si>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</si>
  <si>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</si>
  <si>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</si>
  <si>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</si>
  <si>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</si>
  <si>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</si>
  <si>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</si>
  <si>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</si>
  <si>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</si>
  <si>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</si>
  <si>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</si>
  <si>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</si>
  <si>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</si>
  <si>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</si>
  <si>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</si>
  <si>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</si>
  <si>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</si>
  <si>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</si>
  <si>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</si>
  <si>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</si>
  <si>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</si>
  <si>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</si>
  <si>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</si>
  <si>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</si>
  <si>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</si>
  <si>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</si>
  <si>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</si>
  <si>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</si>
  <si>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</si>
  <si>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</si>
  <si>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</si>
  <si>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</si>
  <si>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</si>
  <si>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</si>
  <si>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</si>
  <si>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</si>
  <si>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</si>
  <si>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</si>
  <si>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</si>
  <si>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</si>
  <si>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</si>
  <si>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</si>
  <si>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</si>
  <si>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</si>
  <si>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</si>
  <si>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</si>
  <si>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</si>
  <si>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</si>
  <si>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</si>
  <si>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</si>
  <si>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</si>
  <si>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</si>
  <si>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</si>
  <si>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</si>
  <si>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</si>
  <si>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</si>
  <si>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</si>
  <si>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</si>
  <si>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</si>
  <si>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</si>
  <si>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</si>
  <si>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</si>
  <si>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</si>
  <si>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</si>
  <si>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</si>
  <si>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</si>
  <si>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</si>
  <si>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</si>
  <si>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</si>
  <si>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</si>
  <si>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</si>
  <si>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</si>
  <si>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</si>
  <si>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</si>
  <si>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</si>
  <si>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</si>
  <si>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</si>
  <si>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</si>
  <si>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</si>
  <si>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</si>
  <si>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</si>
  <si>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</si>
  <si>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</si>
  <si>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</si>
  <si>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</si>
  <si>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</si>
  <si>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</si>
  <si>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</si>
  <si>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</si>
  <si>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</si>
  <si>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</si>
  <si>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</si>
  <si>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</si>
  <si>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</si>
  <si>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</si>
  <si>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</si>
  <si>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</si>
  <si>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</si>
  <si>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</si>
  <si>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</si>
  <si>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</si>
  <si>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</si>
  <si>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</si>
  <si>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</si>
  <si>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</si>
  <si>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</si>
  <si>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</si>
  <si>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</si>
  <si>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</si>
  <si>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</si>
  <si>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</si>
  <si>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</si>
  <si>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</si>
  <si>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</si>
  <si>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</si>
  <si>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</si>
  <si>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</si>
  <si>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</si>
  <si>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</si>
  <si>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</si>
  <si>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</si>
  <si>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</si>
  <si>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</si>
  <si>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</si>
  <si>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</si>
  <si>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</si>
  <si>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</si>
  <si>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</si>
  <si>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</si>
  <si>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</si>
  <si>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</si>
  <si>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</si>
  <si>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</si>
  <si>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</si>
  <si>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</si>
  <si>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</si>
  <si>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</si>
  <si>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</si>
  <si>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</si>
  <si>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</si>
  <si>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</si>
  <si>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</si>
  <si>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</si>
  <si>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</si>
  <si>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</si>
  <si>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</si>
  <si>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</si>
  <si>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</si>
  <si>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</si>
  <si>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</si>
  <si>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</si>
  <si>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</si>
  <si>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</si>
  <si>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</si>
  <si>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</si>
  <si>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</si>
  <si>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</si>
  <si>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</si>
  <si>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</si>
  <si>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</si>
  <si>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</si>
  <si>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</si>
  <si>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</si>
  <si>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</si>
  <si>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</si>
  <si>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</si>
  <si>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</si>
  <si>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</si>
  <si>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</si>
  <si>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</si>
  <si>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</si>
  <si>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</si>
  <si>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</si>
  <si>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</si>
  <si>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</si>
  <si>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</si>
  <si>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</si>
  <si>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</si>
  <si>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</si>
  <si>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</si>
  <si>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</si>
  <si>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</si>
  <si>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</si>
  <si>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</si>
  <si>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</si>
  <si>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</si>
  <si>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</si>
  <si>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</si>
  <si>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</si>
  <si>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</si>
  <si>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</si>
  <si>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</si>
  <si>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</si>
  <si>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</si>
  <si>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</si>
  <si>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</si>
  <si>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</si>
  <si>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</si>
  <si>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</si>
  <si>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</si>
  <si>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</si>
  <si>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</si>
  <si>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</si>
  <si>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</si>
  <si>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</si>
  <si>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</si>
  <si>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</si>
  <si>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</si>
  <si>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</si>
  <si>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</si>
  <si>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</si>
  <si>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</si>
  <si>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</si>
  <si>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</si>
  <si>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</si>
  <si>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</si>
  <si>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</si>
  <si>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</si>
  <si>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</si>
  <si>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</si>
  <si>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</si>
  <si>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</si>
  <si>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</si>
  <si>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</si>
  <si>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</si>
  <si>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</si>
  <si>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</si>
  <si>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</si>
  <si>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</si>
  <si>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</si>
  <si>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</si>
  <si>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</si>
  <si>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</si>
  <si>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</si>
  <si>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</si>
  <si>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</si>
  <si>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</si>
  <si>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</si>
  <si>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</si>
  <si>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</si>
  <si>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</si>
  <si>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</si>
  <si>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</si>
  <si>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</si>
  <si>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</si>
  <si>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</si>
  <si>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</si>
  <si>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</si>
  <si>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</si>
  <si>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</si>
  <si>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</si>
  <si>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</si>
  <si>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</si>
  <si>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</si>
  <si>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</si>
  <si>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</si>
  <si>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</si>
  <si>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</si>
  <si>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</si>
  <si>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</si>
  <si>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</si>
  <si>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</si>
  <si>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</si>
  <si>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</si>
  <si>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</si>
  <si>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</si>
  <si>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</si>
  <si>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</si>
  <si>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</si>
  <si>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</si>
  <si>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</si>
  <si>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</si>
  <si>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</si>
  <si>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</si>
  <si>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</si>
  <si>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</si>
  <si>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</si>
  <si>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</si>
  <si>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</si>
  <si>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</si>
  <si>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</si>
  <si>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</si>
  <si>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</si>
  <si>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</si>
  <si>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</si>
  <si>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</si>
  <si>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</si>
  <si>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</si>
  <si>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</si>
  <si>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</si>
  <si>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</si>
  <si>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</si>
  <si>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</si>
  <si>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</si>
  <si>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</si>
  <si>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</si>
  <si>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</si>
  <si>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</si>
  <si>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</si>
  <si>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</si>
  <si>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</si>
  <si>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</si>
  <si>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</si>
  <si>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</si>
  <si>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</si>
  <si>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</si>
  <si>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</si>
  <si>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</si>
  <si>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</si>
  <si>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</si>
  <si>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</si>
  <si>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</si>
  <si>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</si>
  <si>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</si>
  <si>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</si>
  <si>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</si>
  <si>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</si>
  <si>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</si>
  <si>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</si>
  <si>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</si>
  <si>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</si>
  <si>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</si>
  <si>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</si>
  <si>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</si>
  <si>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</si>
  <si>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</si>
  <si>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</si>
  <si>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</si>
  <si>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</si>
  <si>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</si>
  <si>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</si>
  <si>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</si>
  <si>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</si>
  <si>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</si>
  <si>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</si>
  <si>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</si>
  <si>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</si>
  <si>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</si>
  <si>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</si>
  <si>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</si>
  <si>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</si>
  <si>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</si>
  <si>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</si>
  <si>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</si>
  <si>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</si>
  <si>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</si>
  <si>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</si>
  <si>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</si>
  <si>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</si>
  <si>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</si>
  <si>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</si>
  <si>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</si>
  <si>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</si>
  <si>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</si>
  <si>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</si>
  <si>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</si>
  <si>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</si>
  <si>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</si>
  <si>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</si>
  <si>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</si>
  <si>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</si>
  <si>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</si>
  <si>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</si>
  <si>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</si>
  <si>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</si>
  <si>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</si>
  <si>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</si>
  <si>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</si>
  <si>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</si>
  <si>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</si>
  <si>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</si>
  <si>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</si>
  <si>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</si>
  <si>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</si>
  <si>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</si>
  <si>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</si>
  <si>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</si>
  <si>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</si>
  <si>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</si>
  <si>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</si>
  <si>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</si>
  <si>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</si>
  <si>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</si>
  <si>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</si>
  <si>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</si>
  <si>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</si>
  <si>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</si>
  <si>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</si>
  <si>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</si>
  <si>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</si>
  <si>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</si>
  <si>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</si>
  <si>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</si>
  <si>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</si>
  <si>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</si>
  <si>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</si>
  <si>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</si>
  <si>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</si>
  <si>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</si>
  <si>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</si>
  <si>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</si>
  <si>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</si>
  <si>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</si>
  <si>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</si>
  <si>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</si>
  <si>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</si>
  <si>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</si>
  <si>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</si>
  <si>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</si>
  <si>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</si>
  <si>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</si>
  <si>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</si>
  <si>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</si>
  <si>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</si>
  <si>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</si>
  <si>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</si>
  <si>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</si>
  <si>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</si>
  <si>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</si>
  <si>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</si>
  <si>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</si>
  <si>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</si>
  <si>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</si>
  <si>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</si>
  <si>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</si>
  <si>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</si>
  <si>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</si>
  <si>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</si>
  <si>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</si>
  <si>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</si>
  <si>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</si>
  <si>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</si>
  <si>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</si>
  <si>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</si>
  <si>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</si>
  <si>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</si>
  <si>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</si>
  <si>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</si>
  <si>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</si>
  <si>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</si>
  <si>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</si>
  <si>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</si>
  <si>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</si>
  <si>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</si>
  <si>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</si>
  <si>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</si>
  <si>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</si>
  <si>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</si>
  <si>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</si>
  <si>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</si>
  <si>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</si>
  <si>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</si>
  <si>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</si>
  <si>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</si>
  <si>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</si>
  <si>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</si>
  <si>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</si>
  <si>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</si>
  <si>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</si>
  <si>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</si>
  <si>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</si>
  <si>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</si>
  <si>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</si>
  <si>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</si>
  <si>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</si>
  <si>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</si>
  <si>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</si>
  <si>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</si>
  <si>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</si>
  <si>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</si>
  <si>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</si>
  <si>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</si>
  <si>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</si>
  <si>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</si>
  <si>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</si>
  <si>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</si>
  <si>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</si>
  <si>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</si>
  <si>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</si>
  <si>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</si>
  <si>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</si>
  <si>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</si>
  <si>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</si>
  <si>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</si>
  <si>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</si>
  <si>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</si>
  <si>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</si>
  <si>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</si>
  <si>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</si>
  <si>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</si>
  <si>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</si>
  <si>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</si>
  <si>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</si>
  <si>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</si>
  <si>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</si>
  <si>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</si>
  <si>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</si>
  <si>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</si>
  <si>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</si>
  <si>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</si>
  <si>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</si>
  <si>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</si>
  <si>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</si>
  <si>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</si>
  <si>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</si>
  <si>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</si>
  <si>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</si>
  <si>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</si>
  <si>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</si>
  <si>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</si>
  <si>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</si>
  <si>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</si>
  <si>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</si>
  <si>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</si>
  <si>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</si>
  <si>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</si>
  <si>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</si>
  <si>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</si>
  <si>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</si>
  <si>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</si>
  <si>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</si>
  <si>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</si>
  <si>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</si>
  <si>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</si>
  <si>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</si>
  <si>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</si>
  <si>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</si>
  <si>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</si>
  <si>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</si>
  <si>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</si>
  <si>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</si>
  <si>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</si>
  <si>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</si>
  <si>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</si>
  <si>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</si>
  <si>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</si>
  <si>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</si>
  <si>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</si>
  <si>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</si>
  <si>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</si>
  <si>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</si>
  <si>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</si>
  <si>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</si>
  <si>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</si>
  <si>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</si>
  <si>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</si>
  <si>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</si>
  <si>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</si>
  <si>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</si>
  <si>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</si>
  <si>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</si>
  <si>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</si>
  <si>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</si>
  <si>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</si>
  <si>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</si>
  <si>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</si>
  <si>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</si>
  <si>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</si>
  <si>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</si>
  <si>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</si>
  <si>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</si>
  <si>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</si>
  <si>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</si>
  <si>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</si>
  <si>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</si>
  <si>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</si>
  <si>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</si>
  <si>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</si>
  <si>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</si>
  <si>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</si>
  <si>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</si>
  <si>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</si>
  <si>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</si>
  <si>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</si>
  <si>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</si>
  <si>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</si>
  <si>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</si>
  <si>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</si>
  <si>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</si>
  <si>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</si>
  <si>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</si>
  <si>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</si>
  <si>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</si>
  <si>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</si>
  <si>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</si>
  <si>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</si>
  <si>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</si>
  <si>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</si>
  <si>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</si>
  <si>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</si>
  <si>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</si>
  <si>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</si>
  <si>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</si>
  <si>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</si>
  <si>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</si>
  <si>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</si>
  <si>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</si>
  <si>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</si>
  <si>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</si>
  <si>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</si>
  <si>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</si>
  <si>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</si>
  <si>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</si>
  <si>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</si>
  <si>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</si>
  <si>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</si>
  <si>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</si>
  <si>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</si>
  <si>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</si>
  <si>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</si>
  <si>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</si>
  <si>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</si>
  <si>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</si>
  <si>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</si>
  <si>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</si>
  <si>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</si>
  <si>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</si>
  <si>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</si>
  <si>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</si>
  <si>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</si>
  <si>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</si>
  <si>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</si>
  <si>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</si>
  <si>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</si>
  <si>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</si>
  <si>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</si>
  <si>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</si>
  <si>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</si>
  <si>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</si>
  <si>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</si>
  <si>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</si>
  <si>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</si>
  <si>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</si>
  <si>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</si>
  <si>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</si>
  <si>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</si>
  <si>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</si>
  <si>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</si>
  <si>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</si>
  <si>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</si>
  <si>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</si>
  <si>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</si>
  <si>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</si>
  <si>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</si>
  <si>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</si>
  <si>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</si>
  <si>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</si>
  <si>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</si>
  <si>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</si>
  <si>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</si>
  <si>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</si>
  <si>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</si>
  <si>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</si>
  <si>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</si>
  <si>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</si>
  <si>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</si>
  <si>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</si>
  <si>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</si>
  <si>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</si>
  <si>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</si>
  <si>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</si>
  <si>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</si>
  <si>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</si>
  <si>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</si>
  <si>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</si>
  <si>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</si>
  <si>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</si>
  <si>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</si>
  <si>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</si>
  <si>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</si>
  <si>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</si>
  <si>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</si>
  <si>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</si>
  <si>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</si>
  <si>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</si>
  <si>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</si>
  <si>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</si>
  <si>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</si>
  <si>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</si>
  <si>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</si>
  <si>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</si>
  <si>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</si>
  <si>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</si>
  <si>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</si>
  <si>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</si>
  <si>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</si>
  <si>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</si>
  <si>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</si>
  <si>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</si>
  <si>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</si>
  <si>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</si>
  <si>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</si>
  <si>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</si>
  <si>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</si>
  <si>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</si>
  <si>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</si>
  <si>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</si>
  <si>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</si>
  <si>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</si>
  <si>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</si>
  <si>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</si>
  <si>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</si>
  <si>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</si>
  <si>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</si>
  <si>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</si>
  <si>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</si>
  <si>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</si>
  <si>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</si>
  <si>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</si>
  <si>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</si>
  <si>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</si>
  <si>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</si>
  <si>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</si>
  <si>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</si>
  <si>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</si>
  <si>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</si>
  <si>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</si>
  <si>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</si>
  <si>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</si>
  <si>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</si>
  <si>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</si>
  <si>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</si>
  <si>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</si>
  <si>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</si>
  <si>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</si>
  <si>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</si>
  <si>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</si>
  <si>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</si>
  <si>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</si>
  <si>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</si>
  <si>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</si>
  <si>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</si>
  <si>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</si>
  <si>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</si>
  <si>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</si>
  <si>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</si>
  <si>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</si>
  <si>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</si>
  <si>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</si>
  <si>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</si>
  <si>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</si>
  <si>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</si>
  <si>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</si>
  <si>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</si>
  <si>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</si>
  <si>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</si>
  <si>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</si>
  <si>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</si>
  <si>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</si>
  <si>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</si>
  <si>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</si>
  <si>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</si>
  <si>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</si>
  <si>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</si>
  <si>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</si>
  <si>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</si>
  <si>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</si>
  <si>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</si>
  <si>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</si>
  <si>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</si>
  <si>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</si>
  <si>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</si>
  <si>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</si>
  <si>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</si>
  <si>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</si>
  <si>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</si>
  <si>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</si>
  <si>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</si>
  <si>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</si>
  <si>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</si>
  <si>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</si>
  <si>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</si>
  <si>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</si>
  <si>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</si>
  <si>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</si>
  <si>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</si>
  <si>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</si>
  <si>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</si>
  <si>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</si>
  <si>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</si>
  <si>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</si>
  <si>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</si>
  <si>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</si>
  <si>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</si>
  <si>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</si>
  <si>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</si>
  <si>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</si>
  <si>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</si>
  <si>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</si>
  <si>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</si>
  <si>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</si>
  <si>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</si>
  <si>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</si>
  <si>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</si>
  <si>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</si>
  <si>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</si>
  <si>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</si>
  <si>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</si>
  <si>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</si>
  <si>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</si>
  <si>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</si>
  <si>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</si>
  <si>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</si>
  <si>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</si>
  <si>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</si>
  <si>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</si>
  <si>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</si>
  <si>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</si>
  <si>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</si>
  <si>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</si>
  <si>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</si>
  <si>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</si>
  <si>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</si>
  <si>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</si>
  <si>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</si>
  <si>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</si>
  <si>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</si>
  <si>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</si>
  <si>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</si>
  <si>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</si>
  <si>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</si>
  <si>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</si>
  <si>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</si>
  <si>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</si>
  <si>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</si>
  <si>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</si>
  <si>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</si>
  <si>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</si>
  <si>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</si>
  <si>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</si>
  <si>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</si>
  <si>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</si>
  <si>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</si>
  <si>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</si>
  <si>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</si>
  <si>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</si>
  <si>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</si>
  <si>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</si>
  <si>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</si>
  <si>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</si>
  <si>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</si>
  <si>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</si>
  <si>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</si>
  <si>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</si>
  <si>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</si>
  <si>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</si>
  <si>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</si>
  <si>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</si>
  <si>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</si>
  <si>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</si>
  <si>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</si>
  <si>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</si>
  <si>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</si>
  <si>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</si>
  <si>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</si>
  <si>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</si>
  <si>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</si>
  <si>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</si>
  <si>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</si>
  <si>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</si>
  <si>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</si>
  <si>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</si>
  <si>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</si>
  <si>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</si>
  <si>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</si>
  <si>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</si>
  <si>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</si>
  <si>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</si>
  <si>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</si>
  <si>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</si>
  <si>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</si>
  <si>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</si>
  <si>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</si>
  <si>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</si>
  <si>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</si>
  <si>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</si>
  <si>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</si>
  <si>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</si>
  <si>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</si>
  <si>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</si>
  <si>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</si>
  <si>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</si>
  <si>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</si>
  <si>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</si>
  <si>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</si>
  <si>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</si>
  <si>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</si>
  <si>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</si>
  <si>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</si>
  <si>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</si>
  <si>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</si>
  <si>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</si>
  <si>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</si>
  <si>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</si>
  <si>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</si>
  <si>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</si>
  <si>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</si>
  <si>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</si>
  <si>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</si>
  <si>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</si>
  <si>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</si>
  <si>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</si>
  <si>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</si>
  <si>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</si>
  <si>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</si>
  <si>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</si>
  <si>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</si>
  <si>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</si>
  <si>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</si>
  <si>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</si>
  <si>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</si>
  <si>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</si>
  <si>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</si>
  <si>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</si>
  <si>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</si>
  <si>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</si>
  <si>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</si>
  <si>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</si>
  <si>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</si>
  <si>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</si>
  <si>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</si>
  <si>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</si>
  <si>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</si>
  <si>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</si>
  <si>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</si>
  <si>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</si>
  <si>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</si>
  <si>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</si>
  <si>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</si>
  <si>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</si>
  <si>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</si>
  <si>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</si>
  <si>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</si>
  <si>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</si>
  <si>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</si>
  <si>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</si>
  <si>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</si>
  <si>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</si>
  <si>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</si>
  <si>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</si>
  <si>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</si>
  <si>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</si>
  <si>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</si>
  <si>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</si>
  <si>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</si>
  <si>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</si>
  <si>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</si>
  <si>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</si>
  <si>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</si>
  <si>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</si>
  <si>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</si>
  <si>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</si>
  <si>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</si>
  <si>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</si>
  <si>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</si>
  <si>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</si>
  <si>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</si>
  <si>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</si>
  <si>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</si>
  <si>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</si>
  <si>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</si>
  <si>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</si>
  <si>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</si>
  <si>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</si>
  <si>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</si>
  <si>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</si>
  <si>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</si>
  <si>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</si>
  <si>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</si>
  <si>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</si>
  <si>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</si>
  <si>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</si>
  <si>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</si>
  <si>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</si>
  <si>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</si>
  <si>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</si>
  <si>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</si>
  <si>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</si>
  <si>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</si>
  <si>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</si>
  <si>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</si>
  <si>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</si>
  <si>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</si>
  <si>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</si>
  <si>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</si>
  <si>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</si>
  <si>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</si>
  <si>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</si>
  <si>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</si>
  <si>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</si>
  <si>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</si>
  <si>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</si>
  <si>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</si>
  <si>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</si>
  <si>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</si>
  <si>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</si>
  <si>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</si>
  <si>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</si>
  <si>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</si>
  <si>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</si>
  <si>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</si>
  <si>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</si>
  <si>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</si>
  <si>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</si>
  <si>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</si>
  <si>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</si>
  <si>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</si>
  <si>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</si>
  <si>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</si>
  <si>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</si>
  <si>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</si>
  <si>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</si>
  <si>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</si>
  <si>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</si>
  <si>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</si>
  <si>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</si>
  <si>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</si>
  <si>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</si>
  <si>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</si>
  <si>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</si>
  <si>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</si>
  <si>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</si>
  <si>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</si>
  <si>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</si>
  <si>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</si>
  <si>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</si>
  <si>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</si>
  <si>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</si>
  <si>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</si>
  <si>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</si>
  <si>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</si>
  <si>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</si>
  <si>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</si>
  <si>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</si>
  <si>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</si>
  <si>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</si>
  <si>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</si>
  <si>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</si>
  <si>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</si>
  <si>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</si>
  <si>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</si>
  <si>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</si>
  <si>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</si>
  <si>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</si>
  <si>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</si>
  <si>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</si>
  <si>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</si>
  <si>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</si>
  <si>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</si>
  <si>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</si>
  <si>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</si>
  <si>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</si>
  <si>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</si>
  <si>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</si>
  <si>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</si>
  <si>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</si>
  <si>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</si>
  <si>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</si>
  <si>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</si>
  <si>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</si>
  <si>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</si>
  <si>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</si>
  <si>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</si>
  <si>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</si>
  <si>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</si>
  <si>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</si>
  <si>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</si>
  <si>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</si>
  <si>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</si>
  <si>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</si>
  <si>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</si>
  <si>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</si>
  <si>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</si>
  <si>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</si>
  <si>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</si>
  <si>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</si>
  <si>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</si>
  <si>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</si>
  <si>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</si>
  <si>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</si>
  <si>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</si>
  <si>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</si>
  <si>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</si>
  <si>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</si>
  <si>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</si>
  <si>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</si>
  <si>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</si>
  <si>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</si>
  <si>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</si>
  <si>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</si>
  <si>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</si>
  <si>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</si>
  <si>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</si>
  <si>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</si>
  <si>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</si>
  <si>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</si>
  <si>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</si>
  <si>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</si>
  <si>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</si>
  <si>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</si>
  <si>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</si>
  <si>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</si>
  <si>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</si>
  <si>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</si>
  <si>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</si>
  <si>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</si>
  <si>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</si>
  <si>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</si>
  <si>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</si>
  <si>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</si>
  <si>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</si>
  <si>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</si>
  <si>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</si>
  <si>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</si>
  <si>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</si>
  <si>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</si>
  <si>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</si>
  <si>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</si>
  <si>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</si>
  <si>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</si>
  <si>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</si>
  <si>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</si>
  <si>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</si>
  <si>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</si>
  <si>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</si>
  <si>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</si>
  <si>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</si>
  <si>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</si>
  <si>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</si>
  <si>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</si>
  <si>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</si>
  <si>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</si>
  <si>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</si>
  <si>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</si>
  <si>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</si>
  <si>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</si>
  <si>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</si>
  <si>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</si>
  <si>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</si>
  <si>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</si>
  <si>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</si>
  <si>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</si>
  <si>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</si>
  <si>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</si>
  <si>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</si>
  <si>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</si>
  <si>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</si>
  <si>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</si>
  <si>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</si>
  <si>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</si>
  <si>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</si>
  <si>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</si>
  <si>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</si>
  <si>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</si>
  <si>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</si>
  <si>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</si>
  <si>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</si>
  <si>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</si>
  <si>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</si>
  <si>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</si>
  <si>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</si>
  <si>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</si>
  <si>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</si>
  <si>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</si>
  <si>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</si>
  <si>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</si>
  <si>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</si>
  <si>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</si>
  <si>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</si>
  <si>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</si>
  <si>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</si>
  <si>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</si>
  <si>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</si>
  <si>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</si>
  <si>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</si>
  <si>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</si>
  <si>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</si>
  <si>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</si>
  <si>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</si>
  <si>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</si>
  <si>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</si>
  <si>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</si>
  <si>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</si>
  <si>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</si>
  <si>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</si>
  <si>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</si>
  <si>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</si>
  <si>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</si>
  <si>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</si>
  <si>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</si>
  <si>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</si>
  <si>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</si>
  <si>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</si>
  <si>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</si>
  <si>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</si>
  <si>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</si>
  <si>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</si>
  <si>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</si>
  <si>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</si>
  <si>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</si>
  <si>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</si>
  <si>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</si>
  <si>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</si>
  <si>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</si>
  <si>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</si>
  <si>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</si>
  <si>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</si>
  <si>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</si>
  <si>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</si>
  <si>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</si>
  <si>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</si>
  <si>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</si>
  <si>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</si>
  <si>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</si>
  <si>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</si>
  <si>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</si>
  <si>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</si>
  <si>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</si>
  <si>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</si>
  <si>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</si>
  <si>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</si>
  <si>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</si>
  <si>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</si>
  <si>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</si>
  <si>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</si>
  <si>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</si>
  <si>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</si>
  <si>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</si>
  <si>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</si>
  <si>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</si>
  <si>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</si>
  <si>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</si>
  <si>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</si>
  <si>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</si>
  <si>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</si>
  <si>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</si>
  <si>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</si>
  <si>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</si>
  <si>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</si>
  <si>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</si>
  <si>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</si>
  <si>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</si>
  <si>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</si>
  <si>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</si>
  <si>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</si>
  <si>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</si>
  <si>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</si>
  <si>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</si>
  <si>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</si>
  <si>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</si>
  <si>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</si>
  <si>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</si>
  <si>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</si>
  <si>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</si>
  <si>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</si>
  <si>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</si>
  <si>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</si>
  <si>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</si>
  <si>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</si>
  <si>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</si>
  <si>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</si>
  <si>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</si>
  <si>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</si>
  <si>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</si>
  <si>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</si>
  <si>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</si>
  <si>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</si>
  <si>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</si>
  <si>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</si>
  <si>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</si>
  <si>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</si>
  <si>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</si>
  <si>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</si>
  <si>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</si>
  <si>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</si>
  <si>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</si>
  <si>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</si>
  <si>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</si>
  <si>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</si>
  <si>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</si>
  <si>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</si>
  <si>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</si>
  <si>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</si>
  <si>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</si>
  <si>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</si>
  <si>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</si>
  <si>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</si>
  <si>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</si>
  <si>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</si>
  <si>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</si>
  <si>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</si>
  <si>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</si>
  <si>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</si>
  <si>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</si>
  <si>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</si>
  <si>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</si>
  <si>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</si>
  <si>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</si>
  <si>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</si>
  <si>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</si>
  <si>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</si>
  <si>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</si>
  <si>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</si>
  <si>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</si>
  <si>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</si>
  <si>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</si>
  <si>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</si>
  <si>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</si>
  <si>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</si>
  <si>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</si>
  <si>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</si>
  <si>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</si>
  <si>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</si>
  <si>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</si>
  <si>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</si>
  <si>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</si>
  <si>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</si>
  <si>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</si>
  <si>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</si>
  <si>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</si>
  <si>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</si>
  <si>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</si>
  <si>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</si>
  <si>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</si>
  <si>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</si>
  <si>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</si>
  <si>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</si>
  <si>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</si>
  <si>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</si>
  <si>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</si>
  <si>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</si>
  <si>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</si>
  <si>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</si>
  <si>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</si>
  <si>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</si>
  <si>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</si>
  <si>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</si>
  <si>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</si>
  <si>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</si>
  <si>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</si>
  <si>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</si>
  <si>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</si>
  <si>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</si>
  <si>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</si>
  <si>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</si>
  <si>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</si>
  <si>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</si>
  <si>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</si>
  <si>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</si>
  <si>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</si>
  <si>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</si>
  <si>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</si>
  <si>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</si>
  <si>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</si>
  <si>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</si>
  <si>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</si>
  <si>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</si>
  <si>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</si>
  <si>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</si>
  <si>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</si>
  <si>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</si>
  <si>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</si>
  <si>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</si>
  <si>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</si>
  <si>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</si>
  <si>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</si>
  <si>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</si>
  <si>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</si>
  <si>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</si>
  <si>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</si>
  <si>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</si>
  <si>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</si>
  <si>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</si>
  <si>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</si>
  <si>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</si>
  <si>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</si>
  <si>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</si>
  <si>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</si>
  <si>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</si>
  <si>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</si>
  <si>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</si>
  <si>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</si>
  <si>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</si>
  <si>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</si>
  <si>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</si>
  <si>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</si>
  <si>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</si>
  <si>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</si>
  <si>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</si>
  <si>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</si>
  <si>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</si>
  <si>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</si>
  <si>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</si>
  <si>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</si>
  <si>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</si>
  <si>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</si>
  <si>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</si>
  <si>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</si>
  <si>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</si>
  <si>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</si>
  <si>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</si>
  <si>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</si>
  <si>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</si>
  <si>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</si>
  <si>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</si>
  <si>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</si>
  <si>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</si>
  <si>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</si>
  <si>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</si>
  <si>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</si>
  <si>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</si>
  <si>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</si>
  <si>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</si>
  <si>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</si>
  <si>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</si>
  <si>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</si>
  <si>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</si>
  <si>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</si>
  <si>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</si>
  <si>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</si>
  <si>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</si>
  <si>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</si>
  <si>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</si>
  <si>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</si>
  <si>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</si>
  <si>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</si>
  <si>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</si>
  <si>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</si>
  <si>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</si>
  <si>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</si>
  <si>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</si>
  <si>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</si>
  <si>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</si>
  <si>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</si>
  <si>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</si>
  <si>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</si>
  <si>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</si>
  <si>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</si>
  <si>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</si>
  <si>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</si>
  <si>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</si>
  <si>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</si>
  <si>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</si>
  <si>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</si>
  <si>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</si>
  <si>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</si>
  <si>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</si>
  <si>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</si>
  <si>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</si>
  <si>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</si>
  <si>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</si>
  <si>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</si>
  <si>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</si>
  <si>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</si>
  <si>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</si>
  <si>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</si>
  <si>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</si>
  <si>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</si>
  <si>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</si>
  <si>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</si>
  <si>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</si>
  <si>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</si>
  <si>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</si>
  <si>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</si>
  <si>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</si>
  <si>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</si>
  <si>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</si>
  <si>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</si>
  <si>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</si>
  <si>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</si>
  <si>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</si>
  <si>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</si>
  <si>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</si>
  <si>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</si>
  <si>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</si>
  <si>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</si>
  <si>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</si>
  <si>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</si>
  <si>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</si>
  <si>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</si>
  <si>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</si>
  <si>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</si>
  <si>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</si>
  <si>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</si>
  <si>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</si>
  <si>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</si>
  <si>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</si>
  <si>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</si>
  <si>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</si>
  <si>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</si>
  <si>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</si>
  <si>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</si>
  <si>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</si>
  <si>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</si>
  <si>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</si>
  <si>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</si>
  <si>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</si>
  <si>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</si>
  <si>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</si>
  <si>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</si>
  <si>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</si>
  <si>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</si>
  <si>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</si>
  <si>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</si>
  <si>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</si>
  <si>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</si>
  <si>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</si>
  <si>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</si>
  <si>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</si>
  <si>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</si>
  <si>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</si>
  <si>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</si>
  <si>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</si>
  <si>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</si>
  <si>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</si>
  <si>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</si>
  <si>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</si>
  <si>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</si>
  <si>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</si>
  <si>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</si>
  <si>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</si>
  <si>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</si>
  <si>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</si>
  <si>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</si>
  <si>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</si>
  <si>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</si>
  <si>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</si>
  <si>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</si>
  <si>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</si>
  <si>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</si>
  <si>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</si>
  <si>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</si>
  <si>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</si>
  <si>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</si>
  <si>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</si>
  <si>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</si>
  <si>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</si>
  <si>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</si>
  <si>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</si>
  <si>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</si>
  <si>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</si>
  <si>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</si>
  <si>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</si>
  <si>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</si>
  <si>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</si>
  <si>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</si>
  <si>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</si>
  <si>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</si>
  <si>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</si>
  <si>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</si>
  <si>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</si>
  <si>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</si>
  <si>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</si>
  <si>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</si>
  <si>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</si>
  <si>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</si>
  <si>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</si>
  <si>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</si>
  <si>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</si>
  <si>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</si>
  <si>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</si>
  <si>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</si>
  <si>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</si>
  <si>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</si>
  <si>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</si>
  <si>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</si>
  <si>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</si>
  <si>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</si>
  <si>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</si>
  <si>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</si>
  <si>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</si>
  <si>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</si>
  <si>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</si>
  <si>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</si>
  <si>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</si>
  <si>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</si>
  <si>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</si>
  <si>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</si>
  <si>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</si>
  <si>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</si>
  <si>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</si>
  <si>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</si>
  <si>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</si>
  <si>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</si>
  <si>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</si>
  <si>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</si>
  <si>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</si>
  <si>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</si>
  <si>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</si>
  <si>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</si>
  <si>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</si>
  <si>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</si>
  <si>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</si>
  <si>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</si>
  <si>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</si>
  <si>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</si>
  <si>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</si>
  <si>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</si>
  <si>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</si>
  <si>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</si>
  <si>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</si>
  <si>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</si>
  <si>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</si>
  <si>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</si>
  <si>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</si>
  <si>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</si>
  <si>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</si>
  <si>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</si>
  <si>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</si>
  <si>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</si>
  <si>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</si>
  <si>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</si>
  <si>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</si>
  <si>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</si>
  <si>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</si>
  <si>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</si>
  <si>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</si>
  <si>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</si>
  <si>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</si>
  <si>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</si>
  <si>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</si>
  <si>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</si>
  <si>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</si>
  <si>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</si>
  <si>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</si>
  <si>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</si>
  <si>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</si>
  <si>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</si>
  <si>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</si>
  <si>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</si>
  <si>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</si>
  <si>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</si>
  <si>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</si>
  <si>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</si>
  <si>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</si>
  <si>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</si>
  <si>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</si>
  <si>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</si>
  <si>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</si>
  <si>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</si>
  <si>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</si>
  <si>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</si>
  <si>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</si>
  <si>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</si>
  <si>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</si>
  <si>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</si>
  <si>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</si>
  <si>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</si>
  <si>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</si>
  <si>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</si>
  <si>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</si>
  <si>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</si>
  <si>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</si>
  <si>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</si>
  <si>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</si>
  <si>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</si>
  <si>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</si>
  <si>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</si>
  <si>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</si>
  <si>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</si>
  <si>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</si>
  <si>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</si>
  <si>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</si>
  <si>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</si>
  <si>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</si>
  <si>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</si>
  <si>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</si>
  <si>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</si>
  <si>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</si>
  <si>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</si>
  <si>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</si>
  <si>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</si>
  <si>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</si>
  <si>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</si>
  <si>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</si>
  <si>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</si>
  <si>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</si>
  <si>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</si>
  <si>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</si>
  <si>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</si>
  <si>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</si>
  <si>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</si>
  <si>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</si>
  <si>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</si>
  <si>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</si>
  <si>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</si>
  <si>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</si>
  <si>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</si>
  <si>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</si>
  <si>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</si>
  <si>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</si>
  <si>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</si>
  <si>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</si>
  <si>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</si>
  <si>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</si>
  <si>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</si>
  <si>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</si>
  <si>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</si>
  <si>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</si>
  <si>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</si>
  <si>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</si>
  <si>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</si>
  <si>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</si>
  <si>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</si>
  <si>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</si>
  <si>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</si>
  <si>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</si>
  <si>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</si>
  <si>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</si>
  <si>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</si>
  <si>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</si>
  <si>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</si>
  <si>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</si>
  <si>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</si>
  <si>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</si>
  <si>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</si>
  <si>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</si>
  <si>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</si>
  <si>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</si>
  <si>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</si>
  <si>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</si>
  <si>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</si>
  <si>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</si>
  <si>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</si>
  <si>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</si>
  <si>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</si>
  <si>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</si>
  <si>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</si>
  <si>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</si>
  <si>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</si>
  <si>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</si>
  <si>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</si>
  <si>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</si>
  <si>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</si>
  <si>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</si>
  <si>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</si>
  <si>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</si>
  <si>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</si>
  <si>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</si>
  <si>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</si>
  <si>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</si>
  <si>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</si>
  <si>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</si>
  <si>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</si>
  <si>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</si>
  <si>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</si>
  <si>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</si>
  <si>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</si>
  <si>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</si>
  <si>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</si>
  <si>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</si>
  <si>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</si>
  <si>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</si>
  <si>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</si>
  <si>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</si>
  <si>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</si>
  <si>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</si>
  <si>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</si>
  <si>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</si>
  <si>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</si>
  <si>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</si>
  <si>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</si>
  <si>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</si>
  <si>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</si>
  <si>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</si>
  <si>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</si>
  <si>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</si>
  <si>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</si>
  <si>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</si>
  <si>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</si>
  <si>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</si>
  <si>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</si>
  <si>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</si>
  <si>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</si>
  <si>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</si>
  <si>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</si>
  <si>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</si>
  <si>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</si>
  <si>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</si>
  <si>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</si>
  <si>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</si>
  <si>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</si>
  <si>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</si>
  <si>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</si>
  <si>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</si>
  <si>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</si>
  <si>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</si>
  <si>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</si>
  <si>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</si>
  <si>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</si>
  <si>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</si>
  <si>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</si>
  <si>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</si>
  <si>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</si>
  <si>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</si>
  <si>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</si>
  <si>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</si>
  <si>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</si>
  <si>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</si>
  <si>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</si>
  <si>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</si>
  <si>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</si>
  <si>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</si>
  <si>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</si>
  <si>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</si>
  <si>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</si>
  <si>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</si>
  <si>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</si>
  <si>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</si>
  <si>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</si>
  <si>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</si>
  <si>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</si>
  <si>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</si>
  <si>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</si>
  <si>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</si>
  <si>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</si>
  <si>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</si>
  <si>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</si>
  <si>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</si>
  <si>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</si>
  <si>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</si>
  <si>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</si>
  <si>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</si>
  <si>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</si>
  <si>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</si>
  <si>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</si>
  <si>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</si>
  <si>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</si>
  <si>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</si>
  <si>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</si>
  <si>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</si>
  <si>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</si>
  <si>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</si>
  <si>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</si>
  <si>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</si>
  <si>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</si>
  <si>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</si>
  <si>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</si>
  <si>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</si>
  <si>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</si>
  <si>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</si>
  <si>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</si>
  <si>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</si>
  <si>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</si>
  <si>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</si>
  <si>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</si>
  <si>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</si>
  <si>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</si>
  <si>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</si>
  <si>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</si>
  <si>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</si>
  <si>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</si>
  <si>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</si>
  <si>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</si>
  <si>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</si>
  <si>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</si>
  <si>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</si>
  <si>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</si>
  <si>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</si>
  <si>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</si>
  <si>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</si>
  <si>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</si>
  <si>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</si>
  <si>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</si>
  <si>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</si>
  <si>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</si>
  <si>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</si>
  <si>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</si>
  <si>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</si>
  <si>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</si>
  <si>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</si>
  <si>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</si>
  <si>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</si>
  <si>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</si>
  <si>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</si>
  <si>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</si>
  <si>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</si>
  <si>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</si>
  <si>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</si>
  <si>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</si>
  <si>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</si>
  <si>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</si>
  <si>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</si>
  <si>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</si>
  <si>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</si>
  <si>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</si>
  <si>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</si>
  <si>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</si>
  <si>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</si>
  <si>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</si>
  <si>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</si>
  <si>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</si>
  <si>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</si>
  <si>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</si>
  <si>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</si>
  <si>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</si>
  <si>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</si>
  <si>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</si>
  <si>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</si>
  <si>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</si>
  <si>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</si>
  <si>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</si>
  <si>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</si>
  <si>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</si>
  <si>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</si>
  <si>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</si>
  <si>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</si>
  <si>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</si>
  <si>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</si>
  <si>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</si>
  <si>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</si>
  <si>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</si>
  <si>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</si>
  <si>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</si>
  <si>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</si>
  <si>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</si>
  <si>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</si>
  <si>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</si>
  <si>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</si>
  <si>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</si>
  <si>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</si>
  <si>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</si>
  <si>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</si>
  <si>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</si>
  <si>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</si>
  <si>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</si>
  <si>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</si>
  <si>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</si>
  <si>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</si>
  <si>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</si>
  <si>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</si>
  <si>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</si>
  <si>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</si>
  <si>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</si>
  <si>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</si>
  <si>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</si>
  <si>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</si>
  <si>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</si>
  <si>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</si>
  <si>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</si>
  <si>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</si>
  <si>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</si>
  <si>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</si>
  <si>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</si>
  <si>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</si>
  <si>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</si>
  <si>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</si>
  <si>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</si>
  <si>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</si>
  <si>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</si>
  <si>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</si>
  <si>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</si>
  <si>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</si>
  <si>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</si>
  <si>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</si>
  <si>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</si>
  <si>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</si>
  <si>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</si>
  <si>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</si>
  <si>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</si>
  <si>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</si>
  <si>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</si>
  <si>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</si>
  <si>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</si>
  <si>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</si>
  <si>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</si>
  <si>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</si>
  <si>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</si>
  <si>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</si>
  <si>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</si>
  <si>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</si>
  <si>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</si>
  <si>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</si>
  <si>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</si>
  <si>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</si>
  <si>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</si>
  <si>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</si>
  <si>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</si>
  <si>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</si>
  <si>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</si>
  <si>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</si>
  <si>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</si>
  <si>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</si>
  <si>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</si>
  <si>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</si>
  <si>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</si>
  <si>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</si>
  <si>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</si>
  <si>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</si>
  <si>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</si>
  <si>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</si>
  <si>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</si>
  <si>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</si>
  <si>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</si>
  <si>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</si>
  <si>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</si>
  <si>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</si>
  <si>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</si>
  <si>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</si>
  <si>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</si>
  <si>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</si>
  <si>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</si>
  <si>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</si>
  <si>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</si>
  <si>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</si>
  <si>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</si>
  <si>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</si>
  <si>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</si>
  <si>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</si>
  <si>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</si>
  <si>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</si>
  <si>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</si>
  <si>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</si>
  <si>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</si>
  <si>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</si>
  <si>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</si>
  <si>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</si>
  <si>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</si>
  <si>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</si>
  <si>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</si>
  <si>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</si>
  <si>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</si>
  <si>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</si>
  <si>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</si>
  <si>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</si>
  <si>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</si>
  <si>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</si>
  <si>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</si>
  <si>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</si>
  <si>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</si>
  <si>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</si>
  <si>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</si>
  <si>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</si>
  <si>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</si>
  <si>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</si>
  <si>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</si>
  <si>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</si>
  <si>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</si>
  <si>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</si>
  <si>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</si>
  <si>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</si>
  <si>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</si>
  <si>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</si>
  <si>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</si>
  <si>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</si>
  <si>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</si>
  <si>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</si>
  <si>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</si>
  <si>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</si>
  <si>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</si>
  <si>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</si>
  <si>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</si>
  <si>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</si>
  <si>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</si>
  <si>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</si>
  <si>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</si>
  <si>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</si>
  <si>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</si>
  <si>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</si>
  <si>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</si>
  <si>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</si>
  <si>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</si>
  <si>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</si>
  <si>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</si>
  <si>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</si>
  <si>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</si>
  <si>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</si>
  <si>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</si>
  <si>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</si>
  <si>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</si>
  <si>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</si>
  <si>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</si>
  <si>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</si>
  <si>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</si>
  <si>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</si>
  <si>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</si>
  <si>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</si>
  <si>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</si>
  <si>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</si>
  <si>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</si>
  <si>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</si>
  <si>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</si>
  <si>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</si>
  <si>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</si>
  <si>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</si>
  <si>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</si>
  <si>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</si>
  <si>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</si>
  <si>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</si>
  <si>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</si>
  <si>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</si>
  <si>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</si>
  <si>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</si>
  <si>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</si>
  <si>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</si>
  <si>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</si>
  <si>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</si>
  <si>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</si>
  <si>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</si>
  <si>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</si>
  <si>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</si>
  <si>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</si>
  <si>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</si>
  <si>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</si>
  <si>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</si>
  <si>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</si>
  <si>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</si>
  <si>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</si>
  <si>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</si>
  <si>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</si>
  <si>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</si>
  <si>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</si>
  <si>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</si>
  <si>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</si>
  <si>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</si>
  <si>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</si>
  <si>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</si>
  <si>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</si>
  <si>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</si>
  <si>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</si>
  <si>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</si>
  <si>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</si>
  <si>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</si>
  <si>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</si>
  <si>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</si>
  <si>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</si>
  <si>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</si>
  <si>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</si>
  <si>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</si>
  <si>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</si>
  <si>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</si>
  <si>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</si>
  <si>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</si>
  <si>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</si>
  <si>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</si>
  <si>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</si>
  <si>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</si>
  <si>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</si>
  <si>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</si>
  <si>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</si>
  <si>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</si>
  <si>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</si>
  <si>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</si>
  <si>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</si>
  <si>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</si>
  <si>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</si>
  <si>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</si>
  <si>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</si>
  <si>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</si>
  <si>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</si>
  <si>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</si>
  <si>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</si>
  <si>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</si>
  <si>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</si>
  <si>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</si>
  <si>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</si>
  <si>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</si>
  <si>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</si>
  <si>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</si>
  <si>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</si>
  <si>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</si>
  <si>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</si>
  <si>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</si>
  <si>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</si>
  <si>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</si>
  <si>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</si>
  <si>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</si>
  <si>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</si>
  <si>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</si>
  <si>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</si>
  <si>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</si>
  <si>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</si>
  <si>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</si>
  <si>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</si>
  <si>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</si>
  <si>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</si>
  <si>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</si>
  <si>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</si>
  <si>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</si>
  <si>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</si>
  <si>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</si>
  <si>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</si>
  <si>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</si>
  <si>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</si>
  <si>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</si>
  <si>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</si>
  <si>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</si>
  <si>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</si>
  <si>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</si>
  <si>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</si>
  <si>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</si>
  <si>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</si>
  <si>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</si>
  <si>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</si>
  <si>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</si>
  <si>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</si>
  <si>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</si>
  <si>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</si>
  <si>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</si>
  <si>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</si>
  <si>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</si>
  <si>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</si>
  <si>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</si>
  <si>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</si>
  <si>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</si>
  <si>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</si>
  <si>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</si>
  <si>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</si>
  <si>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</si>
  <si>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</si>
  <si>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</si>
  <si>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</si>
  <si>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</si>
  <si>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</si>
  <si>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</si>
  <si>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</si>
  <si>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</si>
  <si>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</si>
  <si>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</si>
  <si>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</si>
  <si>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</si>
  <si>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</si>
  <si>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</si>
  <si>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</si>
  <si>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</si>
  <si>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</si>
  <si>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</si>
  <si>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</si>
  <si>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</si>
  <si>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</si>
  <si>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</si>
  <si>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</si>
  <si>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</si>
  <si>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</si>
  <si>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</si>
  <si>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</si>
  <si>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</si>
  <si>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</si>
  <si>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</si>
  <si>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</si>
  <si>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</si>
  <si>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</si>
  <si>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</si>
  <si>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</si>
  <si>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</si>
  <si>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</si>
  <si>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</si>
  <si>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</si>
  <si>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</si>
  <si>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</si>
  <si>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</si>
  <si>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</si>
  <si>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</si>
  <si>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</si>
  <si>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</si>
  <si>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</si>
  <si>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</si>
  <si>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</si>
  <si>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</si>
  <si>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</si>
  <si>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</si>
  <si>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</si>
  <si>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</si>
  <si>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</si>
  <si>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</si>
  <si>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</si>
  <si>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</si>
  <si>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</si>
  <si>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</si>
  <si>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</si>
  <si>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</si>
  <si>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</si>
  <si>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</si>
  <si>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</si>
  <si>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</si>
  <si>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</si>
  <si>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</si>
  <si>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</si>
  <si>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</si>
  <si>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</si>
  <si>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</si>
  <si>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</si>
  <si>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</si>
  <si>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</si>
  <si>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</si>
  <si>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</si>
  <si>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</si>
  <si>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</si>
  <si>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</si>
  <si>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</si>
  <si>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</si>
  <si>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</si>
  <si>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</si>
  <si>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</si>
  <si>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</si>
  <si>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</si>
  <si>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</si>
  <si>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</si>
  <si>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</si>
  <si>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</si>
  <si>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</si>
  <si>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</si>
  <si>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</si>
  <si>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</si>
  <si>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</si>
  <si>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</si>
  <si>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</si>
  <si>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</si>
  <si>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</si>
  <si>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</si>
  <si>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</si>
  <si>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</si>
  <si>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</si>
  <si>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</si>
  <si>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</si>
  <si>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</si>
  <si>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</si>
  <si>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</si>
  <si>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</si>
  <si>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</si>
  <si>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</si>
  <si>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</si>
  <si>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</si>
  <si>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</si>
  <si>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</si>
  <si>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</si>
  <si>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</si>
  <si>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</si>
  <si>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</si>
  <si>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</si>
  <si>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</si>
  <si>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</si>
  <si>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</si>
  <si>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</si>
  <si>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</si>
  <si>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</si>
  <si>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</si>
  <si>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</si>
  <si>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</si>
  <si>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</si>
  <si>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</si>
  <si>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</si>
  <si>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</si>
  <si>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</si>
  <si>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</si>
  <si>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</si>
  <si>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</si>
  <si>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</si>
  <si>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</si>
  <si>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</si>
  <si>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</si>
  <si>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</si>
  <si>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</si>
  <si>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</si>
  <si>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</si>
  <si>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</si>
  <si>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</si>
  <si>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</si>
  <si>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</si>
  <si>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</si>
  <si>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</si>
  <si>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</si>
  <si>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</si>
  <si>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</si>
  <si>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</si>
  <si>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</si>
  <si>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</si>
  <si>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</si>
  <si>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</si>
  <si>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</si>
  <si>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</si>
  <si>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</si>
  <si>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</si>
  <si>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</si>
  <si>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</si>
  <si>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</si>
  <si>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</si>
  <si>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</si>
  <si>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</si>
  <si>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</si>
  <si>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</si>
  <si>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</si>
  <si>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</si>
  <si>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</si>
  <si>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</si>
  <si>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</si>
  <si>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</si>
  <si>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</si>
  <si>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</si>
  <si>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</si>
  <si>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</si>
  <si>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</si>
  <si>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</si>
  <si>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</si>
  <si>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</si>
  <si>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</si>
  <si>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</si>
  <si>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</si>
  <si>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</si>
  <si>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</si>
  <si>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</si>
  <si>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</si>
  <si>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</si>
  <si>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</si>
  <si>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</si>
  <si>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</si>
  <si>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</si>
  <si>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</si>
  <si>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</si>
  <si>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</si>
  <si>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</si>
  <si>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</si>
  <si>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</si>
  <si>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</si>
  <si>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</si>
  <si>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</si>
  <si>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</si>
  <si>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</si>
  <si>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</si>
  <si>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</si>
  <si>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</si>
  <si>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</si>
  <si>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</si>
  <si>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</si>
  <si>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</si>
  <si>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</si>
  <si>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</si>
  <si>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</si>
  <si>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</si>
  <si>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</si>
  <si>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</si>
  <si>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</si>
  <si>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</si>
  <si>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</si>
  <si>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</si>
  <si>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</si>
  <si>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</si>
  <si>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</si>
  <si>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</si>
  <si>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</si>
  <si>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</si>
  <si>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</si>
  <si>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</si>
  <si>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</si>
  <si>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</si>
  <si>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</si>
  <si>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</si>
  <si>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</si>
  <si>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</si>
  <si>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</si>
  <si>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</si>
  <si>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</si>
  <si>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</si>
  <si>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</si>
  <si>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</si>
  <si>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</si>
  <si>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</si>
  <si>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</si>
  <si>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</si>
  <si>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</si>
  <si>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</si>
  <si>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</si>
  <si>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</si>
  <si>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</si>
  <si>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</si>
  <si>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</si>
  <si>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</si>
  <si>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</si>
  <si>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</si>
  <si>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</si>
  <si>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</si>
  <si>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</si>
  <si>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</si>
  <si>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</si>
  <si>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</si>
  <si>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</si>
  <si>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</si>
  <si>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</si>
  <si>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</si>
  <si>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</si>
  <si>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</si>
  <si>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</si>
  <si>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</si>
  <si>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</si>
  <si>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</si>
  <si>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</si>
  <si>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</si>
  <si>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</si>
  <si>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</si>
  <si>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</si>
  <si>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</si>
  <si>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</si>
  <si>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</si>
  <si>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</si>
  <si>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</si>
  <si>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</si>
  <si>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</si>
  <si>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</si>
  <si>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</si>
  <si>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</si>
  <si>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</si>
  <si>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</si>
  <si>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</si>
  <si>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</si>
  <si>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</si>
  <si>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</si>
  <si>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</si>
  <si>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</si>
  <si>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</si>
  <si>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</si>
  <si>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</si>
  <si>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</si>
  <si>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</si>
  <si>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</si>
  <si>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</si>
  <si>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</si>
  <si>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</si>
  <si>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</si>
  <si>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</si>
  <si>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</si>
  <si>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</si>
  <si>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</si>
  <si>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</si>
  <si>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</si>
  <si>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</si>
  <si>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</si>
  <si>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</si>
  <si>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</si>
  <si>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</si>
  <si>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</si>
  <si>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</si>
  <si>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</si>
  <si>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</si>
  <si>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</si>
  <si>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</si>
  <si>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</si>
  <si>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</si>
  <si>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</si>
  <si>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</si>
  <si>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</si>
  <si>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</si>
  <si>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</si>
  <si>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</si>
  <si>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</si>
  <si>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</si>
  <si>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</si>
  <si>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</si>
  <si>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</si>
  <si>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</si>
  <si>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</si>
  <si>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</si>
  <si>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</si>
  <si>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</si>
  <si>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</si>
  <si>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</si>
  <si>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</si>
  <si>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</si>
  <si>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</si>
  <si>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</si>
  <si>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</si>
  <si>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</si>
  <si>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</si>
  <si>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</si>
  <si>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</si>
  <si>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</si>
  <si>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</si>
  <si>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</si>
  <si>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</si>
  <si>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</si>
  <si>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</si>
  <si>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</si>
  <si>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</si>
  <si>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</si>
  <si>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</si>
  <si>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</si>
  <si>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</si>
  <si>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</si>
  <si>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</si>
  <si>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</si>
  <si>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</si>
  <si>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</si>
  <si>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</si>
  <si>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</si>
  <si>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</si>
  <si>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</si>
  <si>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</si>
  <si>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</si>
  <si>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</si>
  <si>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</si>
  <si>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</si>
  <si>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</si>
  <si>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</si>
  <si>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</si>
  <si>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</si>
  <si>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</si>
  <si>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</si>
  <si>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</si>
  <si>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</si>
  <si>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</si>
  <si>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</si>
  <si>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</si>
  <si>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</si>
  <si>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</si>
  <si>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</si>
  <si>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</si>
  <si>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</si>
  <si>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</si>
  <si>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</si>
  <si>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</si>
  <si>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</si>
  <si>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</si>
  <si>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</si>
  <si>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</si>
  <si>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</si>
  <si>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</si>
  <si>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</si>
  <si>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</si>
  <si>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</si>
  <si>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</si>
  <si>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</si>
  <si>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</si>
  <si>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</si>
  <si>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</si>
  <si>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</si>
  <si>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</si>
  <si>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</si>
  <si>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</si>
  <si>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</si>
  <si>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</si>
  <si>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</si>
  <si>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</si>
  <si>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</si>
  <si>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</si>
  <si>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</si>
  <si>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</si>
  <si>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</si>
  <si>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</si>
  <si>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</si>
  <si>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</si>
  <si>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</si>
  <si>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</si>
  <si>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</si>
  <si>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</si>
  <si>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</si>
  <si>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</si>
  <si>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</si>
  <si>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</si>
  <si>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</si>
  <si>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</si>
  <si>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</si>
  <si>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</si>
  <si>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</si>
  <si>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</si>
  <si>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</si>
  <si>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</si>
  <si>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</si>
  <si>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</si>
  <si>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</si>
  <si>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</si>
  <si>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</si>
  <si>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</si>
  <si>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</si>
  <si>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</si>
  <si>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</si>
  <si>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</si>
  <si>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</si>
  <si>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</si>
  <si>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</si>
  <si>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</si>
  <si>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</si>
  <si>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</si>
  <si>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</si>
  <si>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</si>
  <si>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</si>
  <si>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</si>
  <si>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</si>
  <si>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</si>
  <si>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</si>
  <si>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</si>
  <si>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</si>
  <si>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</si>
  <si>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</si>
  <si>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</si>
  <si>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</si>
  <si>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</si>
  <si>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</si>
  <si>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</si>
  <si>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</si>
  <si>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</si>
  <si>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</si>
  <si>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</si>
  <si>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</si>
  <si>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</si>
  <si>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</si>
  <si>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</si>
  <si>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</si>
  <si>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</si>
  <si>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</si>
  <si>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</si>
  <si>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</si>
  <si>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</si>
  <si>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</si>
  <si>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</si>
  <si>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</si>
  <si>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</si>
  <si>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</si>
  <si>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</si>
  <si>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</si>
  <si>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</si>
  <si>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</si>
  <si>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</si>
  <si>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</si>
  <si>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</si>
  <si>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</si>
  <si>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</si>
  <si>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</si>
  <si>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</si>
  <si>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</si>
  <si>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</si>
  <si>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</si>
  <si>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</si>
  <si>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</si>
  <si>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</si>
  <si>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</si>
  <si>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</si>
  <si>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</si>
  <si>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</si>
  <si>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</si>
  <si>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</si>
  <si>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</si>
  <si>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</si>
  <si>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</si>
  <si>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</si>
  <si>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</si>
  <si>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</si>
  <si>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</si>
  <si>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</si>
  <si>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</si>
  <si>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</si>
  <si>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</si>
  <si>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</si>
  <si>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</si>
  <si>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</si>
  <si>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</si>
  <si>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</si>
  <si>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</si>
  <si>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</si>
  <si>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</si>
  <si>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</si>
  <si>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</si>
  <si>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</si>
  <si>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</si>
  <si>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</si>
  <si>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</si>
  <si>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</si>
  <si>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</si>
  <si>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</si>
  <si>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</si>
  <si>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</si>
  <si>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</si>
  <si>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</si>
  <si>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</si>
  <si>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</si>
  <si>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</si>
  <si>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</si>
  <si>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</si>
  <si>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</si>
  <si>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</si>
  <si>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</si>
  <si>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</si>
  <si>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</si>
  <si>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</si>
  <si>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</si>
  <si>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</si>
  <si>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</si>
  <si>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</si>
  <si>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</si>
  <si>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</si>
  <si>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</si>
  <si>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</si>
  <si>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</si>
  <si>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</si>
  <si>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</si>
  <si>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</si>
  <si>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</si>
  <si>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</si>
  <si>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</si>
  <si>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</si>
  <si>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</si>
  <si>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</si>
  <si>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</si>
  <si>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</si>
  <si>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</si>
  <si>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</si>
  <si>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</si>
  <si>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</si>
  <si>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</si>
  <si>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</si>
  <si>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</si>
  <si>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</si>
  <si>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</si>
  <si>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</si>
  <si>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</si>
  <si>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</si>
  <si>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</si>
  <si>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</si>
  <si>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</si>
  <si>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</si>
  <si>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</si>
  <si>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</si>
  <si>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</si>
  <si>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</si>
  <si>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</si>
  <si>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</si>
  <si>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</si>
  <si>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</si>
  <si>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</si>
  <si>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</si>
  <si>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</si>
  <si>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</si>
  <si>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</si>
  <si>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</si>
  <si>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</si>
  <si>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</si>
  <si>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</si>
  <si>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</si>
  <si>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</si>
  <si>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</si>
  <si>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</si>
  <si>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</si>
  <si>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</si>
  <si>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</si>
  <si>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</si>
  <si>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</si>
  <si>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</si>
  <si>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</si>
  <si>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</si>
  <si>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</si>
  <si>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</si>
  <si>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</si>
  <si>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</si>
  <si>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</si>
  <si>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</si>
  <si>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</si>
  <si>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</si>
  <si>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</si>
  <si>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</si>
  <si>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</si>
  <si>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</si>
  <si>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</si>
  <si>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</si>
  <si>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</si>
  <si>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</si>
  <si>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</si>
  <si>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</si>
  <si>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</si>
  <si>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</si>
  <si>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</si>
  <si>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</si>
  <si>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</si>
  <si>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</si>
  <si>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</si>
  <si>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</si>
  <si>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</si>
  <si>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</si>
  <si>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</si>
  <si>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</si>
  <si>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</si>
  <si>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</si>
  <si>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</si>
  <si>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</si>
  <si>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</si>
  <si>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</si>
  <si>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</si>
  <si>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</si>
  <si>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</si>
  <si>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</si>
  <si>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</si>
  <si>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</si>
  <si>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</si>
  <si>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</si>
  <si>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</si>
  <si>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</si>
  <si>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</si>
  <si>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</si>
  <si>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</si>
  <si>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</si>
  <si>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</si>
  <si>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</si>
  <si>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</si>
  <si>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</si>
  <si>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</si>
  <si>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</si>
  <si>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</si>
  <si>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</si>
  <si>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</si>
  <si>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</si>
  <si>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</si>
  <si>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</si>
  <si>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</si>
  <si>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</si>
  <si>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</si>
  <si>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</si>
  <si>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</si>
  <si>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</si>
  <si>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</si>
  <si>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</si>
  <si>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</si>
  <si>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</si>
  <si>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</si>
  <si>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</si>
  <si>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</si>
  <si>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</si>
  <si>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</si>
  <si>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</si>
  <si>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</si>
  <si>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</si>
  <si>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</si>
  <si>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</si>
  <si>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</si>
  <si>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</si>
  <si>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</si>
  <si>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</si>
  <si>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</si>
  <si>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</si>
  <si>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</si>
  <si>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</si>
  <si>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</si>
  <si>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</si>
  <si>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</si>
  <si>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</si>
  <si>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</si>
  <si>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</si>
  <si>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</si>
  <si>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</si>
  <si>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</si>
  <si>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</si>
  <si>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</si>
  <si>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</si>
  <si>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</si>
  <si>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</si>
  <si>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</si>
  <si>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</si>
  <si>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</si>
  <si>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</si>
  <si>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</si>
  <si>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</si>
  <si>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</si>
  <si>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</si>
  <si>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</si>
  <si>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</si>
  <si>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</si>
  <si>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</si>
  <si>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</si>
  <si>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</si>
  <si>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</si>
  <si>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</si>
  <si>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</si>
  <si>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</si>
  <si>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</si>
  <si>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</si>
  <si>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</si>
  <si>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</si>
  <si>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</si>
  <si>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</si>
  <si>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</si>
  <si>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</si>
  <si>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</si>
  <si>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</si>
  <si>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</si>
  <si>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</si>
  <si>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</si>
  <si>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</si>
  <si>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</si>
  <si>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</si>
  <si>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</si>
  <si>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</si>
  <si>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</si>
  <si>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</si>
  <si>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</si>
  <si>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</si>
  <si>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</si>
  <si>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</si>
  <si>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</si>
  <si>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</si>
  <si>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</si>
  <si>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</si>
  <si>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</si>
  <si>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</si>
  <si>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</si>
  <si>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</si>
  <si>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</si>
  <si>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</si>
  <si>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</si>
  <si>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</si>
  <si>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</si>
  <si>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</si>
  <si>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</si>
  <si>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</si>
  <si>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</si>
  <si>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</si>
  <si>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</si>
  <si>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</si>
  <si>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</si>
  <si>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</si>
  <si>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</si>
  <si>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</si>
  <si>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</si>
  <si>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</si>
  <si>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</si>
  <si>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</si>
  <si>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</si>
  <si>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</si>
  <si>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</si>
  <si>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</si>
  <si>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</si>
  <si>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</si>
  <si>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</si>
  <si>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</si>
  <si>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</si>
  <si>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</si>
  <si>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</si>
  <si>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</si>
  <si>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</si>
  <si>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</si>
  <si>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</si>
  <si>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</si>
  <si>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</si>
  <si>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</si>
  <si>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</si>
  <si>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</si>
  <si>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</si>
  <si>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</si>
  <si>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</si>
  <si>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</si>
  <si>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</si>
  <si>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</si>
  <si>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</si>
  <si>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</si>
  <si>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</si>
  <si>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</si>
  <si>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</si>
  <si>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</si>
  <si>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</si>
  <si>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</si>
  <si>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</si>
  <si>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</si>
  <si>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</si>
  <si>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</si>
  <si>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</si>
  <si>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</si>
  <si>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</si>
  <si>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</si>
  <si>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</si>
  <si>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</si>
  <si>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</si>
  <si>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</si>
  <si>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</si>
  <si>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</si>
  <si>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</si>
  <si>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</si>
  <si>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</si>
  <si>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</si>
  <si>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</si>
  <si>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</si>
  <si>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</si>
  <si>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</si>
  <si>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</si>
  <si>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</si>
  <si>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</si>
  <si>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</si>
  <si>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</si>
  <si>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</si>
  <si>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</si>
  <si>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</si>
  <si>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</si>
  <si>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</si>
  <si>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</si>
  <si>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</si>
  <si>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</si>
  <si>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</si>
  <si>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</si>
  <si>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</si>
  <si>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</si>
  <si>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</si>
  <si>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</si>
  <si>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</si>
  <si>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</si>
  <si>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</si>
  <si>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</si>
  <si>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</si>
  <si>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</si>
  <si>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</si>
  <si>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</si>
  <si>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</si>
  <si>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</si>
  <si>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</si>
  <si>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</si>
  <si>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</si>
  <si>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</si>
  <si>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</si>
  <si>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</si>
  <si>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</si>
  <si>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</si>
  <si>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</si>
  <si>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</si>
  <si>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</si>
  <si>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</si>
  <si>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</si>
  <si>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</si>
  <si>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</si>
  <si>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</si>
  <si>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</si>
  <si>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</si>
  <si>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</si>
  <si>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</si>
  <si>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</si>
  <si>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</si>
  <si>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</si>
  <si>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</si>
  <si>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</si>
  <si>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</si>
  <si>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</si>
  <si>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</si>
  <si>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</si>
  <si>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</si>
  <si>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</si>
  <si>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</si>
  <si>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</si>
  <si>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</si>
  <si>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</si>
  <si>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</si>
  <si>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</si>
  <si>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</si>
  <si>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</si>
  <si>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</si>
  <si>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</si>
  <si>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</si>
  <si>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</si>
  <si>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</si>
  <si>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</si>
  <si>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</si>
  <si>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</si>
  <si>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</si>
  <si>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</si>
  <si>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</si>
  <si>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</si>
  <si>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</si>
  <si>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</si>
  <si>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</si>
  <si>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</si>
  <si>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</si>
  <si>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</si>
  <si>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</si>
  <si>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</si>
  <si>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</si>
  <si>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</si>
  <si>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</si>
  <si>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</si>
  <si>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</si>
  <si>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</si>
  <si>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</si>
  <si>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</si>
  <si>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</si>
  <si>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</si>
  <si>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</si>
  <si>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</si>
  <si>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</si>
  <si>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</si>
  <si>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</si>
  <si>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</si>
  <si>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</si>
  <si>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</si>
  <si>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</si>
  <si>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</si>
  <si>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</si>
  <si>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</si>
  <si>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</si>
  <si>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</si>
  <si>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</si>
  <si>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</si>
  <si>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</si>
  <si>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</si>
  <si>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</si>
  <si>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</si>
  <si>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</si>
  <si>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</si>
  <si>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</si>
  <si>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</si>
  <si>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</si>
  <si>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</si>
  <si>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</si>
  <si>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</si>
  <si>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</si>
  <si>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</si>
  <si>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</si>
  <si>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</si>
  <si>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</si>
  <si>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</si>
  <si>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</si>
  <si>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</si>
  <si>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</si>
  <si>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</si>
  <si>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</si>
  <si>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</si>
  <si>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</si>
  <si>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</si>
  <si>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</si>
  <si>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</si>
  <si>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</si>
  <si>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</si>
  <si>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</si>
  <si>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</si>
  <si>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</si>
  <si>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</si>
  <si>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</si>
  <si>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</si>
  <si>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</si>
  <si>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</si>
  <si>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</si>
  <si>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</si>
  <si>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</si>
  <si>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</si>
  <si>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</si>
  <si>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</si>
  <si>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</si>
  <si>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</si>
  <si>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</si>
  <si>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</si>
  <si>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</si>
  <si>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</si>
  <si>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</si>
  <si>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</si>
  <si>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</si>
  <si>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</si>
  <si>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</si>
  <si>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</si>
  <si>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</si>
  <si>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</si>
  <si>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</si>
  <si>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</si>
  <si>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</si>
  <si>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</si>
  <si>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</si>
  <si>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</si>
  <si>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</si>
  <si>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</si>
  <si>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</si>
  <si>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</si>
  <si>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</si>
  <si>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</si>
  <si>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</si>
  <si>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</si>
  <si>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</si>
  <si>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</si>
  <si>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</si>
  <si>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</si>
  <si>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</si>
  <si>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</si>
  <si>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</si>
  <si>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</si>
  <si>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</si>
  <si>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</si>
  <si>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</si>
  <si>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</si>
  <si>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</si>
  <si>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</si>
  <si>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</si>
  <si>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</si>
  <si>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</si>
  <si>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</si>
  <si>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</si>
  <si>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</si>
  <si>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</si>
  <si>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</si>
  <si>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</si>
  <si>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</si>
  <si>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</si>
  <si>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</si>
  <si>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</si>
  <si>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</si>
  <si>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</si>
  <si>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</si>
  <si>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</si>
  <si>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</si>
  <si>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</si>
  <si>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</si>
  <si>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</si>
  <si>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</si>
  <si>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</si>
  <si>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</si>
  <si>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</si>
  <si>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</si>
  <si>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</si>
  <si>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</si>
  <si>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</si>
  <si>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</si>
  <si>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</si>
  <si>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</si>
  <si>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</si>
  <si>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</si>
  <si>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</si>
  <si>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</si>
  <si>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</si>
  <si>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魔攻：66
炎屬性</t>
  </si>
  <si>
    <t>Physical attack: 1
Magic attack: 66
Fire Attribute</t>
  </si>
  <si>
    <t>Physischer Angriff: 1
Magischer Angriff: 66
Feuer-Attribut</t>
  </si>
  <si>
    <t>Hỏa Linh Trượng</t>
  </si>
  <si>
    <t>Sát hương vật lý: 1
Sát thương ma thuật: 66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</si>
  <si>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</si>
  <si>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</si>
  <si>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</si>
  <si>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</si>
  <si>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</si>
  <si>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</si>
  <si>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</si>
  <si>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</si>
  <si>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</si>
  <si>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</si>
  <si>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</si>
  <si>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</si>
  <si>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</si>
  <si>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</si>
  <si>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</si>
  <si>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</si>
  <si>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</si>
  <si>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</si>
  <si>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</si>
  <si>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</si>
  <si>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</si>
  <si>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</si>
  <si>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</si>
  <si>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</si>
  <si>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</si>
  <si>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</si>
  <si>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</si>
  <si>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</si>
  <si>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</si>
  <si>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</si>
  <si>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</si>
  <si>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</si>
  <si>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</si>
  <si>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</si>
  <si>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</si>
  <si>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</si>
  <si>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</si>
  <si>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</si>
  <si>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</si>
  <si>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</si>
  <si>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</si>
  <si>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</si>
  <si>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</si>
  <si>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</si>
  <si>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</si>
  <si>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</si>
  <si>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</si>
  <si>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</si>
  <si>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</si>
  <si>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</si>
  <si>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</si>
  <si>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</si>
  <si>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</si>
  <si>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</si>
  <si>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</si>
  <si>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</si>
  <si>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</si>
  <si>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</si>
  <si>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</si>
  <si>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</si>
  <si>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</si>
  <si>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</si>
  <si>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</si>
  <si>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</si>
  <si>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</si>
  <si>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</si>
  <si>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</si>
  <si>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</si>
  <si>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</si>
  <si>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</si>
  <si>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</si>
  <si>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</si>
  <si>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</si>
  <si>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</si>
  <si>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</si>
  <si>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</si>
  <si>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</si>
  <si>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</si>
  <si>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</si>
  <si>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</si>
  <si>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</si>
  <si>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</si>
  <si>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</si>
  <si>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</si>
  <si>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</si>
  <si>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</si>
  <si>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</si>
  <si>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</si>
  <si>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</si>
  <si>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</si>
  <si>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</si>
  <si>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</si>
  <si>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</si>
  <si>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</si>
  <si>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</si>
  <si>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</si>
  <si>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</si>
  <si>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</si>
  <si>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</si>
  <si>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</si>
  <si>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</si>
  <si>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</si>
  <si>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</si>
  <si>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</si>
  <si>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</si>
  <si>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</si>
  <si>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</si>
  <si>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</si>
  <si>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</si>
  <si>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</si>
  <si>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</si>
  <si>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</si>
  <si>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</si>
  <si>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</si>
  <si>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</si>
  <si>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</si>
  <si>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</si>
  <si>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</si>
  <si>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</si>
  <si>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</si>
  <si>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</si>
  <si>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</si>
  <si>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</si>
  <si>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</si>
  <si>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</si>
  <si>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</si>
  <si>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</si>
  <si>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</si>
  <si>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</si>
  <si>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</si>
  <si>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</si>
  <si>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</si>
  <si>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</si>
  <si>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</si>
  <si>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</si>
  <si>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</si>
  <si>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</si>
  <si>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</si>
  <si>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</si>
  <si>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</si>
  <si>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</si>
  <si>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</si>
  <si>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</si>
  <si>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</si>
  <si>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</si>
  <si>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</si>
  <si>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</si>
  <si>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</si>
  <si>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</si>
  <si>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</si>
  <si>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</si>
  <si>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</si>
  <si>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</si>
  <si>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</si>
  <si>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</si>
  <si>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</si>
  <si>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</si>
  <si>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</si>
  <si>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</si>
  <si>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</si>
  <si>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</si>
  <si>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</si>
  <si>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</si>
  <si>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</si>
  <si>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</si>
  <si>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</si>
  <si>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</si>
  <si>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</si>
  <si>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</si>
  <si>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</si>
  <si>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</si>
  <si>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</si>
  <si>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</si>
  <si>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</si>
  <si>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</si>
  <si>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</si>
  <si>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</si>
  <si>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</si>
  <si>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</si>
  <si>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</si>
  <si>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</si>
  <si>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</si>
  <si>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</si>
  <si>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</si>
  <si>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</si>
  <si>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</si>
  <si>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</si>
  <si>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</si>
  <si>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</si>
  <si>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</si>
  <si>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</si>
  <si>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</si>
  <si>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</si>
  <si>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</si>
  <si>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</si>
  <si>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</si>
  <si>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</si>
  <si>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</si>
  <si>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</si>
  <si>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</si>
  <si>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</si>
  <si>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</si>
  <si>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</si>
  <si>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</si>
  <si>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</si>
  <si>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</si>
  <si>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</si>
  <si>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</si>
  <si>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</si>
  <si>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</si>
  <si>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</si>
  <si>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</si>
  <si>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</si>
  <si>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</si>
  <si>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</si>
  <si>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</si>
  <si>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</si>
  <si>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</si>
  <si>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</si>
  <si>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</si>
  <si>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</si>
  <si>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</si>
  <si>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</si>
  <si>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</si>
  <si>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</si>
  <si>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</si>
  <si>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</si>
  <si>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</si>
  <si>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</si>
  <si>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</si>
  <si>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</si>
  <si>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</si>
  <si>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</si>
  <si>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</si>
  <si>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</si>
  <si>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</si>
  <si>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</si>
  <si>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</si>
  <si>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</si>
  <si>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</si>
  <si>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</si>
  <si>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</si>
  <si>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</si>
  <si>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</si>
  <si>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</si>
  <si>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</si>
  <si>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</si>
  <si>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</si>
  <si>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</si>
  <si>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</si>
  <si>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</si>
  <si>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</si>
  <si>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</si>
  <si>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</si>
  <si>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復活並恢復全部體力(消耗品)</t>
  </si>
  <si>
    <t>Gets consumed to revive self to full health upon death.</t>
  </si>
  <si>
    <t>죽었을 때 한 번 부활 가능</t>
  </si>
  <si>
    <t>Auferstehung, Item geht kaputt</t>
  </si>
  <si>
    <t>Tiêu thụ để tự hồi sinh và hồi toàn bộ máu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</si>
  <si>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</si>
  <si>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</si>
  <si>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</si>
  <si>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</si>
  <si>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</si>
  <si>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</si>
  <si>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</si>
  <si>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</si>
  <si>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</si>
  <si>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</si>
  <si>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</si>
  <si>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</si>
  <si>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</si>
  <si>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</si>
  <si>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</si>
  <si>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</si>
  <si>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</si>
  <si>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</si>
  <si>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</si>
  <si>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</si>
  <si>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</si>
  <si>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</si>
  <si>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</si>
  <si>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</si>
  <si>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</si>
  <si>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</si>
  <si>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</si>
  <si>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</si>
  <si>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</si>
  <si>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</si>
  <si>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</si>
  <si>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</si>
  <si>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</si>
  <si>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</si>
  <si>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</si>
  <si>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</si>
  <si>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</si>
  <si>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</si>
  <si>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</si>
  <si>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</si>
  <si>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</si>
  <si>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</si>
  <si>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</si>
  <si>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</si>
  <si>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</si>
  <si>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</si>
  <si>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</si>
  <si>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</si>
  <si>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</si>
  <si>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</si>
  <si>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</si>
  <si>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</si>
  <si>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</si>
  <si>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</si>
  <si>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</si>
  <si>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</si>
  <si>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</si>
  <si>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</si>
  <si>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</si>
  <si>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</si>
  <si>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</si>
  <si>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</si>
  <si>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</si>
  <si>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</si>
  <si>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</si>
  <si>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</si>
  <si>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</si>
  <si>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</si>
  <si>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</si>
  <si>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</si>
  <si>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</si>
  <si>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</si>
  <si>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</si>
  <si>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</si>
  <si>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</si>
  <si>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</si>
  <si>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</si>
  <si>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</si>
  <si>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</si>
  <si>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</si>
  <si>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</si>
  <si>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</si>
  <si>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</si>
  <si>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</si>
  <si>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</si>
  <si>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</si>
  <si>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</si>
  <si>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</si>
  <si>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</si>
  <si>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</si>
  <si>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</si>
  <si>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</si>
  <si>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</si>
  <si>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</si>
  <si>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</si>
  <si>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</si>
  <si>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</si>
  <si>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</si>
  <si>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</si>
  <si>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</si>
  <si>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</si>
  <si>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</si>
  <si>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</si>
  <si>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</si>
  <si>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</si>
  <si>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</si>
  <si>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</si>
  <si>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</si>
  <si>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</si>
  <si>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</si>
  <si>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</si>
  <si>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</si>
  <si>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</si>
  <si>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</si>
  <si>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</si>
  <si>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</si>
  <si>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</si>
  <si>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</si>
  <si>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</si>
  <si>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</si>
  <si>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</si>
  <si>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</si>
  <si>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</si>
  <si>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</si>
  <si>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</si>
  <si>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</si>
  <si>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</si>
  <si>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</si>
  <si>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</si>
  <si>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</si>
  <si>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</si>
  <si>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</si>
  <si>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</si>
  <si>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</si>
  <si>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</si>
  <si>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</si>
  <si>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</si>
  <si>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</si>
  <si>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</si>
  <si>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</si>
  <si>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</si>
  <si>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</si>
  <si>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</si>
  <si>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</si>
  <si>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</si>
  <si>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</si>
  <si>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</si>
  <si>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</si>
  <si>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</si>
  <si>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</si>
  <si>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</si>
  <si>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</si>
  <si>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</si>
  <si>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</si>
  <si>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</si>
  <si>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</si>
  <si>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</si>
  <si>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</si>
  <si>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</si>
  <si>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</si>
  <si>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</si>
  <si>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</si>
  <si>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</si>
  <si>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</si>
  <si>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</si>
  <si>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</si>
  <si>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</si>
  <si>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</si>
  <si>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</si>
  <si>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</si>
  <si>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</si>
  <si>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</si>
  <si>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</si>
  <si>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</si>
  <si>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</si>
  <si>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</si>
  <si>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</si>
  <si>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</si>
  <si>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</si>
  <si>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</si>
  <si>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</si>
  <si>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</si>
  <si>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</si>
  <si>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</si>
  <si>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</si>
  <si>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</si>
  <si>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</si>
  <si>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</si>
  <si>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</si>
  <si>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</si>
  <si>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</si>
  <si>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</si>
  <si>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</si>
  <si>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</si>
  <si>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</si>
  <si>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</si>
  <si>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</si>
  <si>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</si>
  <si>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</si>
  <si>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</si>
  <si>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</si>
  <si>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</si>
  <si>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</si>
  <si>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</si>
  <si>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</si>
  <si>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</si>
  <si>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</si>
  <si>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</si>
  <si>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</si>
  <si>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</si>
  <si>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</si>
  <si>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</si>
  <si>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</si>
  <si>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</si>
  <si>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</si>
  <si>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</si>
  <si>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</si>
  <si>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</si>
  <si>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</si>
  <si>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</si>
  <si>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</si>
  <si>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</si>
  <si>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</si>
  <si>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</si>
  <si>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</si>
  <si>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</si>
  <si>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</si>
  <si>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</si>
  <si>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</si>
  <si>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</si>
  <si>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</si>
  <si>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</si>
  <si>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</si>
  <si>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</si>
  <si>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</si>
  <si>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</si>
  <si>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</si>
  <si>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</si>
  <si>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</si>
  <si>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</si>
  <si>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</si>
  <si>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</si>
  <si>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</si>
  <si>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</si>
  <si>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</si>
  <si>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</si>
  <si>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</si>
  <si>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</si>
  <si>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</si>
  <si>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</si>
  <si>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</si>
  <si>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</si>
  <si>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</si>
  <si>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</si>
  <si>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</si>
  <si>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</si>
  <si>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</si>
  <si>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</si>
  <si>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</si>
  <si>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</si>
  <si>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</si>
  <si>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</si>
  <si>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</si>
  <si>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</si>
  <si>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</si>
  <si>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</si>
  <si>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</si>
  <si>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</si>
  <si>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</si>
  <si>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</si>
  <si>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</si>
  <si>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</si>
  <si>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</si>
  <si>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</si>
  <si>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</si>
  <si>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</si>
  <si>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</si>
  <si>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</si>
  <si>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</si>
  <si>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</si>
  <si>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</si>
  <si>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</si>
  <si>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</si>
  <si>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</si>
  <si>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</si>
  <si>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</si>
  <si>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</si>
  <si>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</si>
  <si>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</si>
  <si>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</si>
  <si>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</si>
  <si>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</si>
  <si>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</si>
  <si>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</si>
  <si>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</si>
  <si>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</si>
  <si>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</si>
  <si>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</si>
  <si>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</si>
  <si>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</si>
  <si>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</si>
  <si>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</si>
  <si>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</si>
  <si>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</si>
  <si>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</si>
  <si>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</si>
  <si>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</si>
  <si>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</si>
  <si>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</si>
  <si>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</si>
  <si>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</si>
  <si>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</si>
  <si>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</si>
  <si>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</si>
  <si>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</si>
  <si>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</si>
  <si>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</si>
  <si>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</si>
  <si>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</si>
  <si>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</si>
  <si>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</si>
  <si>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</si>
  <si>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</si>
  <si>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</si>
  <si>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</si>
  <si>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</si>
  <si>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</si>
  <si>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</si>
  <si>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</si>
  <si>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</si>
  <si>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</si>
  <si>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</si>
  <si>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</si>
  <si>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</si>
  <si>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</si>
  <si>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</si>
  <si>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</si>
  <si>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</si>
  <si>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</si>
  <si>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</si>
  <si>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</si>
  <si>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</si>
  <si>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</si>
  <si>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</si>
  <si>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</si>
  <si>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</si>
  <si>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</si>
  <si>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</si>
  <si>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</si>
  <si>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</si>
  <si>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</si>
  <si>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</si>
  <si>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</si>
  <si>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</si>
  <si>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</si>
  <si>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</si>
  <si>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</si>
  <si>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</si>
  <si>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</si>
  <si>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</si>
  <si>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</si>
  <si>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</si>
  <si>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</si>
  <si>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</si>
  <si>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</si>
  <si>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</si>
  <si>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</si>
  <si>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</si>
  <si>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</si>
  <si>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</si>
  <si>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</si>
  <si>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</si>
  <si>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</si>
  <si>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</si>
  <si>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</si>
  <si>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</si>
  <si>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</si>
  <si>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</si>
  <si>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</si>
  <si>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</si>
  <si>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</si>
  <si>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</si>
  <si>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</si>
  <si>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</si>
  <si>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</si>
  <si>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</si>
  <si>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</si>
  <si>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</si>
  <si>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</si>
  <si>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</si>
  <si>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</si>
  <si>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</si>
  <si>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</si>
  <si>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</si>
  <si>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</si>
  <si>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</si>
  <si>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</si>
  <si>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</si>
  <si>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</si>
  <si>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</si>
  <si>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</si>
  <si>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</si>
  <si>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</si>
  <si>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</si>
  <si>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</si>
  <si>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</si>
  <si>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</si>
  <si>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</si>
  <si>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</si>
  <si>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</si>
  <si>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</si>
  <si>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</si>
  <si>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</si>
  <si>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</si>
  <si>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</si>
  <si>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</si>
  <si>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</si>
  <si>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</si>
  <si>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</si>
  <si>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</si>
  <si>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</si>
  <si>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</si>
  <si>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</si>
  <si>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</si>
  <si>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</si>
  <si>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</si>
  <si>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</si>
  <si>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</si>
  <si>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</si>
  <si>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</si>
  <si>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</si>
  <si>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</si>
  <si>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</si>
  <si>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</si>
  <si>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</si>
  <si>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</si>
  <si>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</si>
  <si>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</si>
  <si>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</si>
  <si>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</si>
  <si>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</si>
  <si>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</si>
  <si>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</si>
  <si>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</si>
  <si>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</si>
  <si>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</si>
  <si>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</si>
  <si>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</si>
  <si>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</si>
  <si>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</si>
  <si>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</si>
  <si>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</si>
  <si>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</si>
  <si>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</si>
  <si>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</si>
  <si>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</si>
  <si>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</si>
  <si>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</si>
  <si>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</si>
  <si>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</si>
  <si>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</si>
  <si>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</si>
  <si>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</si>
  <si>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</si>
  <si>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</si>
  <si>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</si>
  <si>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</si>
  <si>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</si>
  <si>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</si>
  <si>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</si>
  <si>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</si>
  <si>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</si>
  <si>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</si>
  <si>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</si>
  <si>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</si>
  <si>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</si>
  <si>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</si>
  <si>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</si>
  <si>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</si>
  <si>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</si>
  <si>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</si>
  <si>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</si>
  <si>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</si>
  <si>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</si>
  <si>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</si>
  <si>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</si>
  <si>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</si>
  <si>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</si>
  <si>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</si>
  <si>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</si>
  <si>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</si>
  <si>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</si>
  <si>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</si>
  <si>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</si>
  <si>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</si>
  <si>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</si>
  <si>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</si>
  <si>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</si>
  <si>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</si>
  <si>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</si>
  <si>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</si>
  <si>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</si>
  <si>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</si>
  <si>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</si>
  <si>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</si>
  <si>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</si>
  <si>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</si>
  <si>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</si>
  <si>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</si>
  <si>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</si>
  <si>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</si>
  <si>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</si>
  <si>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</si>
  <si>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</si>
  <si>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</si>
  <si>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</si>
  <si>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</si>
  <si>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</si>
  <si>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銳刃指環</t>
  </si>
  <si>
    <t xml:space="preserve">物攻：4
物防：1
物攻+15%
</t>
  </si>
  <si>
    <t>Sharpblade Ring</t>
  </si>
  <si>
    <t xml:space="preserve">Physical attack: 4
Physical defense: 1
Physical attack power +15%
</t>
  </si>
  <si>
    <t>Nhẫn Lưỡi Sắc</t>
  </si>
  <si>
    <t>Sát thương vật lý: 4
Phòng thủ vật lý: 1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</si>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</sst>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8" fontId="22" numFmtId="0" xfId="0" applyAlignment="1" applyFont="1">
      <alignment horizontal="center" shrinkToFit="0" vertical="center" wrapText="1"/>
    </xf>
    <xf borderId="0" fillId="8" fontId="22" numFmtId="0" xfId="0" applyAlignment="1" applyFont="1">
      <alignment vertical="center"/>
    </xf>
    <xf borderId="0" fillId="15" fontId="22" numFmtId="0" xfId="0" applyAlignment="1" applyFont="1">
      <alignment vertical="center"/>
    </xf>
    <xf borderId="0" fillId="3" fontId="22" numFmtId="0" xfId="0" applyAlignment="1" applyFont="1">
      <alignment readingOrder="0" vertical="center"/>
    </xf>
    <xf borderId="0" fillId="15" fontId="22" numFmtId="0" xfId="0" applyAlignment="1" applyFont="1">
      <alignment readingOrder="0" shrinkToFit="0" vertical="center" wrapText="1"/>
    </xf>
    <xf borderId="0" fillId="8" fontId="22" numFmtId="0" xfId="0" applyAlignment="1" applyFont="1">
      <alignment vertical="center"/>
    </xf>
    <xf borderId="0" fillId="3" fontId="22" numFmtId="0" xfId="0" applyAlignment="1" applyFont="1">
      <alignment horizontal="center" readingOrder="0" vertical="center"/>
    </xf>
    <xf borderId="0" fillId="8" fontId="22" numFmtId="0" xfId="0" applyAlignment="1" applyFont="1">
      <alignment shrinkToFit="0" vertical="center" wrapText="1"/>
    </xf>
    <xf borderId="0" fillId="15"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v>
      </c>
      <c r="C2" s="9" t="str">
        <f>IFERROR(__xludf.DUMMYFUNCTION("GOOGLETRANSLATE(A2,""zh-tw"",""en"")"),"Regarding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que los jugadores que lo necesiten accedan a esta guía desde un sitio web convencional para util"&amp;"izar correctamente todas las funciones de los enlaces.
(En algunas regiones, puede que se requiera una VPN para acceder al sitio).")</f>
        <v>En cuanto al objeto estratégico del juego «Consejos del aventurero», dado que no puede abrir enlaces externos como enlaces a sitios web o mapas, se recomienda que los jugadores que lo necesiten accedan a esta guía desde un sitio web convencional para utilizar correctamente todas las funciones de los enlaces.
(En algunas regiones, puede que se requiera una VPN para acceder al sitio).</v>
      </c>
      <c r="F2" s="5" t="str">
        <f>IFERROR(__xludf.DUMMYFUNCTION("GOOGLETRANSLATE(A2,""zh-tw"",""KO"")"),"게임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2" s="4" t="str">
        <f>IFERROR(__xludf.DUMMYFUNCTION("GOOGLETRANSLATE(A2,""zh-tw"",""RU"")"),"Что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2" s="4" t="str">
        <f>IFERROR(__xludf.DUMMYFUNCTION("GOOGLETRANSLATE(A2,""zh-tw"",""DE"")"),"Bezüglich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2" s="4" t="str">
        <f>IFERROR(__xludf.DUMMYFUNCTION("GOOGLETRANSLATE(A2,""zh-tw"",""VI"")"),"Về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"&amp;"khu vực, vẫn có thể cần VPN để truy cập trang web.)")</f>
        <v>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khu vực, vẫn có thể cần VPN để truy cập trang web.)</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"&amp;"VPN이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просмотреть его напрямую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просмотреть его напрямую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3.75" customHeight="1">
      <c r="A4" s="10" t="s">
        <v>5</v>
      </c>
      <c r="B4" s="11" t="str">
        <f>IFERROR(__xludf.DUMMYFUNCTION("GOOGLETRANSLATE(A4,""zh-tw"",""ja"")"),"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f>
        <v>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v>
      </c>
      <c r="C4" s="12" t="str">
        <f>IFERROR(__xludf.DUMMYFUNCTION("GOOGLETRANSLATE(A4,""zh-tw"",""en"")"),"Regarding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4" s="10" t="str">
        <f>IFERROR(__xludf.DUMMYFUNCTION("GOOGLETRANSLATE(A4,""zh-tw"",""zh"")"),"关于道具""初号核心""的提升，使用位置在技能栏中，由于目前该栏位还无文字叙述所以是空白的，只是尚未设计完全，不是BUG，点选后可以照常进行升级。")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4" s="11" t="str">
        <f>IFERROR(__xludf.DUMMYFUNCTION("GOOGLETRANSLATE(A4,""zh-tw"",""es-MX"")"),"En cuanto a la mejora del objeto ""Núcleo Prototipo"", la ranura de uso se encuentra en la barra de habilidades. Como actualmente no hay ninguna descripción para esta ranura, aparece en blanco. Esto se debe a que el diseño aún no está completo y no es un "&amp;"error. Puedes mejorarlo como de costumbre después de seleccionarlo.")</f>
        <v>En cuanto a la mejora del objeto "Núcleo Prototipo", la ranura de uso se encuentra en la barra de habilidades. Como actualmente no hay ninguna descripción para esta ranura, aparece en blanco. Esto se debe a que el diseño aún no está completo y no es un error. Puedes mejorarlo como de costumbre después de seleccionarlo.</v>
      </c>
      <c r="F4" s="11" t="str">
        <f>IFERROR(__xludf.DUMMYFUNCTION("GOOGLETRANSLATE(A4,""zh-tw"",""KO"")"),"""프로토타입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4" s="11" t="str">
        <f>IFERROR(__xludf.DUMMYFUNCTION("GOOGLETRANSLATE(A4,""zh-tw"",""RU"")"),"Что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4" s="11" t="str">
        <f>IFERROR(__xludf.DUMMYFUNCTION("GOOGLETRANSLATE(A4,""zh-tw"",""DE"")"),"Bezüglich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4" s="13" t="s">
        <v>6</v>
      </c>
      <c r="J4" s="8"/>
      <c r="K4" s="8"/>
      <c r="L4" s="8"/>
      <c r="M4" s="8"/>
      <c r="N4" s="8"/>
      <c r="O4" s="8"/>
      <c r="P4" s="8"/>
      <c r="Q4" s="8"/>
      <c r="R4" s="8"/>
      <c r="S4" s="8"/>
      <c r="T4" s="8"/>
      <c r="U4" s="8"/>
      <c r="V4" s="8"/>
      <c r="W4" s="8"/>
    </row>
    <row r="5" ht="108.0" customHeight="1">
      <c r="A5" s="10" t="s">
        <v>7</v>
      </c>
      <c r="B5" s="11" t="str">
        <f>IFERROR(__xludf.DUMMYFUNCTION("GOOGLETRANSLATE(A5,""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5" s="12" t="str">
        <f>IFERROR(__xludf.DUMMYFUNCTION("GOOGLETRANSLATE(A5,""zh-tw"",""en"")"),"Because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5" s="10" t="str">
        <f>IFERROR(__xludf.DUMMYFUNCTION("GOOGLETRANSLATE(A5,""zh-tw"",""zh"")"),"因0.8版本地图MAP需要进行大量制作，因此目前该分页的部分语言内容还在制作中，可能无法正常浏览，请见谅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5" s="11" t="str">
        <f>IFERROR(__xludf.DUMMYFUNCTION("GOOGLETRANSLATE(A5,""zh-tw"",""es-MX"")"),"Debido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5" s="11" t="str">
        <f>IFERROR(__xludf.DUMMYFUNCTION("GOOGLETRANSLATE(A5,""zh-tw"",""KO"")"),"MAP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5" s="11" t="str">
        <f>IFERROR(__xludf.DUMMYFUNCTION("GOOGLETRANSLATE(A5,""zh-tw"",""RU"")"),"Поскольку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5" s="11" t="str">
        <f>IFERROR(__xludf.DUMMYFUNCTION("GOOGLETRANSLATE(A5,""zh-tw"",""DE"")"),"Da die MAP-Version 0.8 noch umfangreiche Entwicklungsarbeiten erfordert, befinden sich einige Sprachinhalte auf dieser Seite noch in der Entwicklung und sind möglicherweise nicht korrekt dargestellt. Wir bitten die Unannehmlichkeiten zu entschuldigen. Zum"&amp;" Vergleich können Sie die Version in traditionellem Chinesisch heranziehen.")</f>
        <v>Da die MAP-Version 0.8 noch umfangreiche Entwicklungsarbeiten erfordert, befinden sich einige Sprachinhalte auf dieser Seite noch in der Entwicklung und sind möglicherweise nicht korrekt dargestellt. Wir bitten die Unannehmlichkeiten zu entschuldigen. Zum Vergleich können Sie die Version in traditionellem Chinesisch heranziehen.</v>
      </c>
      <c r="I5" s="13" t="s">
        <v>8</v>
      </c>
      <c r="J5" s="8"/>
      <c r="K5" s="8"/>
      <c r="L5" s="8"/>
      <c r="M5" s="8"/>
      <c r="N5" s="8"/>
      <c r="O5" s="8"/>
      <c r="P5" s="8"/>
      <c r="Q5" s="8"/>
      <c r="R5" s="8"/>
      <c r="S5" s="8"/>
      <c r="T5" s="8"/>
      <c r="U5" s="8"/>
      <c r="V5" s="8"/>
      <c r="W5" s="8"/>
    </row>
    <row r="6">
      <c r="A6" s="14"/>
      <c r="B6" s="14"/>
      <c r="C6" s="14"/>
      <c r="D6" s="14"/>
      <c r="E6" s="15"/>
      <c r="F6" s="15"/>
      <c r="G6" s="15"/>
      <c r="H6" s="15"/>
      <c r="I6" s="16"/>
      <c r="J6" s="17"/>
      <c r="K6" s="17"/>
      <c r="L6" s="17"/>
      <c r="M6" s="17"/>
      <c r="N6" s="17"/>
      <c r="O6" s="17"/>
      <c r="P6" s="17"/>
      <c r="Q6" s="17"/>
      <c r="R6" s="17"/>
      <c r="S6" s="17"/>
      <c r="T6" s="17"/>
      <c r="U6" s="17"/>
      <c r="V6" s="17"/>
      <c r="W6" s="17"/>
    </row>
    <row r="7">
      <c r="A7" s="1" t="s">
        <v>9</v>
      </c>
      <c r="B7" s="18" t="str">
        <f>IFERROR(__xludf.DUMMYFUNCTION("GOOGLETRANSLATE(A7,""zh-tw"",""ja"")"),"公式Discordグループ:
https://discord.gg/2Bt7RWknyH")</f>
        <v>公式Discordグループ:
https://discord.gg/2Bt7RWknyH</v>
      </c>
      <c r="C7" s="19" t="str">
        <f>IFERROR(__xludf.DUMMYFUNCTION("GOOGLETRANSLATE(A7,""zh-tw"",""en"")"),"Official Discord group:
https://discord.gg/2Bt7RWknyH")</f>
        <v>Official Discord group:
https://discord.gg/2Bt7RWknyH</v>
      </c>
      <c r="D7" s="18" t="str">
        <f>IFERROR(__xludf.DUMMYFUNCTION("GOOGLETRANSLATE(C7,""zh-tw"",""zh"")"),"Official Discord group:
https://discord.gg/2Bt7RWknyH")</f>
        <v>Official Discord group:
https://discord.gg/2Bt7RWknyH</v>
      </c>
      <c r="E7" s="20" t="str">
        <f>IFERROR(__xludf.DUMMYFUNCTION("GOOGLETRANSLATE(A7,""zh-tw"",""es-MX"")"),"Grupo oficial de Discord:
https://discord.gg/2Bt7RWknyH")</f>
        <v>Grupo oficial de Discord:
https://discord.gg/2Bt7RWknyH</v>
      </c>
      <c r="F7" s="21" t="str">
        <f>IFERROR(__xludf.DUMMYFUNCTION("GOOGLETRANSLATE(A7,""zh-tw"",""KO"")"),"공식 디스코드 그룹:
https://discord.gg/2Bt7RWknyH")</f>
        <v>공식 디스코드 그룹:
https://discord.gg/2Bt7RWknyH</v>
      </c>
      <c r="G7" s="21" t="str">
        <f>IFERROR(__xludf.DUMMYFUNCTION("GOOGLETRANSLATE(A7,""zh-tw"",""RU"")"),"Официальная группа Discord:
https://discord.gg/2Bt7RWknyH")</f>
        <v>Официальная группа Discord:
https://discord.gg/2Bt7RWknyH</v>
      </c>
      <c r="H7" s="21" t="str">
        <f>IFERROR(__xludf.DUMMYFUNCTION("GOOGLETRANSLATE(A7,""zh-tw"",""DE"")"),"Offizielle Discord-Gruppe:
https://discord.gg/2Bt7RWknyH")</f>
        <v>Offizielle Discord-Gruppe:
https://discord.gg/2Bt7RWknyH</v>
      </c>
      <c r="I7" s="22" t="s">
        <v>10</v>
      </c>
      <c r="J7" s="17"/>
      <c r="K7" s="17"/>
      <c r="L7" s="17"/>
      <c r="M7" s="17"/>
      <c r="N7" s="17"/>
      <c r="O7" s="17"/>
      <c r="P7" s="17"/>
      <c r="Q7" s="17"/>
      <c r="R7" s="17"/>
      <c r="S7" s="17"/>
      <c r="T7" s="17"/>
      <c r="U7" s="17"/>
      <c r="V7" s="17"/>
      <c r="W7" s="17"/>
    </row>
    <row r="8">
      <c r="A8" s="1" t="s">
        <v>11</v>
      </c>
      <c r="B8" s="1" t="s">
        <v>12</v>
      </c>
      <c r="C8" s="1" t="s">
        <v>12</v>
      </c>
      <c r="D8" s="1" t="s">
        <v>12</v>
      </c>
      <c r="E8" s="1" t="s">
        <v>12</v>
      </c>
      <c r="F8" s="1" t="s">
        <v>12</v>
      </c>
      <c r="G8" s="1" t="s">
        <v>12</v>
      </c>
      <c r="H8" s="1" t="s">
        <v>12</v>
      </c>
      <c r="I8" s="1" t="s">
        <v>12</v>
      </c>
      <c r="J8" s="17"/>
      <c r="K8" s="17"/>
      <c r="L8" s="17"/>
      <c r="M8" s="17"/>
      <c r="N8" s="17"/>
      <c r="O8" s="17"/>
      <c r="P8" s="17"/>
      <c r="Q8" s="17"/>
      <c r="R8" s="17"/>
      <c r="S8" s="17"/>
      <c r="T8" s="17"/>
      <c r="U8" s="17"/>
      <c r="V8" s="17"/>
      <c r="W8" s="17"/>
    </row>
    <row r="9">
      <c r="A9" s="1" t="s">
        <v>13</v>
      </c>
      <c r="B9" s="1" t="s">
        <v>14</v>
      </c>
      <c r="C9" s="1" t="s">
        <v>15</v>
      </c>
      <c r="D9" s="1" t="s">
        <v>16</v>
      </c>
      <c r="E9" s="23" t="s">
        <v>17</v>
      </c>
      <c r="F9" s="23" t="s">
        <v>18</v>
      </c>
      <c r="G9" s="23" t="s">
        <v>19</v>
      </c>
      <c r="H9" s="23" t="s">
        <v>20</v>
      </c>
      <c r="I9" s="24" t="s">
        <v>21</v>
      </c>
      <c r="J9" s="17"/>
      <c r="K9" s="17"/>
      <c r="L9" s="17"/>
      <c r="M9" s="17"/>
      <c r="N9" s="17"/>
      <c r="O9" s="17"/>
      <c r="P9" s="17"/>
      <c r="Q9" s="17"/>
      <c r="R9" s="17"/>
      <c r="S9" s="17"/>
      <c r="T9" s="17"/>
      <c r="U9" s="17"/>
      <c r="V9" s="17"/>
      <c r="W9" s="17"/>
    </row>
    <row r="10">
      <c r="A10" s="1" t="s">
        <v>22</v>
      </c>
      <c r="B10" s="25" t="s">
        <v>23</v>
      </c>
      <c r="C10" s="25" t="s">
        <v>24</v>
      </c>
      <c r="D10" s="25" t="s">
        <v>25</v>
      </c>
      <c r="E10" s="23" t="s">
        <v>26</v>
      </c>
      <c r="F10" s="23" t="s">
        <v>27</v>
      </c>
      <c r="G10" s="23" t="s">
        <v>28</v>
      </c>
      <c r="H10" s="23" t="s">
        <v>29</v>
      </c>
      <c r="I10" s="22" t="s">
        <v>30</v>
      </c>
      <c r="J10" s="17"/>
      <c r="K10" s="17"/>
      <c r="L10" s="17"/>
      <c r="M10" s="17"/>
      <c r="N10" s="17"/>
      <c r="O10" s="17"/>
      <c r="P10" s="17"/>
      <c r="Q10" s="17"/>
      <c r="R10" s="17"/>
      <c r="S10" s="17"/>
      <c r="T10" s="17"/>
      <c r="U10" s="17"/>
      <c r="V10" s="17"/>
      <c r="W10" s="17"/>
    </row>
    <row r="11">
      <c r="A11" s="25" t="s">
        <v>31</v>
      </c>
      <c r="B11" s="25" t="s">
        <v>32</v>
      </c>
      <c r="C11" s="25" t="s">
        <v>33</v>
      </c>
      <c r="D11" s="25" t="s">
        <v>34</v>
      </c>
      <c r="E11" s="23" t="s">
        <v>35</v>
      </c>
      <c r="F11" s="23" t="s">
        <v>36</v>
      </c>
      <c r="G11" s="23" t="s">
        <v>37</v>
      </c>
      <c r="H11" s="23" t="s">
        <v>38</v>
      </c>
      <c r="I11" s="22"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amp;"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ロシ"&amp;"ア語翻訳：Libeti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3" s="27" t="str">
        <f>IFERROR(__xludf.DUMMYFUNCTION("GOOGLETRANSLATE(A13,""zh-tw"",""en"")"),"This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3" s="26" t="s">
        <v>50</v>
      </c>
      <c r="E13" s="26" t="str">
        <f>IFERROR(__xludf.DUMMYFUNCTION("GOOGLETRANSLATE(A13,""zh-tw"",""es-MX"")"),"Este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Gabrie"&amp;"l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3" s="26" t="str">
        <f>IFERROR(__xludf.DUMMYFUNCTION("GOOGLETRANSLATE(A13,""zh-tw"",""KO"")"),"이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нера"&amp;"скрытые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3" s="26" t="str">
        <f>IFERROR(__xludf.DUMMYFUNCTION("GOOGLETRANSLATE(A13,""zh-tw"",""DE"")"),"Dieses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3" s="28" t="s">
        <v>51</v>
      </c>
      <c r="J13" s="17"/>
      <c r="K13" s="17"/>
      <c r="L13" s="17"/>
      <c r="M13" s="17"/>
      <c r="N13" s="17"/>
      <c r="O13" s="17"/>
      <c r="P13" s="17"/>
      <c r="Q13" s="17"/>
      <c r="R13" s="17"/>
      <c r="S13" s="17"/>
      <c r="T13" s="17"/>
      <c r="U13" s="17"/>
      <c r="V13" s="17"/>
      <c r="W13" s="17"/>
    </row>
    <row r="14">
      <c r="A14" s="29" t="s">
        <v>52</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53</v>
      </c>
      <c r="E14" s="15"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32" t="s">
        <v>54</v>
      </c>
      <c r="J14" s="17"/>
      <c r="K14" s="17"/>
      <c r="L14" s="17"/>
      <c r="M14" s="17"/>
      <c r="N14" s="17"/>
      <c r="O14" s="17"/>
      <c r="P14" s="17"/>
      <c r="Q14" s="17"/>
      <c r="R14" s="17"/>
      <c r="S14" s="17"/>
      <c r="T14" s="17"/>
      <c r="U14" s="17"/>
      <c r="V14" s="17"/>
      <c r="W14" s="17"/>
    </row>
    <row r="15">
      <c r="A15" s="33" t="s">
        <v>55</v>
      </c>
      <c r="B15" s="14"/>
      <c r="C15" s="34"/>
      <c r="D15" s="35" t="s">
        <v>56</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57</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58</v>
      </c>
      <c r="J18" s="17"/>
      <c r="K18" s="17"/>
      <c r="L18" s="17"/>
      <c r="M18" s="17"/>
      <c r="N18" s="17"/>
      <c r="O18" s="17"/>
      <c r="P18" s="17"/>
      <c r="Q18" s="17"/>
      <c r="R18" s="17"/>
      <c r="S18" s="17"/>
      <c r="T18" s="17"/>
      <c r="U18" s="17"/>
      <c r="V18" s="17"/>
      <c r="W18" s="17"/>
    </row>
    <row r="19">
      <c r="A19" s="43" t="s">
        <v>59</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el contenido de la versión 0.85C y se incluyeron algunas correcciones y adiciones.")</f>
        <v>8 de noviembre de 2025: Se agregó el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60</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61</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62</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63</v>
      </c>
      <c r="J22" s="46"/>
      <c r="K22" s="46"/>
      <c r="L22" s="46"/>
      <c r="M22" s="46"/>
      <c r="N22" s="46"/>
      <c r="O22" s="46"/>
      <c r="P22" s="46"/>
      <c r="Q22" s="46"/>
      <c r="R22" s="46"/>
      <c r="S22" s="46"/>
      <c r="T22" s="46"/>
      <c r="U22" s="46"/>
      <c r="V22" s="46"/>
      <c r="W22" s="46"/>
    </row>
    <row r="23">
      <c r="A23" s="43" t="s">
        <v>64</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65</v>
      </c>
      <c r="J23" s="46"/>
      <c r="K23" s="46"/>
      <c r="L23" s="46"/>
      <c r="M23" s="46"/>
      <c r="N23" s="46"/>
      <c r="O23" s="46"/>
      <c r="P23" s="46"/>
      <c r="Q23" s="46"/>
      <c r="R23" s="46"/>
      <c r="S23" s="46"/>
      <c r="T23" s="46"/>
      <c r="U23" s="46"/>
      <c r="V23" s="46"/>
      <c r="W23" s="46"/>
    </row>
    <row r="24">
      <c r="A24" s="43" t="s">
        <v>66</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67</v>
      </c>
      <c r="J24" s="46"/>
      <c r="K24" s="46"/>
      <c r="L24" s="46"/>
      <c r="M24" s="46"/>
      <c r="N24" s="46"/>
      <c r="O24" s="46"/>
      <c r="P24" s="46"/>
      <c r="Q24" s="46"/>
      <c r="R24" s="46"/>
      <c r="S24" s="46"/>
      <c r="T24" s="46"/>
      <c r="U24" s="46"/>
      <c r="V24" s="46"/>
      <c r="W24" s="46"/>
    </row>
    <row r="25">
      <c r="A25" s="43" t="s">
        <v>68</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IFERROR(__xludf.DUMMYFUNCTION("GOOGLETRANSLATE(A31,""zh-tw"",""DE"")"),"Version 0.79D TIPS hinzugefügt am 20.07.2025")</f>
        <v>Version 0.79D TIPS hinzugefügt am 20.07.2025</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desconocida], la sección del mapa se actualizará con la ubicación de los objetos que aparecen en la entrada de la cueva. Manténganse al tanto.")</f>
        <v>Desde el 5 de mayo de 2025 hasta [fecha desconocida], la sección del mapa se actualizará con la ubicación de los objetos que aparecen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111</v>
      </c>
      <c r="J46" s="46"/>
      <c r="K46" s="46"/>
      <c r="L46" s="46"/>
      <c r="M46" s="46"/>
      <c r="N46" s="46"/>
      <c r="O46" s="46"/>
      <c r="P46" s="46"/>
      <c r="Q46" s="46"/>
      <c r="R46" s="46"/>
      <c r="S46" s="46"/>
      <c r="T46" s="46"/>
      <c r="U46" s="46"/>
      <c r="V46" s="46"/>
      <c r="W46" s="46"/>
    </row>
    <row r="47">
      <c r="A47" s="43" t="s">
        <v>112</v>
      </c>
      <c r="B47" s="43" t="s">
        <v>113</v>
      </c>
      <c r="C47" s="43" t="s">
        <v>114</v>
      </c>
      <c r="D47" s="43" t="str">
        <f>IFERROR(__xludf.DUMMYFUNCTION("GOOGLETRANSLATE(A47,""zh-tw"",""zh"")"),"2025/4/4 地图新增大焦热溶岩帯")</f>
        <v>2025/4/4 地图新增大焦热溶岩帯</v>
      </c>
      <c r="E47" s="45" t="str">
        <f>IFERROR(__xludf.DUMMYFUNCTION("GOOGLETRANSLATE(A47,""zh-tw"",""es-MX"")"),"4 de abril de 2025: Se añadió el Gran Cinturón de Lava Abrasada al mapa.")</f>
        <v>4 de abril de 2025: Se añadió el Gran Cinturón de Lava Abrasada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115</v>
      </c>
      <c r="J47" s="46"/>
      <c r="K47" s="46"/>
      <c r="L47" s="46"/>
      <c r="M47" s="46"/>
      <c r="N47" s="46"/>
      <c r="O47" s="46"/>
      <c r="P47" s="46"/>
      <c r="Q47" s="46"/>
      <c r="R47" s="46"/>
      <c r="S47" s="46"/>
      <c r="T47" s="46"/>
      <c r="U47" s="46"/>
      <c r="V47" s="46"/>
      <c r="W47" s="46"/>
    </row>
    <row r="48">
      <c r="A48" s="43" t="s">
        <v>116</v>
      </c>
      <c r="B48" s="43" t="str">
        <f>IFERROR(__xludf.DUMMYFUNCTION("GOOGLETRANSLATE(A48,""zh-tw"",""ja"")"),"2025年4月1日：バージョン0.72のアイテムを追加しました：S7、S32〜S35、TIPS、アイテム2個、鎧1個。")</f>
        <v>2025年4月1日：バージョン0.72のアイテムを追加しました：S7、S32〜S35、TIPS、アイテム2個、鎧1個。</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IFERROR(__xludf.DUMMYFUNCTION("GOOGLETRANSLATE(A50,""zh-tw"",""DE"")"),"Update vom 25. März 2025: Kartennamen und einige Inhalte innerhalb der Veranstaltung wurden korrigiert.")</f>
        <v>Update vom 25. März 2025: Kartennamen und einige Inhalte innerhalb der Veranstaltung wurden korrigiert.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모닥불 표시를 추가했습니다.")</f>
        <v>2025년 2월 3-4일: Fallen Sanctuary에 대한 지도 이미지를 추가했습니다. 지도의 일부에 모닥불 표시를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167</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168</v>
      </c>
      <c r="J73" s="46"/>
      <c r="K73" s="46"/>
      <c r="L73" s="46"/>
      <c r="M73" s="46"/>
      <c r="N73" s="46"/>
      <c r="O73" s="46"/>
      <c r="P73" s="46"/>
      <c r="Q73" s="46"/>
      <c r="R73" s="46"/>
      <c r="S73" s="46"/>
      <c r="T73" s="46"/>
      <c r="U73" s="46"/>
      <c r="V73" s="46"/>
      <c r="W73" s="46"/>
    </row>
    <row r="74">
      <c r="A74" s="43" t="s">
        <v>169</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Ereignisse und neue Ereignisnummern hinzugefügt.")</f>
        <v>Am 15.10.2024 wurden einige Ereignisse und neue Ereignisnummern hinzugefügt.</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IFERROR(__xludf.DUMMYFUNCTION("GOOGLETRANSLATE(A83,""zh-tw"",""ja"")"),"2024/10/14 一部書式を調整しました")</f>
        <v>2024/10/14 一部書式を調整しました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agregó nuevo contenido a la tabla de eventos y notificaciones.")</f>
        <v>10 de octubre de 2024: Se agregó nuevo contenido a la tabla de eventos y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200</v>
      </c>
      <c r="J89" s="46"/>
      <c r="K89" s="46"/>
      <c r="L89" s="46"/>
      <c r="M89" s="46"/>
      <c r="N89" s="46"/>
      <c r="O89" s="46"/>
      <c r="P89" s="46"/>
      <c r="Q89" s="46"/>
      <c r="R89" s="46"/>
      <c r="S89" s="46"/>
      <c r="T89" s="46"/>
      <c r="U89" s="46"/>
      <c r="V89" s="46"/>
      <c r="W89" s="46"/>
    </row>
    <row r="90">
      <c r="A90" s="50" t="s">
        <v>201</v>
      </c>
      <c r="B90" s="51" t="s">
        <v>202</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203</v>
      </c>
      <c r="J90" s="46"/>
      <c r="K90" s="46"/>
      <c r="L90" s="46"/>
      <c r="M90" s="46"/>
      <c r="N90" s="46"/>
      <c r="O90" s="46"/>
      <c r="P90" s="46"/>
      <c r="Q90" s="46"/>
      <c r="R90" s="46"/>
      <c r="S90" s="46"/>
      <c r="T90" s="46"/>
      <c r="U90" s="46"/>
      <c r="V90" s="46"/>
      <c r="W90" s="46"/>
    </row>
    <row r="91">
      <c r="A91" s="43" t="s">
        <v>204</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211</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7"/>
    <hyperlink r:id="rId5" ref="I7"/>
    <hyperlink r:id="rId6" ref="A8"/>
    <hyperlink r:id="rId7" ref="B8"/>
    <hyperlink r:id="rId8" ref="C8"/>
    <hyperlink r:id="rId9" ref="D8"/>
    <hyperlink r:id="rId10" ref="E8"/>
    <hyperlink r:id="rId11" ref="F8"/>
    <hyperlink r:id="rId12" ref="G8"/>
    <hyperlink r:id="rId13" ref="H8"/>
    <hyperlink r:id="rId14" ref="I8"/>
    <hyperlink r:id="rId15" ref="A9"/>
    <hyperlink r:id="rId16" ref="B9"/>
    <hyperlink r:id="rId17" ref="C9"/>
    <hyperlink r:id="rId18" ref="D9"/>
    <hyperlink r:id="rId19" ref="E9"/>
    <hyperlink r:id="rId20" ref="F9"/>
    <hyperlink r:id="rId21" ref="G9"/>
    <hyperlink r:id="rId22" ref="H9"/>
    <hyperlink r:id="rId23" ref="I9"/>
    <hyperlink r:id="rId24" ref="A10"/>
    <hyperlink r:id="rId25" ref="B10"/>
    <hyperlink r:id="rId26" ref="C10"/>
    <hyperlink r:id="rId27" ref="D10"/>
    <hyperlink r:id="rId28" ref="E10"/>
    <hyperlink r:id="rId29" ref="F10"/>
    <hyperlink r:id="rId30" ref="G10"/>
    <hyperlink r:id="rId31" ref="H10"/>
    <hyperlink r:id="rId32" ref="I10"/>
    <hyperlink r:id="rId33" ref="A11"/>
    <hyperlink r:id="rId34" ref="B11"/>
    <hyperlink r:id="rId35" ref="C11"/>
    <hyperlink r:id="rId36" ref="D11"/>
    <hyperlink r:id="rId37" ref="E11"/>
    <hyperlink r:id="rId38" ref="F11"/>
    <hyperlink r:id="rId39" ref="G11"/>
    <hyperlink r:id="rId40" ref="H11"/>
    <hyperlink r:id="rId41" ref="I11"/>
    <hyperlink r:id="rId42" ref="A12"/>
    <hyperlink r:id="rId43" ref="B12"/>
    <hyperlink r:id="rId44" ref="C12"/>
    <hyperlink r:id="rId45" ref="D12"/>
    <hyperlink r:id="rId46" ref="E12"/>
    <hyperlink r:id="rId47" ref="F12"/>
    <hyperlink r:id="rId48" ref="G12"/>
    <hyperlink r:id="rId49" ref="H12"/>
    <hyperlink r:id="rId50" ref="I12"/>
    <hyperlink r:id="rId5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212</v>
      </c>
      <c r="E1" s="57" t="s">
        <v>212</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214</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7"/>
      <c r="AL1" s="57"/>
      <c r="AM1" s="57"/>
      <c r="AN1" s="57"/>
      <c r="AO1" s="57"/>
    </row>
    <row r="2" ht="34.5" customHeight="1">
      <c r="AK2" s="57"/>
      <c r="AL2" s="57"/>
      <c r="AM2" s="57"/>
      <c r="AN2" s="57"/>
      <c r="AO2" s="57"/>
    </row>
    <row r="3">
      <c r="A3" s="62" t="s">
        <v>216</v>
      </c>
      <c r="B3" s="63" t="s">
        <v>217</v>
      </c>
      <c r="C3" s="64" t="s">
        <v>218</v>
      </c>
      <c r="D3" s="65" t="s">
        <v>219</v>
      </c>
      <c r="E3" s="62" t="s">
        <v>216</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216</v>
      </c>
      <c r="J3" s="63" t="s">
        <v>220</v>
      </c>
      <c r="K3" s="64" t="s">
        <v>221</v>
      </c>
      <c r="L3" s="65" t="s">
        <v>222</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216</v>
      </c>
      <c r="R3" s="70" t="s">
        <v>223</v>
      </c>
      <c r="S3" s="71" t="s">
        <v>224</v>
      </c>
      <c r="T3" s="72" t="s">
        <v>225</v>
      </c>
      <c r="U3" s="66" t="s">
        <v>216</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216</v>
      </c>
      <c r="Z3" s="63" t="s">
        <v>226</v>
      </c>
      <c r="AA3" s="64" t="s">
        <v>227</v>
      </c>
      <c r="AB3" s="65" t="s">
        <v>228</v>
      </c>
      <c r="AC3" s="62" t="s">
        <v>216</v>
      </c>
      <c r="AD3" s="70" t="s">
        <v>229</v>
      </c>
      <c r="AE3" s="64" t="s">
        <v>230</v>
      </c>
      <c r="AF3" s="72" t="s">
        <v>231</v>
      </c>
      <c r="AG3" s="73" t="s">
        <v>232</v>
      </c>
      <c r="AH3" s="74" t="s">
        <v>233</v>
      </c>
      <c r="AI3" s="75" t="s">
        <v>234</v>
      </c>
      <c r="AJ3" s="76" t="s">
        <v>235</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236</v>
      </c>
      <c r="B5" s="81" t="s">
        <v>237</v>
      </c>
      <c r="E5" s="80" t="s">
        <v>236</v>
      </c>
      <c r="F5" s="80" t="s">
        <v>238</v>
      </c>
      <c r="I5" s="80" t="s">
        <v>236</v>
      </c>
      <c r="J5" s="80" t="s">
        <v>239</v>
      </c>
      <c r="M5" s="80" t="s">
        <v>236</v>
      </c>
      <c r="N5" s="81" t="str">
        <f>IFERROR(__xludf.DUMMYFUNCTION("GOOGLETRANSLATE(B5,""zh-tw"",""zh"")"),"平时相关")</f>
        <v>平时相关</v>
      </c>
      <c r="Q5" s="80" t="s">
        <v>236</v>
      </c>
      <c r="R5" s="80" t="s">
        <v>240</v>
      </c>
      <c r="U5" s="80" t="s">
        <v>236</v>
      </c>
      <c r="V5" s="80" t="s">
        <v>241</v>
      </c>
      <c r="Y5" s="80" t="s">
        <v>236</v>
      </c>
      <c r="Z5" s="80" t="s">
        <v>242</v>
      </c>
      <c r="AC5" s="80" t="s">
        <v>236</v>
      </c>
      <c r="AD5" s="80" t="s">
        <v>243</v>
      </c>
      <c r="AG5" s="82" t="s">
        <v>236</v>
      </c>
      <c r="AH5" s="83" t="s">
        <v>244</v>
      </c>
      <c r="AK5" s="81"/>
      <c r="AL5" s="81"/>
      <c r="AM5" s="81"/>
      <c r="AN5" s="81"/>
      <c r="AO5" s="81"/>
    </row>
    <row r="6">
      <c r="A6" s="84">
        <v>1.0</v>
      </c>
      <c r="B6" s="85" t="s">
        <v>245</v>
      </c>
      <c r="C6" s="86" t="s">
        <v>246</v>
      </c>
      <c r="D6" s="87" t="s">
        <v>247</v>
      </c>
      <c r="E6" s="84">
        <v>1.0</v>
      </c>
      <c r="F6" s="85" t="s">
        <v>248</v>
      </c>
      <c r="G6" s="86" t="str">
        <f>IFERROR(__xludf.DUMMYFUNCTION("GOOGLETRANSLATE(C6,""zh-tw"",""ja"")"),"妹を抱きしめて")</f>
        <v>妹を抱きしめて</v>
      </c>
      <c r="H6" s="87" t="s">
        <v>249</v>
      </c>
      <c r="I6" s="84">
        <v>1.0</v>
      </c>
      <c r="J6" s="85" t="s">
        <v>250</v>
      </c>
      <c r="K6" s="86" t="s">
        <v>251</v>
      </c>
      <c r="L6" s="87" t="s">
        <v>252</v>
      </c>
      <c r="M6" s="84">
        <v>1.0</v>
      </c>
      <c r="N6" s="88" t="str">
        <f>IFERROR(__xludf.DUMMYFUNCTION("GOOGLETRANSLATE(B6,""zh-tw"",""zh"")"),"开局选项")</f>
        <v>开局选项</v>
      </c>
      <c r="O6" s="89" t="str">
        <f>IFERROR(__xludf.DUMMYFUNCTION("GOOGLETRANSLATE(C6,""zh-tw"",""zh"")"),"抱住妹妹")</f>
        <v>抱住妹妹</v>
      </c>
      <c r="P6" s="55" t="s">
        <v>253</v>
      </c>
      <c r="Q6" s="84">
        <v>1.0</v>
      </c>
      <c r="R6" s="85" t="s">
        <v>254</v>
      </c>
      <c r="S6" s="89" t="str">
        <f>IFERROR(__xludf.DUMMYFUNCTION("GOOGLETRANSLATE(C6,""zh-tw"",""es-MX"")"),"Abraza a mi hermana")</f>
        <v>Abraza a mi hermana</v>
      </c>
      <c r="T6" s="52" t="s">
        <v>255</v>
      </c>
      <c r="U6" s="84">
        <v>1.0</v>
      </c>
      <c r="V6" s="85" t="s">
        <v>256</v>
      </c>
      <c r="W6" s="86" t="s">
        <v>257</v>
      </c>
      <c r="X6" s="87" t="s">
        <v>258</v>
      </c>
      <c r="Y6" s="84">
        <v>1.0</v>
      </c>
      <c r="Z6" s="90" t="s">
        <v>259</v>
      </c>
      <c r="AA6" s="91" t="s">
        <v>260</v>
      </c>
      <c r="AB6" s="43" t="s">
        <v>261</v>
      </c>
      <c r="AC6" s="84">
        <v>1.0</v>
      </c>
      <c r="AD6" s="85" t="s">
        <v>262</v>
      </c>
      <c r="AE6" s="86" t="s">
        <v>263</v>
      </c>
      <c r="AF6" s="87" t="s">
        <v>264</v>
      </c>
      <c r="AG6" s="84">
        <v>1.0</v>
      </c>
      <c r="AH6" s="92" t="s">
        <v>265</v>
      </c>
      <c r="AI6" s="93" t="s">
        <v>266</v>
      </c>
      <c r="AJ6" s="94" t="s">
        <v>267</v>
      </c>
      <c r="AK6" s="87"/>
      <c r="AL6" s="87"/>
      <c r="AM6" s="87"/>
      <c r="AN6" s="87"/>
      <c r="AO6" s="87"/>
    </row>
    <row r="7">
      <c r="C7" s="86" t="s">
        <v>268</v>
      </c>
      <c r="D7" s="87" t="s">
        <v>269</v>
      </c>
      <c r="G7" s="86" t="s">
        <v>270</v>
      </c>
      <c r="H7" s="87" t="s">
        <v>271</v>
      </c>
      <c r="K7" s="86" t="s">
        <v>272</v>
      </c>
      <c r="L7" s="87" t="s">
        <v>273</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274</v>
      </c>
      <c r="W7" s="95" t="s">
        <v>275</v>
      </c>
      <c r="X7" s="52" t="s">
        <v>276</v>
      </c>
      <c r="AA7" s="91" t="s">
        <v>277</v>
      </c>
      <c r="AB7" s="43" t="s">
        <v>278</v>
      </c>
      <c r="AE7" s="86" t="s">
        <v>279</v>
      </c>
      <c r="AF7" s="87" t="s">
        <v>280</v>
      </c>
      <c r="AI7" s="93" t="s">
        <v>281</v>
      </c>
      <c r="AJ7" s="94" t="s">
        <v>282</v>
      </c>
      <c r="AK7" s="87"/>
      <c r="AL7" s="87"/>
      <c r="AM7" s="87"/>
      <c r="AN7" s="87"/>
      <c r="AO7" s="87"/>
    </row>
    <row r="8">
      <c r="C8" s="86" t="s">
        <v>283</v>
      </c>
      <c r="D8" s="87" t="s">
        <v>284</v>
      </c>
      <c r="G8" s="86" t="s">
        <v>285</v>
      </c>
      <c r="H8" s="87" t="s">
        <v>286</v>
      </c>
      <c r="K8" s="86" t="s">
        <v>287</v>
      </c>
      <c r="L8" s="87" t="s">
        <v>288</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289</v>
      </c>
      <c r="W8" s="95" t="s">
        <v>290</v>
      </c>
      <c r="X8" s="52" t="s">
        <v>291</v>
      </c>
      <c r="AA8" s="91" t="s">
        <v>292</v>
      </c>
      <c r="AB8" s="43" t="s">
        <v>293</v>
      </c>
      <c r="AE8" s="86" t="s">
        <v>294</v>
      </c>
      <c r="AF8" s="87" t="s">
        <v>295</v>
      </c>
      <c r="AI8" s="93" t="s">
        <v>296</v>
      </c>
      <c r="AJ8" s="94" t="s">
        <v>297</v>
      </c>
      <c r="AK8" s="87"/>
      <c r="AL8" s="87"/>
      <c r="AM8" s="87"/>
      <c r="AN8" s="87"/>
      <c r="AO8" s="87"/>
    </row>
    <row r="9">
      <c r="C9" s="86" t="s">
        <v>298</v>
      </c>
      <c r="D9" s="87" t="s">
        <v>299</v>
      </c>
      <c r="G9" s="86" t="s">
        <v>300</v>
      </c>
      <c r="H9" s="87" t="s">
        <v>301</v>
      </c>
      <c r="K9" s="86" t="s">
        <v>302</v>
      </c>
      <c r="L9" s="87" t="s">
        <v>303</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IFERROR(__xludf.DUMMYFUNCTION("GOOGLETRANSLATE(C9,""zh-tw"",""es-MX"")"),"No pasó nada -&gt; Lo olvidé todo")</f>
        <v>No pasó nada -&gt; Lo olvidé todo</v>
      </c>
      <c r="T9" s="96" t="s">
        <v>304</v>
      </c>
      <c r="W9" s="95" t="s">
        <v>305</v>
      </c>
      <c r="X9" s="52" t="s">
        <v>306</v>
      </c>
      <c r="AA9" s="91" t="s">
        <v>307</v>
      </c>
      <c r="AB9" s="97" t="s">
        <v>308</v>
      </c>
      <c r="AE9" s="86" t="s">
        <v>309</v>
      </c>
      <c r="AF9" s="87" t="s">
        <v>310</v>
      </c>
      <c r="AI9" s="93" t="s">
        <v>311</v>
      </c>
      <c r="AJ9" s="94" t="s">
        <v>312</v>
      </c>
      <c r="AK9" s="87"/>
      <c r="AL9" s="87"/>
      <c r="AM9" s="87"/>
      <c r="AN9" s="87"/>
      <c r="AO9" s="87"/>
    </row>
    <row r="10">
      <c r="A10" s="84">
        <v>2.0</v>
      </c>
      <c r="B10" s="85" t="s">
        <v>313</v>
      </c>
      <c r="C10" s="86" t="s">
        <v>314</v>
      </c>
      <c r="D10" s="87" t="s">
        <v>315</v>
      </c>
      <c r="E10" s="84">
        <v>2.0</v>
      </c>
      <c r="F10" s="85" t="s">
        <v>316</v>
      </c>
      <c r="G10" s="86" t="s">
        <v>317</v>
      </c>
      <c r="H10" s="87" t="s">
        <v>318</v>
      </c>
      <c r="I10" s="84">
        <v>2.0</v>
      </c>
      <c r="J10" s="85" t="s">
        <v>319</v>
      </c>
      <c r="K10" s="86" t="s">
        <v>320</v>
      </c>
      <c r="L10" s="87" t="s">
        <v>321</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322</v>
      </c>
      <c r="U10" s="84">
        <v>2.0</v>
      </c>
      <c r="V10" s="88" t="s">
        <v>323</v>
      </c>
      <c r="W10" s="95" t="s">
        <v>324</v>
      </c>
      <c r="X10" s="52" t="s">
        <v>325</v>
      </c>
      <c r="Y10" s="84">
        <v>2.0</v>
      </c>
      <c r="Z10" s="90" t="s">
        <v>326</v>
      </c>
      <c r="AA10" s="91" t="s">
        <v>327</v>
      </c>
      <c r="AB10" s="97" t="s">
        <v>328</v>
      </c>
      <c r="AC10" s="84">
        <v>2.0</v>
      </c>
      <c r="AD10" s="85" t="s">
        <v>329</v>
      </c>
      <c r="AE10" s="86" t="s">
        <v>330</v>
      </c>
      <c r="AF10" s="87" t="s">
        <v>331</v>
      </c>
      <c r="AG10" s="84">
        <v>2.0</v>
      </c>
      <c r="AH10" s="92" t="s">
        <v>332</v>
      </c>
      <c r="AI10" s="93" t="s">
        <v>333</v>
      </c>
      <c r="AJ10" s="94" t="s">
        <v>334</v>
      </c>
      <c r="AK10" s="87"/>
      <c r="AL10" s="87"/>
      <c r="AM10" s="87"/>
      <c r="AN10" s="87"/>
      <c r="AO10" s="87"/>
    </row>
    <row r="11">
      <c r="A11" s="84">
        <v>3.0</v>
      </c>
      <c r="B11" s="85" t="s">
        <v>284</v>
      </c>
      <c r="C11" s="86" t="s">
        <v>335</v>
      </c>
      <c r="D11" s="87" t="s">
        <v>336</v>
      </c>
      <c r="E11" s="84">
        <v>3.0</v>
      </c>
      <c r="F11" s="85" t="s">
        <v>337</v>
      </c>
      <c r="G11" s="86" t="s">
        <v>338</v>
      </c>
      <c r="H11" s="87" t="s">
        <v>339</v>
      </c>
      <c r="I11" s="84">
        <v>3.0</v>
      </c>
      <c r="J11" s="85" t="s">
        <v>340</v>
      </c>
      <c r="K11" s="86" t="s">
        <v>341</v>
      </c>
      <c r="L11" s="87" t="s">
        <v>342</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343</v>
      </c>
      <c r="U11" s="84">
        <v>3.0</v>
      </c>
      <c r="V11" s="98" t="s">
        <v>344</v>
      </c>
      <c r="W11" s="95" t="s">
        <v>345</v>
      </c>
      <c r="X11" s="87" t="s">
        <v>346</v>
      </c>
      <c r="Y11" s="84">
        <v>3.0</v>
      </c>
      <c r="Z11" s="99" t="s">
        <v>347</v>
      </c>
      <c r="AA11" s="91" t="s">
        <v>348</v>
      </c>
      <c r="AB11" s="43" t="s">
        <v>349</v>
      </c>
      <c r="AC11" s="84">
        <v>3.0</v>
      </c>
      <c r="AD11" s="85" t="s">
        <v>350</v>
      </c>
      <c r="AE11" s="86" t="s">
        <v>351</v>
      </c>
      <c r="AF11" s="87" t="s">
        <v>352</v>
      </c>
      <c r="AG11" s="84">
        <v>3.0</v>
      </c>
      <c r="AH11" s="92" t="s">
        <v>353</v>
      </c>
      <c r="AI11" s="93" t="s">
        <v>354</v>
      </c>
      <c r="AJ11" s="94" t="s">
        <v>355</v>
      </c>
      <c r="AK11" s="87"/>
      <c r="AL11" s="87"/>
      <c r="AM11" s="87"/>
      <c r="AN11" s="87"/>
      <c r="AO11" s="87"/>
    </row>
    <row r="12">
      <c r="A12" s="84">
        <v>4.0</v>
      </c>
      <c r="B12" s="85" t="s">
        <v>356</v>
      </c>
      <c r="C12" s="86" t="s">
        <v>357</v>
      </c>
      <c r="D12" s="87" t="s">
        <v>358</v>
      </c>
      <c r="E12" s="84">
        <v>4.0</v>
      </c>
      <c r="F12" s="85" t="s">
        <v>359</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360</v>
      </c>
      <c r="I12" s="84">
        <v>4.0</v>
      </c>
      <c r="J12" s="85" t="s">
        <v>361</v>
      </c>
      <c r="K12" s="86" t="s">
        <v>362</v>
      </c>
      <c r="L12" s="87" t="s">
        <v>363</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364</v>
      </c>
      <c r="T12" s="52" t="s">
        <v>365</v>
      </c>
      <c r="U12" s="84">
        <v>4.0</v>
      </c>
      <c r="V12" s="85" t="str">
        <f>IFERROR(__xludf.DUMMYFUNCTION("GOOGLETRANSLATE(B12,""zh-tw"",""KO"")"),"동의: 다치지 마세요")</f>
        <v>동의: 다치지 마세요</v>
      </c>
      <c r="W12" s="86" t="s">
        <v>366</v>
      </c>
      <c r="X12" s="87" t="s">
        <v>367</v>
      </c>
      <c r="Y12" s="84">
        <v>4.0</v>
      </c>
      <c r="Z12" s="90" t="s">
        <v>368</v>
      </c>
      <c r="AA12" s="91" t="s">
        <v>369</v>
      </c>
      <c r="AB12" s="43" t="s">
        <v>370</v>
      </c>
      <c r="AC12" s="84">
        <v>4.0</v>
      </c>
      <c r="AD12" s="85" t="s">
        <v>371</v>
      </c>
      <c r="AE12" s="86" t="s">
        <v>372</v>
      </c>
      <c r="AF12" s="87" t="s">
        <v>373</v>
      </c>
      <c r="AG12" s="84">
        <v>4.0</v>
      </c>
      <c r="AH12" s="92" t="s">
        <v>374</v>
      </c>
      <c r="AI12" s="93" t="s">
        <v>375</v>
      </c>
      <c r="AJ12" s="94" t="s">
        <v>376</v>
      </c>
      <c r="AK12" s="87"/>
      <c r="AL12" s="87"/>
      <c r="AM12" s="87"/>
      <c r="AN12" s="87"/>
      <c r="AO12" s="87"/>
    </row>
    <row r="13">
      <c r="A13" s="84">
        <v>5.0</v>
      </c>
      <c r="B13" s="85" t="s">
        <v>377</v>
      </c>
      <c r="C13" s="86" t="s">
        <v>378</v>
      </c>
      <c r="D13" s="87" t="s">
        <v>379</v>
      </c>
      <c r="E13" s="84">
        <v>5.0</v>
      </c>
      <c r="F13" s="85" t="s">
        <v>380</v>
      </c>
      <c r="G13" s="86" t="s">
        <v>381</v>
      </c>
      <c r="H13" s="87" t="s">
        <v>382</v>
      </c>
      <c r="I13" s="84">
        <v>5.0</v>
      </c>
      <c r="J13" s="85" t="s">
        <v>383</v>
      </c>
      <c r="K13" s="95" t="s">
        <v>384</v>
      </c>
      <c r="L13" s="52" t="s">
        <v>385</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386</v>
      </c>
      <c r="S13" s="100" t="s">
        <v>387</v>
      </c>
      <c r="T13" s="101" t="s">
        <v>388</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389</v>
      </c>
      <c r="AA13" s="91" t="s">
        <v>390</v>
      </c>
      <c r="AB13" s="43" t="s">
        <v>391</v>
      </c>
      <c r="AC13" s="84">
        <v>5.0</v>
      </c>
      <c r="AD13" s="85" t="s">
        <v>392</v>
      </c>
      <c r="AE13" s="86" t="s">
        <v>393</v>
      </c>
      <c r="AF13" s="87" t="s">
        <v>394</v>
      </c>
      <c r="AG13" s="84">
        <v>5.0</v>
      </c>
      <c r="AH13" s="92" t="s">
        <v>395</v>
      </c>
      <c r="AI13" s="100" t="s">
        <v>396</v>
      </c>
      <c r="AJ13" s="94" t="s">
        <v>397</v>
      </c>
      <c r="AK13" s="87"/>
      <c r="AL13" s="87"/>
      <c r="AM13" s="87"/>
      <c r="AN13" s="87"/>
      <c r="AO13" s="87"/>
    </row>
    <row r="14" ht="69.0" customHeight="1">
      <c r="A14" s="84">
        <v>6.0</v>
      </c>
      <c r="B14" s="85" t="s">
        <v>398</v>
      </c>
      <c r="C14" s="86" t="s">
        <v>399</v>
      </c>
      <c r="D14" s="87" t="s">
        <v>400</v>
      </c>
      <c r="E14" s="84">
        <v>6.0</v>
      </c>
      <c r="F14" s="85" t="s">
        <v>401</v>
      </c>
      <c r="G14" s="86" t="s">
        <v>402</v>
      </c>
      <c r="H14" s="87" t="s">
        <v>403</v>
      </c>
      <c r="I14" s="84">
        <v>6.0</v>
      </c>
      <c r="J14" s="85" t="s">
        <v>404</v>
      </c>
      <c r="K14" s="86" t="s">
        <v>405</v>
      </c>
      <c r="L14" s="87" t="s">
        <v>406</v>
      </c>
      <c r="M14" s="84">
        <v>6.0</v>
      </c>
      <c r="N14" s="85" t="str">
        <f>IFERROR(__xludf.DUMMYFUNCTION("GOOGLETRANSLATE(B14,""zh-tw"",""zh"")"),"第一次带饮料")</f>
        <v>第一次带饮料</v>
      </c>
      <c r="O14" s="89" t="s">
        <v>407</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408</v>
      </c>
      <c r="U14" s="84">
        <v>6.0</v>
      </c>
      <c r="V14" s="85" t="s">
        <v>409</v>
      </c>
      <c r="W14" s="95" t="s">
        <v>410</v>
      </c>
      <c r="X14" s="87" t="s">
        <v>411</v>
      </c>
      <c r="Y14" s="84">
        <v>6.0</v>
      </c>
      <c r="Z14" s="99" t="s">
        <v>412</v>
      </c>
      <c r="AA14" s="102" t="s">
        <v>413</v>
      </c>
      <c r="AB14" s="44" t="s">
        <v>414</v>
      </c>
      <c r="AC14" s="84">
        <v>6.0</v>
      </c>
      <c r="AD14" s="85" t="s">
        <v>415</v>
      </c>
      <c r="AE14" s="86" t="s">
        <v>416</v>
      </c>
      <c r="AF14" s="87" t="s">
        <v>417</v>
      </c>
      <c r="AG14" s="84">
        <v>6.0</v>
      </c>
      <c r="AH14" s="92" t="s">
        <v>418</v>
      </c>
      <c r="AI14" s="93" t="s">
        <v>419</v>
      </c>
      <c r="AJ14" s="94" t="s">
        <v>420</v>
      </c>
      <c r="AK14" s="87"/>
      <c r="AL14" s="87"/>
      <c r="AM14" s="87"/>
      <c r="AN14" s="87"/>
      <c r="AO14" s="87"/>
    </row>
    <row r="15">
      <c r="A15" s="84">
        <v>7.0</v>
      </c>
      <c r="B15" s="85" t="s">
        <v>421</v>
      </c>
      <c r="C15" s="86" t="s">
        <v>422</v>
      </c>
      <c r="D15" s="87" t="s">
        <v>423</v>
      </c>
      <c r="E15" s="84">
        <v>7.0</v>
      </c>
      <c r="F15" s="85" t="s">
        <v>424</v>
      </c>
      <c r="G15" s="86" t="s">
        <v>425</v>
      </c>
      <c r="H15" s="87" t="s">
        <v>426</v>
      </c>
      <c r="I15" s="84">
        <v>7.0</v>
      </c>
      <c r="J15" s="85" t="s">
        <v>427</v>
      </c>
      <c r="K15" s="86" t="s">
        <v>428</v>
      </c>
      <c r="L15" s="87" t="s">
        <v>429</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430</v>
      </c>
      <c r="Q15" s="84">
        <v>7.0</v>
      </c>
      <c r="R15" s="88" t="s">
        <v>431</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432</v>
      </c>
      <c r="W15" s="95" t="s">
        <v>433</v>
      </c>
      <c r="X15" s="52" t="s">
        <v>434</v>
      </c>
      <c r="Y15" s="84">
        <v>7.0</v>
      </c>
      <c r="Z15" s="90" t="s">
        <v>435</v>
      </c>
      <c r="AA15" s="102" t="s">
        <v>436</v>
      </c>
      <c r="AB15" s="97" t="s">
        <v>437</v>
      </c>
      <c r="AC15" s="84">
        <v>7.0</v>
      </c>
      <c r="AD15" s="85" t="s">
        <v>438</v>
      </c>
      <c r="AE15" s="86" t="s">
        <v>439</v>
      </c>
      <c r="AF15" s="87" t="s">
        <v>440</v>
      </c>
      <c r="AG15" s="84">
        <v>7.0</v>
      </c>
      <c r="AH15" s="92" t="s">
        <v>441</v>
      </c>
      <c r="AI15" s="100" t="s">
        <v>442</v>
      </c>
      <c r="AJ15" s="94" t="s">
        <v>443</v>
      </c>
      <c r="AK15" s="87"/>
      <c r="AL15" s="87"/>
      <c r="AM15" s="87"/>
      <c r="AN15" s="87"/>
      <c r="AO15" s="87"/>
    </row>
    <row r="16">
      <c r="A16" s="84">
        <v>8.0</v>
      </c>
      <c r="B16" s="85" t="s">
        <v>444</v>
      </c>
      <c r="C16" s="86" t="s">
        <v>445</v>
      </c>
      <c r="D16" s="87" t="s">
        <v>446</v>
      </c>
      <c r="E16" s="84">
        <v>8.0</v>
      </c>
      <c r="F16" s="85" t="s">
        <v>447</v>
      </c>
      <c r="G16" s="86" t="s">
        <v>448</v>
      </c>
      <c r="H16" s="87" t="s">
        <v>449</v>
      </c>
      <c r="I16" s="84">
        <v>8.0</v>
      </c>
      <c r="J16" s="85" t="s">
        <v>450</v>
      </c>
      <c r="K16" s="86" t="s">
        <v>451</v>
      </c>
      <c r="L16" s="52" t="s">
        <v>452</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 la comida que tu hermana preparará depende de las opciones disponibles.
Además, hay algunas reglas:
1. Selección aleatoria de los ingredientes restantes.
2. Tu hermana no elegirá chiles ni comida chatarra.
3. La carne suele tener priori"&amp;"dad.
4. El plato se preparará según las recetas habituales.
5. Existe la posibilidad de que ocurra un ""Gran Milagro"": incluso si la preparación falla, aún puede resultar un plato exitoso.
6. La suerte de tu hermano aumenta la probabilidad de que tu h"&amp;"ermana ocurra un ""Gran Milagro"".
7. Tu hermana no cocinará si está de mal humor.
8. Cuando tenga muchos corazones morados, tu hermana añadirá ingredientes en secreto (aún no implementado).")</f>
        <v>La elección de la comida que tu hermana preparará depende de las opciones disponibles.
Además, hay algunas reglas:
1. Selección aleatoria de los ingredientes restantes.
2. Tu hermana no elegirá chiles ni comida chatarra.
3. La carne suele tener prioridad.
4. El plato se preparará según las recetas habituales.
5. Existe la posibilidad de que ocurra un "Gran Milagro": incluso si la preparación falla, aún puede resultar un plato exitoso.
6. La suerte de tu hermano aumenta la probabilidad de que tu hermana ocurra un "Gran Milagro".
7. Tu hermana no cocinará si está de mal humor.
8. Cuando tenga muchos corazones morados, tu hermana añadirá ingredientes en secreto (aún no implementado).</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453</v>
      </c>
      <c r="AE16" s="86" t="s">
        <v>454</v>
      </c>
      <c r="AF16" s="87" t="s">
        <v>455</v>
      </c>
      <c r="AG16" s="84">
        <v>8.0</v>
      </c>
      <c r="AH16" s="105" t="s">
        <v>456</v>
      </c>
      <c r="AI16" s="93" t="s">
        <v>457</v>
      </c>
      <c r="AJ16" s="101" t="s">
        <v>458</v>
      </c>
      <c r="AK16" s="87"/>
      <c r="AL16" s="87"/>
      <c r="AM16" s="87"/>
      <c r="AN16" s="87"/>
      <c r="AO16" s="87"/>
    </row>
    <row r="17">
      <c r="A17" s="84">
        <v>9.0</v>
      </c>
      <c r="B17" s="85" t="s">
        <v>459</v>
      </c>
      <c r="C17" s="86" t="s">
        <v>460</v>
      </c>
      <c r="D17" s="87" t="s">
        <v>461</v>
      </c>
      <c r="E17" s="84">
        <v>9.0</v>
      </c>
      <c r="F17" s="85" t="s">
        <v>462</v>
      </c>
      <c r="G17" s="86" t="s">
        <v>463</v>
      </c>
      <c r="H17" s="87" t="s">
        <v>464</v>
      </c>
      <c r="I17" s="84">
        <v>9.0</v>
      </c>
      <c r="J17" s="85" t="s">
        <v>465</v>
      </c>
      <c r="K17" s="86" t="s">
        <v>466</v>
      </c>
      <c r="L17" s="87" t="s">
        <v>467</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468</v>
      </c>
      <c r="S17" s="86" t="s">
        <v>469</v>
      </c>
      <c r="T17" s="55" t="s">
        <v>470</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471</v>
      </c>
      <c r="AA17" s="91" t="s">
        <v>472</v>
      </c>
      <c r="AB17" s="43" t="s">
        <v>473</v>
      </c>
      <c r="AC17" s="84">
        <v>9.0</v>
      </c>
      <c r="AD17" s="85" t="s">
        <v>474</v>
      </c>
      <c r="AE17" s="86" t="s">
        <v>475</v>
      </c>
      <c r="AF17" s="87" t="s">
        <v>476</v>
      </c>
      <c r="AG17" s="84">
        <v>9.0</v>
      </c>
      <c r="AH17" s="92" t="s">
        <v>477</v>
      </c>
      <c r="AI17" s="93" t="s">
        <v>478</v>
      </c>
      <c r="AJ17" s="94" t="s">
        <v>479</v>
      </c>
      <c r="AK17" s="87"/>
      <c r="AL17" s="87"/>
      <c r="AM17" s="87"/>
      <c r="AN17" s="87"/>
      <c r="AO17" s="87"/>
    </row>
    <row r="18">
      <c r="A18" s="84">
        <v>10.0</v>
      </c>
      <c r="B18" s="85" t="s">
        <v>480</v>
      </c>
      <c r="C18" s="95" t="s">
        <v>481</v>
      </c>
      <c r="D18" s="87" t="s">
        <v>482</v>
      </c>
      <c r="E18" s="84">
        <v>10.0</v>
      </c>
      <c r="F18" s="85" t="s">
        <v>483</v>
      </c>
      <c r="G18" s="86" t="s">
        <v>484</v>
      </c>
      <c r="H18" s="87" t="s">
        <v>485</v>
      </c>
      <c r="I18" s="84">
        <v>10.0</v>
      </c>
      <c r="J18" s="85" t="s">
        <v>486</v>
      </c>
      <c r="K18" s="86" t="s">
        <v>487</v>
      </c>
      <c r="L18" s="87" t="s">
        <v>488</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489</v>
      </c>
      <c r="S18" s="86" t="s">
        <v>490</v>
      </c>
      <c r="T18" s="55" t="s">
        <v>491</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492</v>
      </c>
      <c r="AA18" s="91" t="s">
        <v>493</v>
      </c>
      <c r="AB18" s="43" t="s">
        <v>494</v>
      </c>
      <c r="AC18" s="84">
        <v>10.0</v>
      </c>
      <c r="AD18" s="85" t="s">
        <v>495</v>
      </c>
      <c r="AE18" s="86" t="s">
        <v>496</v>
      </c>
      <c r="AF18" s="87" t="s">
        <v>497</v>
      </c>
      <c r="AG18" s="84">
        <v>10.0</v>
      </c>
      <c r="AH18" s="92" t="s">
        <v>498</v>
      </c>
      <c r="AI18" s="93" t="s">
        <v>499</v>
      </c>
      <c r="AJ18" s="94" t="s">
        <v>500</v>
      </c>
      <c r="AK18" s="87"/>
      <c r="AL18" s="87"/>
      <c r="AM18" s="87"/>
      <c r="AN18" s="87"/>
      <c r="AO18" s="87"/>
    </row>
    <row r="19">
      <c r="A19" s="84">
        <v>11.0</v>
      </c>
      <c r="B19" s="85" t="s">
        <v>501</v>
      </c>
      <c r="C19" s="86" t="s">
        <v>502</v>
      </c>
      <c r="D19" s="87" t="s">
        <v>503</v>
      </c>
      <c r="E19" s="84">
        <v>11.0</v>
      </c>
      <c r="F19" s="85" t="s">
        <v>504</v>
      </c>
      <c r="G19" s="86" t="s">
        <v>505</v>
      </c>
      <c r="H19" s="87" t="s">
        <v>506</v>
      </c>
      <c r="I19" s="84">
        <v>11.0</v>
      </c>
      <c r="J19" s="85" t="s">
        <v>507</v>
      </c>
      <c r="K19" s="86" t="s">
        <v>508</v>
      </c>
      <c r="L19" s="87" t="s">
        <v>509</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510</v>
      </c>
      <c r="S19" s="86" t="s">
        <v>511</v>
      </c>
      <c r="T19" s="55" t="s">
        <v>512</v>
      </c>
      <c r="U19" s="84">
        <v>11.0</v>
      </c>
      <c r="V19" s="88" t="str">
        <f>IFERROR(__xludf.DUMMYFUNCTION("GOOGLETRANSLATE(B19,""zh-tw"",""KO"")"),"부어오른 작은 입 - 1")</f>
        <v>부어오른 작은 입 - 1</v>
      </c>
      <c r="W19" s="89"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55" t="str">
        <f>IFERROR(__xludf.DUMMYFUNCTION("GOOGLETRANSLATE(D19,""zh-tw"",""KO"")"),"치과 검진을 거부당하는 스토리를 시작하세요.")</f>
        <v>치과 검진을 거부당하는 스토리를 시작하세요.</v>
      </c>
      <c r="Y19" s="84">
        <v>11.0</v>
      </c>
      <c r="Z19" s="99" t="s">
        <v>513</v>
      </c>
      <c r="AA19" s="91" t="s">
        <v>514</v>
      </c>
      <c r="AB19" s="43" t="s">
        <v>515</v>
      </c>
      <c r="AC19" s="84">
        <v>11.0</v>
      </c>
      <c r="AD19" s="85" t="s">
        <v>516</v>
      </c>
      <c r="AE19" s="86" t="s">
        <v>517</v>
      </c>
      <c r="AF19" s="87" t="s">
        <v>518</v>
      </c>
      <c r="AG19" s="84">
        <v>11.0</v>
      </c>
      <c r="AH19" s="92" t="s">
        <v>519</v>
      </c>
      <c r="AI19" s="93" t="s">
        <v>520</v>
      </c>
      <c r="AJ19" s="94" t="s">
        <v>521</v>
      </c>
      <c r="AK19" s="87"/>
      <c r="AL19" s="87"/>
      <c r="AM19" s="87"/>
      <c r="AN19" s="87"/>
      <c r="AO19" s="87"/>
    </row>
    <row r="20">
      <c r="A20" s="84">
        <v>12.0</v>
      </c>
      <c r="B20" s="85" t="s">
        <v>522</v>
      </c>
      <c r="C20" s="86" t="s">
        <v>523</v>
      </c>
      <c r="D20" s="87" t="s">
        <v>524</v>
      </c>
      <c r="E20" s="84">
        <v>12.0</v>
      </c>
      <c r="F20" s="85" t="s">
        <v>525</v>
      </c>
      <c r="G20" s="86" t="s">
        <v>526</v>
      </c>
      <c r="H20" s="87" t="s">
        <v>527</v>
      </c>
      <c r="I20" s="84">
        <v>12.0</v>
      </c>
      <c r="J20" s="85" t="s">
        <v>528</v>
      </c>
      <c r="K20" s="86" t="s">
        <v>529</v>
      </c>
      <c r="L20" s="52" t="s">
        <v>530</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531</v>
      </c>
      <c r="S20" s="86" t="s">
        <v>532</v>
      </c>
      <c r="T20" s="55" t="s">
        <v>533</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구두 시험과 관련된 후속 플롯이 트리거될 수 있습니다.")</f>
        <v>마찬가지로 여동생의 퍼플 하트 점수가 3점 이상이면 구두 시험과 관련된 후속 플롯이 트리거될 수 있습니다.</v>
      </c>
      <c r="X20" s="55" t="str">
        <f>IFERROR(__xludf.DUMMYFUNCTION("GOOGLETRANSLATE(D20,""zh-tw"",""KO"")"),"구강 검사 플롯을 트리거합니다.")</f>
        <v>구강 검사 플롯을 트리거합니다.</v>
      </c>
      <c r="Y20" s="84">
        <v>12.0</v>
      </c>
      <c r="Z20" s="99" t="s">
        <v>534</v>
      </c>
      <c r="AA20" s="91" t="s">
        <v>535</v>
      </c>
      <c r="AB20" s="43" t="s">
        <v>536</v>
      </c>
      <c r="AC20" s="84">
        <v>12.0</v>
      </c>
      <c r="AD20" s="85" t="s">
        <v>537</v>
      </c>
      <c r="AE20" s="86" t="s">
        <v>538</v>
      </c>
      <c r="AF20" s="87" t="s">
        <v>539</v>
      </c>
      <c r="AG20" s="84">
        <v>12.0</v>
      </c>
      <c r="AH20" s="92" t="s">
        <v>540</v>
      </c>
      <c r="AI20" s="93" t="s">
        <v>541</v>
      </c>
      <c r="AJ20" s="94" t="s">
        <v>542</v>
      </c>
      <c r="AK20" s="87"/>
      <c r="AL20" s="87"/>
      <c r="AM20" s="87"/>
      <c r="AN20" s="87"/>
      <c r="AO20" s="87"/>
    </row>
    <row r="21">
      <c r="A21" s="84">
        <v>13.0</v>
      </c>
      <c r="B21" s="85" t="s">
        <v>543</v>
      </c>
      <c r="C21" s="95" t="s">
        <v>544</v>
      </c>
      <c r="D21" s="87" t="s">
        <v>545</v>
      </c>
      <c r="E21" s="84">
        <v>13.0</v>
      </c>
      <c r="F21" s="85" t="s">
        <v>546</v>
      </c>
      <c r="G21" s="86" t="s">
        <v>547</v>
      </c>
      <c r="H21" s="87" t="s">
        <v>548</v>
      </c>
      <c r="I21" s="84">
        <v>13.0</v>
      </c>
      <c r="J21" s="85" t="s">
        <v>549</v>
      </c>
      <c r="K21" s="95" t="s">
        <v>550</v>
      </c>
      <c r="L21" s="87" t="s">
        <v>551</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552</v>
      </c>
      <c r="Q21" s="84">
        <v>13.0</v>
      </c>
      <c r="R21" s="88" t="s">
        <v>549</v>
      </c>
      <c r="S21" s="89" t="s">
        <v>553</v>
      </c>
      <c r="T21" s="52" t="s">
        <v>554</v>
      </c>
      <c r="U21" s="84">
        <v>13.0</v>
      </c>
      <c r="V21" s="85" t="s">
        <v>555</v>
      </c>
      <c r="W21" s="95" t="s">
        <v>556</v>
      </c>
      <c r="X21" s="52" t="s">
        <v>557</v>
      </c>
      <c r="Y21" s="84">
        <v>13.0</v>
      </c>
      <c r="Z21" s="90" t="s">
        <v>558</v>
      </c>
      <c r="AA21" s="91" t="s">
        <v>559</v>
      </c>
      <c r="AB21" s="43" t="s">
        <v>560</v>
      </c>
      <c r="AC21" s="84">
        <v>13.0</v>
      </c>
      <c r="AD21" s="85" t="s">
        <v>561</v>
      </c>
      <c r="AE21" s="86" t="s">
        <v>562</v>
      </c>
      <c r="AF21" s="87" t="s">
        <v>563</v>
      </c>
      <c r="AG21" s="84">
        <v>13.0</v>
      </c>
      <c r="AH21" s="92" t="s">
        <v>549</v>
      </c>
      <c r="AI21" s="93" t="s">
        <v>564</v>
      </c>
      <c r="AJ21" s="94" t="s">
        <v>565</v>
      </c>
      <c r="AK21" s="87"/>
      <c r="AL21" s="87"/>
      <c r="AM21" s="87"/>
      <c r="AN21" s="87"/>
      <c r="AO21" s="87"/>
    </row>
    <row r="22">
      <c r="A22" s="84">
        <v>14.0</v>
      </c>
      <c r="B22" s="85" t="s">
        <v>566</v>
      </c>
      <c r="C22" s="86" t="s">
        <v>567</v>
      </c>
      <c r="D22" s="87" t="s">
        <v>568</v>
      </c>
      <c r="E22" s="84">
        <v>14.0</v>
      </c>
      <c r="F22" s="85" t="s">
        <v>569</v>
      </c>
      <c r="G22" s="86" t="s">
        <v>570</v>
      </c>
      <c r="H22" s="87" t="s">
        <v>571</v>
      </c>
      <c r="I22" s="84">
        <v>14.0</v>
      </c>
      <c r="J22" s="85" t="s">
        <v>572</v>
      </c>
      <c r="K22" s="86" t="s">
        <v>573</v>
      </c>
      <c r="L22" s="87" t="s">
        <v>574</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575</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576</v>
      </c>
      <c r="W22" s="95" t="s">
        <v>577</v>
      </c>
      <c r="X22" s="52" t="s">
        <v>578</v>
      </c>
      <c r="Y22" s="84">
        <v>14.0</v>
      </c>
      <c r="Z22" s="90" t="s">
        <v>579</v>
      </c>
      <c r="AA22" s="91" t="s">
        <v>580</v>
      </c>
      <c r="AB22" s="43" t="s">
        <v>581</v>
      </c>
      <c r="AC22" s="84">
        <v>14.0</v>
      </c>
      <c r="AD22" s="85" t="s">
        <v>582</v>
      </c>
      <c r="AE22" s="86" t="s">
        <v>583</v>
      </c>
      <c r="AF22" s="87" t="s">
        <v>584</v>
      </c>
      <c r="AG22" s="84">
        <v>14.0</v>
      </c>
      <c r="AH22" s="92" t="s">
        <v>585</v>
      </c>
      <c r="AI22" s="93" t="s">
        <v>586</v>
      </c>
      <c r="AJ22" s="94" t="s">
        <v>587</v>
      </c>
      <c r="AK22" s="87"/>
      <c r="AL22" s="87"/>
      <c r="AM22" s="87"/>
      <c r="AN22" s="87"/>
      <c r="AO22" s="87"/>
    </row>
    <row r="23">
      <c r="A23" s="84">
        <v>15.0</v>
      </c>
      <c r="B23" s="85" t="s">
        <v>588</v>
      </c>
      <c r="C23" s="86" t="s">
        <v>589</v>
      </c>
      <c r="D23" s="87" t="s">
        <v>590</v>
      </c>
      <c r="E23" s="84">
        <v>15.0</v>
      </c>
      <c r="F23" s="85" t="s">
        <v>591</v>
      </c>
      <c r="G23" s="86" t="s">
        <v>592</v>
      </c>
      <c r="H23" s="87" t="s">
        <v>593</v>
      </c>
      <c r="I23" s="84">
        <v>15.0</v>
      </c>
      <c r="J23" s="85" t="s">
        <v>594</v>
      </c>
      <c r="K23" s="86" t="s">
        <v>595</v>
      </c>
      <c r="L23" s="87" t="s">
        <v>596</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597</v>
      </c>
      <c r="S23" s="95" t="s">
        <v>598</v>
      </c>
      <c r="T23" s="52" t="s">
        <v>599</v>
      </c>
      <c r="U23" s="84">
        <v>15.0</v>
      </c>
      <c r="V23" s="98" t="s">
        <v>600</v>
      </c>
      <c r="W23" s="95" t="s">
        <v>601</v>
      </c>
      <c r="X23" s="106" t="s">
        <v>602</v>
      </c>
      <c r="Y23" s="84">
        <v>15.0</v>
      </c>
      <c r="Z23" s="90" t="s">
        <v>603</v>
      </c>
      <c r="AA23" s="102" t="s">
        <v>604</v>
      </c>
      <c r="AB23" s="43" t="s">
        <v>605</v>
      </c>
      <c r="AC23" s="84">
        <v>15.0</v>
      </c>
      <c r="AD23" s="85" t="s">
        <v>606</v>
      </c>
      <c r="AE23" s="86" t="s">
        <v>607</v>
      </c>
      <c r="AF23" s="87" t="s">
        <v>608</v>
      </c>
      <c r="AG23" s="84">
        <v>15.0</v>
      </c>
      <c r="AH23" s="92" t="s">
        <v>609</v>
      </c>
      <c r="AI23" s="93" t="s">
        <v>610</v>
      </c>
      <c r="AJ23" s="94" t="s">
        <v>611</v>
      </c>
      <c r="AK23" s="87"/>
      <c r="AL23" s="87"/>
      <c r="AM23" s="87"/>
      <c r="AN23" s="87"/>
      <c r="AO23" s="87"/>
    </row>
    <row r="24">
      <c r="A24" s="84">
        <v>16.0</v>
      </c>
      <c r="B24" s="85" t="s">
        <v>612</v>
      </c>
      <c r="C24" s="86" t="s">
        <v>613</v>
      </c>
      <c r="D24" s="87" t="s">
        <v>614</v>
      </c>
      <c r="E24" s="84">
        <v>16.0</v>
      </c>
      <c r="F24" s="85" t="s">
        <v>615</v>
      </c>
      <c r="G24" s="86" t="s">
        <v>616</v>
      </c>
      <c r="H24" s="87" t="s">
        <v>617</v>
      </c>
      <c r="I24" s="84">
        <v>16.0</v>
      </c>
      <c r="J24" s="85" t="s">
        <v>618</v>
      </c>
      <c r="K24" s="86" t="s">
        <v>619</v>
      </c>
      <c r="L24" s="87" t="s">
        <v>620</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621</v>
      </c>
      <c r="S24" s="89" t="s">
        <v>622</v>
      </c>
      <c r="T24" s="52" t="s">
        <v>623</v>
      </c>
      <c r="U24" s="84">
        <v>16.0</v>
      </c>
      <c r="V24" s="98" t="s">
        <v>624</v>
      </c>
      <c r="W24" s="95" t="s">
        <v>625</v>
      </c>
      <c r="X24" s="52" t="s">
        <v>626</v>
      </c>
      <c r="Y24" s="84">
        <v>16.0</v>
      </c>
      <c r="Z24" s="90" t="s">
        <v>627</v>
      </c>
      <c r="AA24" s="91" t="s">
        <v>628</v>
      </c>
      <c r="AB24" s="43" t="s">
        <v>629</v>
      </c>
      <c r="AC24" s="84">
        <v>16.0</v>
      </c>
      <c r="AD24" s="85" t="s">
        <v>630</v>
      </c>
      <c r="AE24" s="86" t="s">
        <v>631</v>
      </c>
      <c r="AF24" s="87" t="s">
        <v>632</v>
      </c>
      <c r="AG24" s="84">
        <v>16.0</v>
      </c>
      <c r="AH24" s="92" t="s">
        <v>633</v>
      </c>
      <c r="AI24" s="93" t="s">
        <v>634</v>
      </c>
      <c r="AJ24" s="94" t="s">
        <v>635</v>
      </c>
      <c r="AK24" s="87"/>
      <c r="AL24" s="87"/>
      <c r="AM24" s="87"/>
      <c r="AN24" s="87"/>
      <c r="AO24" s="87"/>
    </row>
    <row r="25">
      <c r="A25" s="84">
        <v>17.0</v>
      </c>
      <c r="B25" s="85" t="s">
        <v>636</v>
      </c>
      <c r="C25" s="86" t="s">
        <v>637</v>
      </c>
      <c r="D25" s="87" t="s">
        <v>638</v>
      </c>
      <c r="E25" s="84">
        <v>17.0</v>
      </c>
      <c r="F25" s="85" t="s">
        <v>639</v>
      </c>
      <c r="G25" s="86" t="s">
        <v>640</v>
      </c>
      <c r="H25" s="87" t="s">
        <v>641</v>
      </c>
      <c r="I25" s="84">
        <v>17.0</v>
      </c>
      <c r="J25" s="85" t="s">
        <v>642</v>
      </c>
      <c r="K25" s="86" t="s">
        <v>643</v>
      </c>
      <c r="L25" s="87" t="s">
        <v>644</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645</v>
      </c>
      <c r="S25" s="95" t="s">
        <v>646</v>
      </c>
      <c r="T25" s="52" t="s">
        <v>647</v>
      </c>
      <c r="U25" s="84">
        <v>17.0</v>
      </c>
      <c r="V25" s="107" t="s">
        <v>648</v>
      </c>
      <c r="W25" s="95" t="s">
        <v>649</v>
      </c>
      <c r="X25" s="52" t="s">
        <v>650</v>
      </c>
      <c r="Y25" s="84">
        <v>17.0</v>
      </c>
      <c r="Z25" s="90" t="s">
        <v>651</v>
      </c>
      <c r="AA25" s="102" t="s">
        <v>652</v>
      </c>
      <c r="AB25" s="43" t="s">
        <v>653</v>
      </c>
      <c r="AC25" s="84">
        <v>17.0</v>
      </c>
      <c r="AD25" s="85" t="s">
        <v>654</v>
      </c>
      <c r="AE25" s="86" t="s">
        <v>655</v>
      </c>
      <c r="AF25" s="87" t="s">
        <v>656</v>
      </c>
      <c r="AG25" s="84">
        <v>17.0</v>
      </c>
      <c r="AH25" s="92" t="s">
        <v>657</v>
      </c>
      <c r="AI25" s="93" t="s">
        <v>658</v>
      </c>
      <c r="AJ25" s="94" t="s">
        <v>659</v>
      </c>
      <c r="AK25" s="87"/>
      <c r="AL25" s="87"/>
      <c r="AM25" s="87"/>
      <c r="AN25" s="87"/>
      <c r="AO25" s="87"/>
    </row>
    <row r="26">
      <c r="A26" s="84">
        <v>18.0</v>
      </c>
      <c r="B26" s="85" t="s">
        <v>660</v>
      </c>
      <c r="C26" s="86" t="s">
        <v>661</v>
      </c>
      <c r="D26" s="87" t="s">
        <v>662</v>
      </c>
      <c r="E26" s="84">
        <v>18.0</v>
      </c>
      <c r="F26" s="85" t="s">
        <v>663</v>
      </c>
      <c r="G26" s="86" t="s">
        <v>664</v>
      </c>
      <c r="H26" s="87" t="s">
        <v>665</v>
      </c>
      <c r="I26" s="84">
        <v>18.0</v>
      </c>
      <c r="J26" s="85" t="s">
        <v>666</v>
      </c>
      <c r="K26" s="86" t="s">
        <v>667</v>
      </c>
      <c r="L26" s="52" t="s">
        <v>668</v>
      </c>
      <c r="M26" s="84">
        <v>18.0</v>
      </c>
      <c r="N26" s="85" t="str">
        <f>IFERROR(__xludf.DUMMYFUNCTION("GOOGLETRANSLATE(B26,""zh-tw"",""zh"")"),"哥困了")</f>
        <v>哥困了</v>
      </c>
      <c r="O26" s="89" t="str">
        <f>IFERROR(__xludf.DUMMYFUNCTION("GOOGLETRANSLATE(C26,""zh-tw"",""zh"")"),"提前睡觉")</f>
        <v>提前睡觉</v>
      </c>
      <c r="P26" s="55" t="s">
        <v>669</v>
      </c>
      <c r="Q26" s="84">
        <v>18.0</v>
      </c>
      <c r="R26" s="98" t="s">
        <v>670</v>
      </c>
      <c r="S26" s="95" t="s">
        <v>671</v>
      </c>
      <c r="T26" s="52" t="s">
        <v>672</v>
      </c>
      <c r="U26" s="84">
        <v>18.0</v>
      </c>
      <c r="V26" s="107" t="s">
        <v>673</v>
      </c>
      <c r="W26" s="95" t="s">
        <v>674</v>
      </c>
      <c r="X26" s="52" t="s">
        <v>675</v>
      </c>
      <c r="Y26" s="84">
        <v>18.0</v>
      </c>
      <c r="Z26" s="99" t="s">
        <v>676</v>
      </c>
      <c r="AA26" s="102" t="s">
        <v>677</v>
      </c>
      <c r="AB26" s="43" t="s">
        <v>678</v>
      </c>
      <c r="AC26" s="84">
        <v>18.0</v>
      </c>
      <c r="AD26" s="85" t="s">
        <v>679</v>
      </c>
      <c r="AE26" s="86" t="s">
        <v>680</v>
      </c>
      <c r="AF26" s="87" t="s">
        <v>681</v>
      </c>
      <c r="AG26" s="84">
        <v>18.0</v>
      </c>
      <c r="AH26" s="92" t="s">
        <v>682</v>
      </c>
      <c r="AI26" s="93" t="s">
        <v>683</v>
      </c>
      <c r="AJ26" s="94" t="s">
        <v>684</v>
      </c>
      <c r="AK26" s="87"/>
      <c r="AL26" s="87"/>
      <c r="AM26" s="87"/>
      <c r="AN26" s="87"/>
      <c r="AO26" s="87"/>
    </row>
    <row r="27">
      <c r="A27" s="84">
        <v>19.0</v>
      </c>
      <c r="B27" s="85" t="s">
        <v>685</v>
      </c>
      <c r="C27" s="86" t="s">
        <v>686</v>
      </c>
      <c r="D27" s="87" t="s">
        <v>687</v>
      </c>
      <c r="E27" s="84">
        <v>19.0</v>
      </c>
      <c r="F27" s="85" t="s">
        <v>688</v>
      </c>
      <c r="G27" s="86" t="s">
        <v>689</v>
      </c>
      <c r="H27" s="87" t="s">
        <v>690</v>
      </c>
      <c r="I27" s="84">
        <v>19.0</v>
      </c>
      <c r="J27" s="85" t="s">
        <v>691</v>
      </c>
      <c r="K27" s="86" t="s">
        <v>692</v>
      </c>
      <c r="L27" s="87" t="s">
        <v>693</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694</v>
      </c>
      <c r="S27" s="89" t="s">
        <v>695</v>
      </c>
      <c r="T27" s="96" t="s">
        <v>696</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697</v>
      </c>
      <c r="AA27" s="91" t="s">
        <v>698</v>
      </c>
      <c r="AB27" s="43" t="s">
        <v>699</v>
      </c>
      <c r="AC27" s="84">
        <v>19.0</v>
      </c>
      <c r="AD27" s="85" t="s">
        <v>700</v>
      </c>
      <c r="AE27" s="86" t="s">
        <v>701</v>
      </c>
      <c r="AF27" s="87" t="s">
        <v>702</v>
      </c>
      <c r="AG27" s="84">
        <v>19.0</v>
      </c>
      <c r="AH27" s="92" t="s">
        <v>703</v>
      </c>
      <c r="AI27" s="93" t="s">
        <v>704</v>
      </c>
      <c r="AJ27" s="94" t="s">
        <v>705</v>
      </c>
      <c r="AK27" s="87"/>
      <c r="AL27" s="87"/>
      <c r="AM27" s="87"/>
      <c r="AN27" s="87"/>
      <c r="AO27" s="87"/>
    </row>
    <row r="28">
      <c r="A28" s="84">
        <v>20.0</v>
      </c>
      <c r="B28" s="85" t="s">
        <v>706</v>
      </c>
      <c r="C28" s="95" t="s">
        <v>707</v>
      </c>
      <c r="D28" s="87" t="s">
        <v>708</v>
      </c>
      <c r="E28" s="84">
        <v>20.0</v>
      </c>
      <c r="F28" s="85" t="str">
        <f>IFERROR(__xludf.DUMMYFUNCTION("GOOGLETRANSLATE(B28,""zh-tw"",""ja"")"),"最初の癒し")</f>
        <v>最初の癒し</v>
      </c>
      <c r="G28" s="95" t="s">
        <v>709</v>
      </c>
      <c r="H28" s="87" t="s">
        <v>710</v>
      </c>
      <c r="I28" s="84">
        <v>20.0</v>
      </c>
      <c r="J28" s="85" t="s">
        <v>711</v>
      </c>
      <c r="K28" s="95" t="s">
        <v>712</v>
      </c>
      <c r="L28" s="87" t="s">
        <v>713</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714</v>
      </c>
      <c r="S28" s="89" t="str">
        <f>IFERROR(__xludf.DUMMYFUNCTION("GOOGLETRANSLATE(C28,""zh-tw"",""es-MX"")"),"¿Qué te gustaría beber? Esto le permite a tu hermana beber el Elixir de Médula Roja para curarse.
P. D.: Esta herida solo se puede curar una vez; consulta los eventos del juego de rol.")</f>
        <v>¿Qué te gustaría beber? Esto le permite a tu hermana beber el Elixir de Médula Roja para curarse.
P. D.: Esta herida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715</v>
      </c>
      <c r="AB28" s="43" t="s">
        <v>716</v>
      </c>
      <c r="AC28" s="84">
        <v>20.0</v>
      </c>
      <c r="AD28" s="85" t="s">
        <v>717</v>
      </c>
      <c r="AE28" s="95" t="s">
        <v>718</v>
      </c>
      <c r="AF28" s="87" t="s">
        <v>719</v>
      </c>
      <c r="AG28" s="84">
        <v>20.0</v>
      </c>
      <c r="AH28" s="92" t="s">
        <v>720</v>
      </c>
      <c r="AI28" s="100" t="s">
        <v>721</v>
      </c>
      <c r="AJ28" s="94" t="s">
        <v>722</v>
      </c>
      <c r="AK28" s="87"/>
      <c r="AL28" s="87"/>
      <c r="AM28" s="87"/>
      <c r="AN28" s="87"/>
      <c r="AO28" s="87"/>
    </row>
    <row r="29">
      <c r="A29" s="84">
        <v>21.0</v>
      </c>
      <c r="B29" s="98" t="s">
        <v>723</v>
      </c>
      <c r="C29" s="86" t="s">
        <v>724</v>
      </c>
      <c r="D29" s="87" t="s">
        <v>590</v>
      </c>
      <c r="E29" s="84">
        <v>21.0</v>
      </c>
      <c r="F29" s="98" t="s">
        <v>723</v>
      </c>
      <c r="G29" s="86" t="s">
        <v>725</v>
      </c>
      <c r="H29" s="87" t="s">
        <v>593</v>
      </c>
      <c r="I29" s="84">
        <v>21.0</v>
      </c>
      <c r="J29" s="98" t="s">
        <v>723</v>
      </c>
      <c r="K29" s="86" t="s">
        <v>726</v>
      </c>
      <c r="L29" s="52" t="s">
        <v>727</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723</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723</v>
      </c>
      <c r="AA29" s="102" t="s">
        <v>728</v>
      </c>
      <c r="AB29" s="43" t="s">
        <v>729</v>
      </c>
      <c r="AC29" s="84">
        <v>21.0</v>
      </c>
      <c r="AD29" s="98" t="s">
        <v>723</v>
      </c>
      <c r="AE29" s="86" t="s">
        <v>730</v>
      </c>
      <c r="AF29" s="87" t="s">
        <v>608</v>
      </c>
      <c r="AG29" s="84">
        <v>21.0</v>
      </c>
      <c r="AH29" s="92" t="s">
        <v>723</v>
      </c>
      <c r="AI29" s="93" t="s">
        <v>731</v>
      </c>
      <c r="AJ29" s="94" t="s">
        <v>732</v>
      </c>
      <c r="AK29" s="87"/>
      <c r="AL29" s="87"/>
      <c r="AM29" s="87"/>
      <c r="AN29" s="87"/>
      <c r="AO29" s="87"/>
    </row>
    <row r="30">
      <c r="A30" s="84">
        <v>22.0</v>
      </c>
      <c r="B30" s="85" t="s">
        <v>733</v>
      </c>
      <c r="C30" s="86" t="s">
        <v>734</v>
      </c>
      <c r="D30" s="87" t="s">
        <v>735</v>
      </c>
      <c r="E30" s="84">
        <v>22.0</v>
      </c>
      <c r="F30" s="85" t="s">
        <v>736</v>
      </c>
      <c r="G30" s="95" t="s">
        <v>737</v>
      </c>
      <c r="H30" s="87" t="s">
        <v>738</v>
      </c>
      <c r="I30" s="84">
        <v>22.0</v>
      </c>
      <c r="J30" s="85" t="s">
        <v>739</v>
      </c>
      <c r="K30" s="95" t="s">
        <v>740</v>
      </c>
      <c r="L30" s="87" t="s">
        <v>741</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742</v>
      </c>
      <c r="S30" s="95" t="s">
        <v>743</v>
      </c>
      <c r="T30" s="55" t="s">
        <v>744</v>
      </c>
      <c r="U30" s="84">
        <v>22.0</v>
      </c>
      <c r="V30" s="98" t="s">
        <v>745</v>
      </c>
      <c r="W30" s="95" t="s">
        <v>746</v>
      </c>
      <c r="X30" s="52" t="s">
        <v>747</v>
      </c>
      <c r="Y30" s="84">
        <v>22.0</v>
      </c>
      <c r="Z30" s="99" t="s">
        <v>748</v>
      </c>
      <c r="AA30" s="91" t="s">
        <v>749</v>
      </c>
      <c r="AB30" s="43" t="s">
        <v>750</v>
      </c>
      <c r="AC30" s="84">
        <v>22.0</v>
      </c>
      <c r="AD30" s="85" t="s">
        <v>751</v>
      </c>
      <c r="AE30" s="95" t="s">
        <v>752</v>
      </c>
      <c r="AF30" s="52" t="s">
        <v>753</v>
      </c>
      <c r="AG30" s="84">
        <v>22.0</v>
      </c>
      <c r="AH30" s="92" t="s">
        <v>754</v>
      </c>
      <c r="AI30" s="93" t="s">
        <v>755</v>
      </c>
      <c r="AJ30" s="94" t="s">
        <v>756</v>
      </c>
      <c r="AK30" s="87"/>
      <c r="AL30" s="87"/>
      <c r="AM30" s="87"/>
      <c r="AN30" s="87"/>
      <c r="AO30" s="87"/>
    </row>
    <row r="31">
      <c r="A31" s="108">
        <v>23.0</v>
      </c>
      <c r="B31" s="98" t="s">
        <v>757</v>
      </c>
      <c r="C31" s="95" t="s">
        <v>758</v>
      </c>
      <c r="D31" s="52" t="s">
        <v>759</v>
      </c>
      <c r="E31" s="108">
        <v>23.0</v>
      </c>
      <c r="F31" s="98" t="s">
        <v>760</v>
      </c>
      <c r="G31" s="95" t="s">
        <v>761</v>
      </c>
      <c r="H31" s="52" t="s">
        <v>762</v>
      </c>
      <c r="I31" s="108">
        <v>23.0</v>
      </c>
      <c r="J31" s="98" t="s">
        <v>763</v>
      </c>
      <c r="K31" s="95" t="s">
        <v>764</v>
      </c>
      <c r="L31" s="52" t="s">
        <v>765</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766</v>
      </c>
      <c r="AE31" s="109" t="s">
        <v>767</v>
      </c>
      <c r="AF31" s="52" t="s">
        <v>768</v>
      </c>
      <c r="AG31" s="108">
        <v>23.0</v>
      </c>
      <c r="AH31" s="105" t="s">
        <v>769</v>
      </c>
      <c r="AI31" s="110" t="s">
        <v>770</v>
      </c>
      <c r="AJ31" s="101" t="s">
        <v>771</v>
      </c>
      <c r="AK31" s="87"/>
      <c r="AL31" s="87"/>
      <c r="AM31" s="87"/>
      <c r="AN31" s="87"/>
      <c r="AO31" s="87"/>
    </row>
    <row r="32">
      <c r="A32" s="108">
        <v>24.0</v>
      </c>
      <c r="B32" s="85" t="s">
        <v>772</v>
      </c>
      <c r="C32" s="86" t="s">
        <v>773</v>
      </c>
      <c r="D32" s="87" t="s">
        <v>774</v>
      </c>
      <c r="E32" s="108">
        <v>24.0</v>
      </c>
      <c r="F32" s="85" t="s">
        <v>775</v>
      </c>
      <c r="G32" s="86" t="s">
        <v>776</v>
      </c>
      <c r="H32" s="87" t="s">
        <v>777</v>
      </c>
      <c r="I32" s="108">
        <v>24.0</v>
      </c>
      <c r="J32" s="85" t="s">
        <v>778</v>
      </c>
      <c r="K32" s="86" t="s">
        <v>779</v>
      </c>
      <c r="L32" s="87" t="s">
        <v>780</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está bien"" añade una nueva opción cuando quieres ""hacer algo con tu hermana"".")</f>
        <v>Tener el cupón "Todo está bien"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781</v>
      </c>
      <c r="AE32" s="86" t="s">
        <v>782</v>
      </c>
      <c r="AF32" s="87" t="s">
        <v>783</v>
      </c>
      <c r="AG32" s="108">
        <v>24.0</v>
      </c>
      <c r="AH32" s="85" t="s">
        <v>784</v>
      </c>
      <c r="AI32" s="89" t="s">
        <v>785</v>
      </c>
      <c r="AJ32" s="87" t="s">
        <v>786</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787</v>
      </c>
      <c r="B34" s="81" t="s">
        <v>788</v>
      </c>
      <c r="E34" s="80" t="s">
        <v>787</v>
      </c>
      <c r="F34" s="80" t="s">
        <v>789</v>
      </c>
      <c r="I34" s="80" t="s">
        <v>787</v>
      </c>
      <c r="J34" s="80" t="s">
        <v>790</v>
      </c>
      <c r="M34" s="80" t="s">
        <v>787</v>
      </c>
      <c r="N34" s="81" t="str">
        <f>IFERROR(__xludf.DUMMYFUNCTION("GOOGLETRANSLATE(B34,""zh-tw"",""zh"")"),"厕所相关")</f>
        <v>厕所相关</v>
      </c>
      <c r="Q34" s="80" t="s">
        <v>787</v>
      </c>
      <c r="R34" s="80" t="s">
        <v>791</v>
      </c>
      <c r="U34" s="80" t="s">
        <v>787</v>
      </c>
      <c r="V34" s="80" t="s">
        <v>792</v>
      </c>
      <c r="Y34" s="80" t="s">
        <v>787</v>
      </c>
      <c r="Z34" s="80" t="s">
        <v>793</v>
      </c>
      <c r="AC34" s="80" t="s">
        <v>787</v>
      </c>
      <c r="AD34" s="80" t="s">
        <v>794</v>
      </c>
      <c r="AG34" s="80" t="s">
        <v>787</v>
      </c>
      <c r="AH34" s="83" t="s">
        <v>795</v>
      </c>
      <c r="AK34" s="81"/>
      <c r="AL34" s="81"/>
      <c r="AM34" s="81"/>
      <c r="AN34" s="81"/>
      <c r="AO34" s="81"/>
    </row>
    <row r="35">
      <c r="A35" s="84">
        <v>1.0</v>
      </c>
      <c r="B35" s="85" t="s">
        <v>796</v>
      </c>
      <c r="C35" s="86" t="s">
        <v>797</v>
      </c>
      <c r="D35" s="87" t="s">
        <v>798</v>
      </c>
      <c r="E35" s="84">
        <v>1.0</v>
      </c>
      <c r="F35" s="85" t="s">
        <v>799</v>
      </c>
      <c r="G35" s="86" t="s">
        <v>800</v>
      </c>
      <c r="H35" s="87" t="s">
        <v>801</v>
      </c>
      <c r="I35" s="84">
        <v>1.0</v>
      </c>
      <c r="J35" s="85" t="s">
        <v>802</v>
      </c>
      <c r="K35" s="86" t="s">
        <v>803</v>
      </c>
      <c r="L35" s="87" t="s">
        <v>804</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805</v>
      </c>
      <c r="Q35" s="84">
        <v>1.0</v>
      </c>
      <c r="R35" s="85" t="s">
        <v>806</v>
      </c>
      <c r="S35" s="95" t="s">
        <v>807</v>
      </c>
      <c r="T35" s="55" t="str">
        <f>IFERROR(__xludf.DUMMYFUNCTION("GOOGLETRANSLATE(D35,""zh-tw"",""es-MX"")"),"Hacia el cuarto día, la hermana menor malinterpretará la situación y pensará que el hermano mayor está enfermo. (No hay más detalles disponibles sobre la mecánica del juego).")</f>
        <v>Hacia el cuarto día, la hermana menor malinterpretará la situación y pensará que el hermano mayor está enfermo. (No hay más detalles disponibles sobre la mecánica del juego).</v>
      </c>
      <c r="U35" s="84">
        <v>1.0</v>
      </c>
      <c r="V35" s="88" t="s">
        <v>808</v>
      </c>
      <c r="W35" s="89" t="s">
        <v>809</v>
      </c>
      <c r="X35" s="55" t="s">
        <v>810</v>
      </c>
      <c r="Y35" s="84">
        <v>1.0</v>
      </c>
      <c r="Z35" s="99" t="s">
        <v>811</v>
      </c>
      <c r="AA35" s="102" t="s">
        <v>812</v>
      </c>
      <c r="AB35" s="43" t="s">
        <v>813</v>
      </c>
      <c r="AC35" s="84">
        <v>1.0</v>
      </c>
      <c r="AD35" s="85" t="s">
        <v>814</v>
      </c>
      <c r="AE35" s="86" t="s">
        <v>815</v>
      </c>
      <c r="AF35" s="87" t="s">
        <v>816</v>
      </c>
      <c r="AG35" s="84">
        <v>1.0</v>
      </c>
      <c r="AH35" s="92" t="s">
        <v>817</v>
      </c>
      <c r="AI35" s="93" t="s">
        <v>818</v>
      </c>
      <c r="AJ35" s="94" t="s">
        <v>819</v>
      </c>
      <c r="AK35" s="87"/>
      <c r="AL35" s="87"/>
      <c r="AM35" s="87"/>
      <c r="AN35" s="87"/>
      <c r="AO35" s="87"/>
    </row>
    <row r="36">
      <c r="A36" s="108">
        <v>2.0</v>
      </c>
      <c r="B36" s="85" t="s">
        <v>820</v>
      </c>
      <c r="C36" s="86" t="s">
        <v>821</v>
      </c>
      <c r="D36" s="87" t="s">
        <v>822</v>
      </c>
      <c r="E36" s="108">
        <v>2.0</v>
      </c>
      <c r="F36" s="85" t="s">
        <v>823</v>
      </c>
      <c r="G36" s="86" t="s">
        <v>824</v>
      </c>
      <c r="H36" s="87" t="s">
        <v>825</v>
      </c>
      <c r="I36" s="108">
        <v>2.0</v>
      </c>
      <c r="J36" s="85" t="s">
        <v>826</v>
      </c>
      <c r="K36" s="86" t="s">
        <v>827</v>
      </c>
      <c r="L36" s="87" t="s">
        <v>828</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829</v>
      </c>
      <c r="S36" s="89" t="s">
        <v>830</v>
      </c>
      <c r="T36" s="55" t="s">
        <v>831</v>
      </c>
      <c r="U36" s="108">
        <v>2.0</v>
      </c>
      <c r="V36" s="98" t="s">
        <v>832</v>
      </c>
      <c r="W36" s="95" t="s">
        <v>833</v>
      </c>
      <c r="X36" s="52" t="s">
        <v>834</v>
      </c>
      <c r="Y36" s="108">
        <v>2.0</v>
      </c>
      <c r="Z36" s="99" t="s">
        <v>835</v>
      </c>
      <c r="AA36" s="91" t="s">
        <v>836</v>
      </c>
      <c r="AB36" s="43" t="s">
        <v>837</v>
      </c>
      <c r="AC36" s="108">
        <v>2.0</v>
      </c>
      <c r="AD36" s="98" t="s">
        <v>838</v>
      </c>
      <c r="AE36" s="86" t="s">
        <v>839</v>
      </c>
      <c r="AF36" s="87" t="s">
        <v>840</v>
      </c>
      <c r="AG36" s="108">
        <v>2.0</v>
      </c>
      <c r="AH36" s="92" t="s">
        <v>841</v>
      </c>
      <c r="AI36" s="93" t="s">
        <v>842</v>
      </c>
      <c r="AJ36" s="94" t="s">
        <v>843</v>
      </c>
      <c r="AK36" s="87"/>
      <c r="AL36" s="87"/>
      <c r="AM36" s="87"/>
      <c r="AN36" s="87"/>
      <c r="AO36" s="87"/>
    </row>
    <row r="37">
      <c r="A37" s="84">
        <v>3.0</v>
      </c>
      <c r="B37" s="85" t="s">
        <v>844</v>
      </c>
      <c r="C37" s="86" t="s">
        <v>845</v>
      </c>
      <c r="D37" s="87" t="s">
        <v>846</v>
      </c>
      <c r="E37" s="84">
        <v>3.0</v>
      </c>
      <c r="F37" s="85" t="s">
        <v>847</v>
      </c>
      <c r="G37" s="86" t="s">
        <v>848</v>
      </c>
      <c r="H37" s="87" t="s">
        <v>849</v>
      </c>
      <c r="I37" s="84">
        <v>3.0</v>
      </c>
      <c r="J37" s="85" t="s">
        <v>850</v>
      </c>
      <c r="K37" s="95" t="s">
        <v>851</v>
      </c>
      <c r="L37" s="87" t="s">
        <v>852</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853</v>
      </c>
      <c r="S37" s="86" t="s">
        <v>854</v>
      </c>
      <c r="T37" s="55" t="s">
        <v>855</v>
      </c>
      <c r="U37" s="84">
        <v>3.0</v>
      </c>
      <c r="V37" s="98" t="s">
        <v>856</v>
      </c>
      <c r="W37" s="95" t="s">
        <v>857</v>
      </c>
      <c r="X37" s="52" t="s">
        <v>858</v>
      </c>
      <c r="Y37" s="84">
        <v>3.0</v>
      </c>
      <c r="Z37" s="99" t="s">
        <v>859</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860</v>
      </c>
      <c r="AE37" s="86" t="s">
        <v>861</v>
      </c>
      <c r="AF37" s="87" t="s">
        <v>862</v>
      </c>
      <c r="AG37" s="84">
        <v>3.0</v>
      </c>
      <c r="AH37" s="92" t="s">
        <v>863</v>
      </c>
      <c r="AI37" s="93" t="s">
        <v>864</v>
      </c>
      <c r="AJ37" s="94" t="s">
        <v>865</v>
      </c>
      <c r="AK37" s="87"/>
      <c r="AL37" s="87"/>
      <c r="AM37" s="87"/>
      <c r="AN37" s="87"/>
      <c r="AO37" s="87"/>
    </row>
    <row r="38">
      <c r="A38" s="108">
        <v>4.0</v>
      </c>
      <c r="B38" s="85" t="s">
        <v>866</v>
      </c>
      <c r="C38" s="86" t="s">
        <v>867</v>
      </c>
      <c r="D38" s="52" t="s">
        <v>868</v>
      </c>
      <c r="E38" s="108">
        <v>4.0</v>
      </c>
      <c r="F38" s="85" t="s">
        <v>869</v>
      </c>
      <c r="G38" s="86" t="s">
        <v>870</v>
      </c>
      <c r="H38" s="87" t="s">
        <v>871</v>
      </c>
      <c r="I38" s="108">
        <v>4.0</v>
      </c>
      <c r="J38" s="85" t="s">
        <v>872</v>
      </c>
      <c r="K38" s="86" t="s">
        <v>873</v>
      </c>
      <c r="L38" s="52" t="s">
        <v>874</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875</v>
      </c>
      <c r="S38" s="86" t="s">
        <v>876</v>
      </c>
      <c r="T38" s="55" t="s">
        <v>877</v>
      </c>
      <c r="U38" s="108">
        <v>4.0</v>
      </c>
      <c r="V38" s="98" t="s">
        <v>878</v>
      </c>
      <c r="W38" s="95" t="s">
        <v>879</v>
      </c>
      <c r="X38" s="52" t="s">
        <v>880</v>
      </c>
      <c r="Y38" s="108">
        <v>4.0</v>
      </c>
      <c r="Z38" s="99" t="s">
        <v>881</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882</v>
      </c>
      <c r="AE38" s="86" t="s">
        <v>883</v>
      </c>
      <c r="AF38" s="87" t="s">
        <v>884</v>
      </c>
      <c r="AG38" s="108">
        <v>4.0</v>
      </c>
      <c r="AH38" s="92" t="s">
        <v>885</v>
      </c>
      <c r="AI38" s="93" t="s">
        <v>886</v>
      </c>
      <c r="AJ38" s="94" t="s">
        <v>887</v>
      </c>
      <c r="AK38" s="52"/>
      <c r="AL38" s="52"/>
      <c r="AM38" s="52"/>
      <c r="AN38" s="52"/>
      <c r="AO38" s="52"/>
    </row>
    <row r="39">
      <c r="A39" s="84">
        <v>5.0</v>
      </c>
      <c r="B39" s="85" t="s">
        <v>888</v>
      </c>
      <c r="C39" s="86" t="s">
        <v>889</v>
      </c>
      <c r="D39" s="87" t="s">
        <v>890</v>
      </c>
      <c r="E39" s="84">
        <v>5.0</v>
      </c>
      <c r="F39" s="85" t="s">
        <v>891</v>
      </c>
      <c r="G39" s="86" t="s">
        <v>892</v>
      </c>
      <c r="H39" s="87" t="s">
        <v>893</v>
      </c>
      <c r="I39" s="84">
        <v>5.0</v>
      </c>
      <c r="J39" s="85" t="s">
        <v>894</v>
      </c>
      <c r="K39" s="86" t="s">
        <v>895</v>
      </c>
      <c r="L39" s="87" t="s">
        <v>896</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897</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898</v>
      </c>
      <c r="X39" s="52" t="s">
        <v>899</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900</v>
      </c>
      <c r="AE39" s="86" t="s">
        <v>901</v>
      </c>
      <c r="AF39" s="87" t="s">
        <v>902</v>
      </c>
      <c r="AG39" s="84">
        <v>5.0</v>
      </c>
      <c r="AH39" s="92" t="s">
        <v>903</v>
      </c>
      <c r="AI39" s="93" t="s">
        <v>904</v>
      </c>
      <c r="AJ39" s="94" t="s">
        <v>905</v>
      </c>
      <c r="AK39" s="87"/>
      <c r="AL39" s="87"/>
      <c r="AM39" s="87"/>
      <c r="AN39" s="87"/>
      <c r="AO39" s="87"/>
    </row>
    <row r="40">
      <c r="A40" s="108">
        <v>6.0</v>
      </c>
      <c r="B40" s="85" t="s">
        <v>906</v>
      </c>
      <c r="C40" s="86" t="s">
        <v>907</v>
      </c>
      <c r="D40" s="87" t="s">
        <v>908</v>
      </c>
      <c r="E40" s="108">
        <v>6.0</v>
      </c>
      <c r="F40" s="85" t="s">
        <v>909</v>
      </c>
      <c r="G40" s="86" t="s">
        <v>910</v>
      </c>
      <c r="H40" s="87" t="s">
        <v>911</v>
      </c>
      <c r="I40" s="108">
        <v>6.0</v>
      </c>
      <c r="J40" s="85" t="s">
        <v>912</v>
      </c>
      <c r="K40" s="86" t="s">
        <v>913</v>
      </c>
      <c r="L40" s="87" t="s">
        <v>914</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915</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916</v>
      </c>
      <c r="X40" s="52" t="s">
        <v>917</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v>
      </c>
      <c r="AC40" s="108">
        <v>6.0</v>
      </c>
      <c r="AD40" s="85" t="s">
        <v>918</v>
      </c>
      <c r="AE40" s="86" t="s">
        <v>919</v>
      </c>
      <c r="AF40" s="87" t="s">
        <v>920</v>
      </c>
      <c r="AG40" s="108">
        <v>6.0</v>
      </c>
      <c r="AH40" s="92" t="s">
        <v>921</v>
      </c>
      <c r="AI40" s="93" t="s">
        <v>922</v>
      </c>
      <c r="AJ40" s="94" t="s">
        <v>923</v>
      </c>
      <c r="AK40" s="87"/>
      <c r="AL40" s="87"/>
      <c r="AM40" s="87"/>
      <c r="AN40" s="87"/>
      <c r="AO40" s="87"/>
    </row>
    <row r="41">
      <c r="A41" s="84">
        <v>7.0</v>
      </c>
      <c r="B41" s="85" t="s">
        <v>924</v>
      </c>
      <c r="C41" s="86" t="s">
        <v>925</v>
      </c>
      <c r="D41" s="87" t="s">
        <v>590</v>
      </c>
      <c r="E41" s="84">
        <v>7.0</v>
      </c>
      <c r="F41" s="85" t="s">
        <v>926</v>
      </c>
      <c r="G41" s="86" t="s">
        <v>927</v>
      </c>
      <c r="H41" s="87" t="s">
        <v>593</v>
      </c>
      <c r="I41" s="84">
        <v>7.0</v>
      </c>
      <c r="J41" s="85" t="s">
        <v>928</v>
      </c>
      <c r="K41" s="86" t="s">
        <v>929</v>
      </c>
      <c r="L41" s="87" t="s">
        <v>930</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931</v>
      </c>
      <c r="W41" s="95" t="s">
        <v>932</v>
      </c>
      <c r="X41" s="52" t="s">
        <v>602</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933</v>
      </c>
      <c r="AE41" s="86" t="s">
        <v>934</v>
      </c>
      <c r="AF41" s="87" t="s">
        <v>935</v>
      </c>
      <c r="AG41" s="84">
        <v>7.0</v>
      </c>
      <c r="AH41" s="92" t="s">
        <v>936</v>
      </c>
      <c r="AI41" s="93" t="s">
        <v>937</v>
      </c>
      <c r="AJ41" s="94" t="s">
        <v>938</v>
      </c>
      <c r="AK41" s="87"/>
      <c r="AL41" s="87"/>
      <c r="AM41" s="87"/>
      <c r="AN41" s="87"/>
      <c r="AO41" s="87"/>
    </row>
    <row r="42">
      <c r="A42" s="108">
        <v>8.0</v>
      </c>
      <c r="B42" s="85" t="s">
        <v>939</v>
      </c>
      <c r="C42" s="86" t="s">
        <v>940</v>
      </c>
      <c r="D42" s="52" t="s">
        <v>941</v>
      </c>
      <c r="E42" s="108">
        <v>8.0</v>
      </c>
      <c r="F42" s="85" t="s">
        <v>942</v>
      </c>
      <c r="G42" s="86" t="s">
        <v>943</v>
      </c>
      <c r="H42" s="52" t="s">
        <v>944</v>
      </c>
      <c r="I42" s="108">
        <v>8.0</v>
      </c>
      <c r="J42" s="85" t="s">
        <v>945</v>
      </c>
      <c r="K42" s="86" t="s">
        <v>946</v>
      </c>
      <c r="L42" s="52" t="s">
        <v>947</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948</v>
      </c>
      <c r="S42" s="89" t="s">
        <v>949</v>
      </c>
      <c r="T42" s="55" t="s">
        <v>950</v>
      </c>
      <c r="U42" s="108">
        <v>8.0</v>
      </c>
      <c r="V42" s="98" t="s">
        <v>951</v>
      </c>
      <c r="W42" s="95" t="s">
        <v>952</v>
      </c>
      <c r="X42" s="52" t="s">
        <v>953</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954</v>
      </c>
      <c r="AE42" s="86" t="s">
        <v>955</v>
      </c>
      <c r="AF42" s="52" t="s">
        <v>956</v>
      </c>
      <c r="AG42" s="108">
        <v>8.0</v>
      </c>
      <c r="AH42" s="92" t="s">
        <v>957</v>
      </c>
      <c r="AI42" s="93" t="s">
        <v>958</v>
      </c>
      <c r="AJ42" s="94" t="s">
        <v>959</v>
      </c>
      <c r="AK42" s="52"/>
      <c r="AL42" s="52"/>
      <c r="AM42" s="52"/>
      <c r="AN42" s="52"/>
      <c r="AO42" s="52"/>
    </row>
    <row r="43">
      <c r="A43" s="84">
        <v>9.0</v>
      </c>
      <c r="B43" s="85" t="s">
        <v>960</v>
      </c>
      <c r="C43" s="86" t="s">
        <v>961</v>
      </c>
      <c r="D43" s="52" t="s">
        <v>962</v>
      </c>
      <c r="E43" s="84">
        <v>9.0</v>
      </c>
      <c r="F43" s="85" t="s">
        <v>963</v>
      </c>
      <c r="G43" s="86" t="s">
        <v>964</v>
      </c>
      <c r="H43" s="52" t="s">
        <v>965</v>
      </c>
      <c r="I43" s="84">
        <v>9.0</v>
      </c>
      <c r="J43" s="85" t="s">
        <v>966</v>
      </c>
      <c r="K43" s="86" t="s">
        <v>967</v>
      </c>
      <c r="L43" s="52" t="s">
        <v>968</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969</v>
      </c>
      <c r="S43" s="89" t="s">
        <v>970</v>
      </c>
      <c r="T43" s="52" t="s">
        <v>971</v>
      </c>
      <c r="U43" s="84">
        <v>9.0</v>
      </c>
      <c r="V43" s="98" t="s">
        <v>972</v>
      </c>
      <c r="W43" s="95" t="s">
        <v>973</v>
      </c>
      <c r="X43" s="52" t="s">
        <v>974</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975</v>
      </c>
      <c r="AE43" s="86" t="s">
        <v>976</v>
      </c>
      <c r="AF43" s="87" t="s">
        <v>977</v>
      </c>
      <c r="AG43" s="84">
        <v>9.0</v>
      </c>
      <c r="AH43" s="92" t="s">
        <v>978</v>
      </c>
      <c r="AI43" s="93" t="s">
        <v>979</v>
      </c>
      <c r="AJ43" s="94" t="s">
        <v>980</v>
      </c>
      <c r="AK43" s="52"/>
      <c r="AL43" s="52"/>
      <c r="AM43" s="52"/>
      <c r="AN43" s="52"/>
      <c r="AO43" s="52"/>
    </row>
    <row r="44">
      <c r="A44" s="108">
        <v>10.0</v>
      </c>
      <c r="B44" s="85" t="s">
        <v>981</v>
      </c>
      <c r="C44" s="95" t="s">
        <v>982</v>
      </c>
      <c r="D44" s="52" t="s">
        <v>983</v>
      </c>
      <c r="E44" s="108">
        <v>10.0</v>
      </c>
      <c r="F44" s="85" t="s">
        <v>984</v>
      </c>
      <c r="G44" s="86" t="s">
        <v>985</v>
      </c>
      <c r="H44" s="52" t="s">
        <v>986</v>
      </c>
      <c r="I44" s="108">
        <v>10.0</v>
      </c>
      <c r="J44" s="85" t="s">
        <v>987</v>
      </c>
      <c r="K44" s="86" t="s">
        <v>988</v>
      </c>
      <c r="L44" s="52" t="s">
        <v>989</v>
      </c>
      <c r="M44" s="108">
        <v>10.0</v>
      </c>
      <c r="N44" s="85" t="str">
        <f>IFERROR(__xludf.DUMMYFUNCTION("GOOGLETRANSLATE(B44,""zh-tw"",""zh"")"),"厕所Plpy-1")</f>
        <v>厕所Plpy-1</v>
      </c>
      <c r="O44" s="95" t="s">
        <v>990</v>
      </c>
      <c r="P44" s="55" t="str">
        <f>IFERROR(__xludf.DUMMYFUNCTION("GOOGLETRANSLATE(D44,""zh-tw"",""zh"")"),"触发剧情
※目前尚未实装被发现的相关剧情")</f>
        <v>触发剧情
※目前尚未实装被发现的相关剧情</v>
      </c>
      <c r="Q44" s="108">
        <v>10.0</v>
      </c>
      <c r="R44" s="88" t="s">
        <v>991</v>
      </c>
      <c r="S44" s="89" t="s">
        <v>992</v>
      </c>
      <c r="T44" s="55" t="s">
        <v>993</v>
      </c>
      <c r="U44" s="108">
        <v>10.0</v>
      </c>
      <c r="V44" s="98" t="s">
        <v>994</v>
      </c>
      <c r="W44" s="95" t="s">
        <v>995</v>
      </c>
      <c r="X44" s="52" t="s">
        <v>996</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997</v>
      </c>
      <c r="AE44" s="86" t="s">
        <v>998</v>
      </c>
      <c r="AF44" s="87" t="s">
        <v>999</v>
      </c>
      <c r="AG44" s="108">
        <v>10.0</v>
      </c>
      <c r="AH44" s="92" t="s">
        <v>1000</v>
      </c>
      <c r="AI44" s="93" t="s">
        <v>1001</v>
      </c>
      <c r="AJ44" s="94" t="s">
        <v>1002</v>
      </c>
      <c r="AK44" s="52"/>
      <c r="AL44" s="52"/>
      <c r="AM44" s="52"/>
      <c r="AN44" s="52"/>
      <c r="AO44" s="52"/>
    </row>
    <row r="45">
      <c r="A45" s="84">
        <v>11.0</v>
      </c>
      <c r="B45" s="98" t="s">
        <v>1003</v>
      </c>
      <c r="C45" s="95" t="s">
        <v>1004</v>
      </c>
      <c r="D45" s="52" t="s">
        <v>1005</v>
      </c>
      <c r="E45" s="84">
        <v>11.0</v>
      </c>
      <c r="F45" s="98" t="s">
        <v>1006</v>
      </c>
      <c r="G45" s="95" t="s">
        <v>1007</v>
      </c>
      <c r="H45" s="52" t="s">
        <v>1008</v>
      </c>
      <c r="I45" s="84">
        <v>11.0</v>
      </c>
      <c r="J45" s="98" t="s">
        <v>1009</v>
      </c>
      <c r="K45" s="95" t="s">
        <v>1010</v>
      </c>
      <c r="L45" s="52" t="s">
        <v>1011</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1012</v>
      </c>
      <c r="S45" s="89" t="s">
        <v>1013</v>
      </c>
      <c r="T45" s="55" t="s">
        <v>1014</v>
      </c>
      <c r="U45" s="84">
        <v>11.0</v>
      </c>
      <c r="V45" s="98" t="s">
        <v>1015</v>
      </c>
      <c r="W45" s="95" t="s">
        <v>1016</v>
      </c>
      <c r="X45" s="52" t="s">
        <v>1017</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1018</v>
      </c>
      <c r="AE45" s="86" t="s">
        <v>1019</v>
      </c>
      <c r="AF45" s="87" t="s">
        <v>1020</v>
      </c>
      <c r="AG45" s="84">
        <v>11.0</v>
      </c>
      <c r="AH45" s="92" t="s">
        <v>1021</v>
      </c>
      <c r="AI45" s="93" t="s">
        <v>1022</v>
      </c>
      <c r="AJ45" s="94" t="s">
        <v>1023</v>
      </c>
      <c r="AK45" s="52"/>
      <c r="AL45" s="52"/>
      <c r="AM45" s="52"/>
      <c r="AN45" s="52"/>
      <c r="AO45" s="52"/>
    </row>
    <row r="46">
      <c r="A46" s="108">
        <v>12.0</v>
      </c>
      <c r="B46" s="98" t="s">
        <v>1024</v>
      </c>
      <c r="C46" s="95" t="s">
        <v>1025</v>
      </c>
      <c r="D46" s="52" t="s">
        <v>1026</v>
      </c>
      <c r="E46" s="108">
        <v>12.0</v>
      </c>
      <c r="F46" s="98" t="s">
        <v>1027</v>
      </c>
      <c r="G46" s="86" t="s">
        <v>1028</v>
      </c>
      <c r="H46" s="52" t="s">
        <v>1029</v>
      </c>
      <c r="I46" s="108">
        <v>12.0</v>
      </c>
      <c r="J46" s="98" t="s">
        <v>1030</v>
      </c>
      <c r="K46" s="95" t="s">
        <v>1031</v>
      </c>
      <c r="L46" s="52" t="s">
        <v>1032</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1033</v>
      </c>
      <c r="S46" s="89" t="s">
        <v>1034</v>
      </c>
      <c r="T46" s="55" t="s">
        <v>877</v>
      </c>
      <c r="U46" s="108">
        <v>12.0</v>
      </c>
      <c r="V46" s="98" t="s">
        <v>1035</v>
      </c>
      <c r="W46" s="95" t="s">
        <v>1036</v>
      </c>
      <c r="X46" s="52" t="s">
        <v>1037</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1038</v>
      </c>
      <c r="AE46" s="86" t="s">
        <v>1039</v>
      </c>
      <c r="AF46" s="87" t="s">
        <v>862</v>
      </c>
      <c r="AG46" s="108">
        <v>12.0</v>
      </c>
      <c r="AH46" s="92" t="s">
        <v>1040</v>
      </c>
      <c r="AI46" s="93" t="s">
        <v>1041</v>
      </c>
      <c r="AJ46" s="94" t="s">
        <v>1042</v>
      </c>
      <c r="AK46" s="52"/>
      <c r="AL46" s="52"/>
      <c r="AM46" s="52"/>
      <c r="AN46" s="52"/>
      <c r="AO46" s="52"/>
    </row>
    <row r="47">
      <c r="A47" s="84">
        <v>13.0</v>
      </c>
      <c r="B47" s="85" t="s">
        <v>1043</v>
      </c>
      <c r="C47" s="95" t="s">
        <v>1044</v>
      </c>
      <c r="D47" s="52" t="s">
        <v>1045</v>
      </c>
      <c r="E47" s="84">
        <v>13.0</v>
      </c>
      <c r="F47" s="85" t="s">
        <v>1046</v>
      </c>
      <c r="G47" s="95" t="s">
        <v>1047</v>
      </c>
      <c r="H47" s="87" t="s">
        <v>1048</v>
      </c>
      <c r="I47" s="84">
        <v>13.0</v>
      </c>
      <c r="J47" s="85" t="s">
        <v>1049</v>
      </c>
      <c r="K47" s="95" t="s">
        <v>1050</v>
      </c>
      <c r="L47" s="87" t="s">
        <v>1051</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1052</v>
      </c>
      <c r="S47" s="89" t="s">
        <v>1053</v>
      </c>
      <c r="T47" s="55" t="s">
        <v>1054</v>
      </c>
      <c r="U47" s="84">
        <v>13.0</v>
      </c>
      <c r="V47" s="98" t="s">
        <v>1055</v>
      </c>
      <c r="W47" s="95" t="s">
        <v>1056</v>
      </c>
      <c r="X47" s="52" t="s">
        <v>1057</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1058</v>
      </c>
      <c r="AE47" s="86" t="s">
        <v>1059</v>
      </c>
      <c r="AF47" s="87" t="s">
        <v>1060</v>
      </c>
      <c r="AG47" s="84">
        <v>13.0</v>
      </c>
      <c r="AH47" s="92" t="s">
        <v>1061</v>
      </c>
      <c r="AI47" s="93" t="s">
        <v>1062</v>
      </c>
      <c r="AJ47" s="94" t="s">
        <v>1063</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1064</v>
      </c>
      <c r="B49" s="80" t="s">
        <v>1065</v>
      </c>
      <c r="E49" s="80" t="s">
        <v>1064</v>
      </c>
      <c r="F49" s="80" t="s">
        <v>1066</v>
      </c>
      <c r="I49" s="80" t="s">
        <v>1064</v>
      </c>
      <c r="J49" s="80" t="s">
        <v>1067</v>
      </c>
      <c r="M49" s="80" t="s">
        <v>1064</v>
      </c>
      <c r="N49" s="81" t="str">
        <f>IFERROR(__xludf.DUMMYFUNCTION("GOOGLETRANSLATE(B49,""zh-tw"",""zh"")"),"浴室相关")</f>
        <v>浴室相关</v>
      </c>
      <c r="Q49" s="80" t="s">
        <v>1064</v>
      </c>
      <c r="R49" s="80" t="s">
        <v>1068</v>
      </c>
      <c r="U49" s="80" t="s">
        <v>1064</v>
      </c>
      <c r="V49" s="80" t="s">
        <v>1069</v>
      </c>
      <c r="Y49" s="80" t="s">
        <v>1064</v>
      </c>
      <c r="Z49" s="80" t="s">
        <v>1070</v>
      </c>
      <c r="AC49" s="80" t="s">
        <v>1064</v>
      </c>
      <c r="AD49" s="80" t="s">
        <v>1071</v>
      </c>
      <c r="AG49" s="80" t="s">
        <v>1064</v>
      </c>
      <c r="AH49" s="111" t="s">
        <v>1072</v>
      </c>
      <c r="AK49" s="80"/>
      <c r="AL49" s="80"/>
      <c r="AM49" s="80"/>
      <c r="AN49" s="80"/>
      <c r="AO49" s="80"/>
    </row>
    <row r="50">
      <c r="A50" s="84">
        <v>1.0</v>
      </c>
      <c r="B50" s="85" t="s">
        <v>1073</v>
      </c>
      <c r="C50" s="86" t="s">
        <v>1074</v>
      </c>
      <c r="D50" s="87" t="s">
        <v>1075</v>
      </c>
      <c r="E50" s="84">
        <v>1.0</v>
      </c>
      <c r="F50" s="85" t="str">
        <f>IFERROR(__xludf.DUMMYFUNCTION("GOOGLETRANSLATE(B50,""zh-tw"",""ja"")"),"シャンプー")</f>
        <v>シャンプー</v>
      </c>
      <c r="G50" s="86" t="s">
        <v>1076</v>
      </c>
      <c r="H50" s="87" t="s">
        <v>1077</v>
      </c>
      <c r="I50" s="84">
        <v>1.0</v>
      </c>
      <c r="J50" s="85" t="str">
        <f>IFERROR(__xludf.DUMMYFUNCTION("GOOGLETRANSLATE(B50,""zh-tw"",""en"")"),"Shampoo")</f>
        <v>Shampoo</v>
      </c>
      <c r="K50" s="86" t="s">
        <v>1078</v>
      </c>
      <c r="L50" s="87" t="s">
        <v>1079</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resbalón en el baño")</f>
        <v>Posibilidad de provocar un resbalón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0" s="55" t="str">
        <f>IFERROR(__xludf.DUMMYFUNCTION("GOOGLETRANSLATE(D50,""zh-tw"",""KO"")"),"욕실 미끄러짐 사고 발생 가능성")</f>
        <v>욕실 미끄러짐 사고 발생 가능성</v>
      </c>
      <c r="Y50" s="84">
        <v>1.0</v>
      </c>
      <c r="Z50" s="90" t="str">
        <f>IFERROR(__xludf.DUMMYFUNCTION("GOOGLETRANSLATE(B50,""zh-tw"",""ru"")"),"Шампунь")</f>
        <v>Шампунь</v>
      </c>
      <c r="AA50" s="102" t="s">
        <v>1080</v>
      </c>
      <c r="AB50" s="97" t="s">
        <v>1081</v>
      </c>
      <c r="AC50" s="84">
        <v>1.0</v>
      </c>
      <c r="AD50" s="85" t="s">
        <v>1082</v>
      </c>
      <c r="AE50" s="86" t="s">
        <v>1083</v>
      </c>
      <c r="AF50" s="87" t="s">
        <v>1084</v>
      </c>
      <c r="AG50" s="84">
        <v>1.0</v>
      </c>
      <c r="AH50" s="92" t="s">
        <v>1085</v>
      </c>
      <c r="AI50" s="93" t="s">
        <v>1086</v>
      </c>
      <c r="AJ50" s="94" t="s">
        <v>1087</v>
      </c>
      <c r="AK50" s="87"/>
      <c r="AL50" s="87"/>
      <c r="AM50" s="87"/>
      <c r="AN50" s="87"/>
      <c r="AO50" s="87"/>
    </row>
    <row r="51">
      <c r="A51" s="108">
        <v>2.0</v>
      </c>
      <c r="B51" s="85" t="s">
        <v>1088</v>
      </c>
      <c r="C51" s="86" t="s">
        <v>1089</v>
      </c>
      <c r="D51" s="87" t="s">
        <v>1090</v>
      </c>
      <c r="E51" s="108">
        <v>2.0</v>
      </c>
      <c r="F51" s="85" t="s">
        <v>1091</v>
      </c>
      <c r="G51" s="86" t="s">
        <v>1092</v>
      </c>
      <c r="H51" s="87" t="s">
        <v>1093</v>
      </c>
      <c r="I51" s="108">
        <v>2.0</v>
      </c>
      <c r="J51" s="85" t="s">
        <v>1094</v>
      </c>
      <c r="K51" s="86" t="s">
        <v>1095</v>
      </c>
      <c r="L51" s="87" t="s">
        <v>1096</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1097</v>
      </c>
      <c r="S51" s="89" t="s">
        <v>1098</v>
      </c>
      <c r="T51" s="55" t="s">
        <v>1099</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1100</v>
      </c>
      <c r="AE51" s="86" t="s">
        <v>1101</v>
      </c>
      <c r="AF51" s="87" t="s">
        <v>1102</v>
      </c>
      <c r="AG51" s="108">
        <v>2.0</v>
      </c>
      <c r="AH51" s="92" t="s">
        <v>1103</v>
      </c>
      <c r="AI51" s="93" t="s">
        <v>1104</v>
      </c>
      <c r="AJ51" s="94" t="s">
        <v>1105</v>
      </c>
      <c r="AK51" s="87"/>
      <c r="AL51" s="87"/>
      <c r="AM51" s="87"/>
      <c r="AN51" s="87"/>
      <c r="AO51" s="87"/>
    </row>
    <row r="52">
      <c r="A52" s="84">
        <v>3.0</v>
      </c>
      <c r="B52" s="85" t="s">
        <v>1106</v>
      </c>
      <c r="C52" s="86" t="s">
        <v>1107</v>
      </c>
      <c r="D52" s="87" t="s">
        <v>1108</v>
      </c>
      <c r="E52" s="84">
        <v>3.0</v>
      </c>
      <c r="F52" s="85" t="s">
        <v>1109</v>
      </c>
      <c r="G52" s="86" t="s">
        <v>1110</v>
      </c>
      <c r="H52" s="87" t="s">
        <v>1111</v>
      </c>
      <c r="I52" s="84">
        <v>3.0</v>
      </c>
      <c r="J52" s="85" t="s">
        <v>1112</v>
      </c>
      <c r="K52" s="86" t="s">
        <v>1113</v>
      </c>
      <c r="L52" s="87" t="s">
        <v>1114</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1115</v>
      </c>
      <c r="S52" s="89" t="s">
        <v>1116</v>
      </c>
      <c r="T52" s="55" t="s">
        <v>1117</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언니에게 발각되었습니다.")</f>
        <v>1. 얼굴 치료 센터에 성공적으로 침투했습니다.
2. 언니에게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2" s="84">
        <v>3.0</v>
      </c>
      <c r="AD52" s="85" t="s">
        <v>1118</v>
      </c>
      <c r="AE52" s="86" t="s">
        <v>1119</v>
      </c>
      <c r="AF52" s="87" t="s">
        <v>1120</v>
      </c>
      <c r="AG52" s="84">
        <v>3.0</v>
      </c>
      <c r="AH52" s="92" t="s">
        <v>1121</v>
      </c>
      <c r="AI52" s="93" t="s">
        <v>1122</v>
      </c>
      <c r="AJ52" s="94" t="s">
        <v>1123</v>
      </c>
      <c r="AK52" s="87"/>
      <c r="AL52" s="87"/>
      <c r="AM52" s="87"/>
      <c r="AN52" s="87"/>
      <c r="AO52" s="87"/>
    </row>
    <row r="53">
      <c r="A53" s="84">
        <v>4.0</v>
      </c>
      <c r="B53" s="85" t="s">
        <v>1124</v>
      </c>
      <c r="C53" s="86" t="s">
        <v>1125</v>
      </c>
      <c r="D53" s="87" t="s">
        <v>1126</v>
      </c>
      <c r="E53" s="84">
        <v>4.0</v>
      </c>
      <c r="F53" s="85" t="s">
        <v>1127</v>
      </c>
      <c r="G53" s="86" t="s">
        <v>1128</v>
      </c>
      <c r="H53" s="87" t="s">
        <v>1129</v>
      </c>
      <c r="I53" s="84">
        <v>4.0</v>
      </c>
      <c r="J53" s="85" t="s">
        <v>1130</v>
      </c>
      <c r="K53" s="86" t="s">
        <v>1131</v>
      </c>
      <c r="L53" s="87" t="s">
        <v>1132</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1133</v>
      </c>
      <c r="S53" s="89" t="s">
        <v>1134</v>
      </c>
      <c r="T53" s="55" t="s">
        <v>1135</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1136</v>
      </c>
      <c r="AE53" s="86" t="s">
        <v>1137</v>
      </c>
      <c r="AF53" s="87" t="s">
        <v>1138</v>
      </c>
      <c r="AG53" s="84">
        <v>4.0</v>
      </c>
      <c r="AH53" s="92" t="s">
        <v>1139</v>
      </c>
      <c r="AI53" s="93" t="s">
        <v>1140</v>
      </c>
      <c r="AJ53" s="94" t="s">
        <v>1141</v>
      </c>
      <c r="AK53" s="87"/>
      <c r="AL53" s="87"/>
      <c r="AM53" s="87"/>
      <c r="AN53" s="87"/>
      <c r="AO53" s="87"/>
    </row>
    <row r="54">
      <c r="A54" s="108">
        <v>5.0</v>
      </c>
      <c r="B54" s="85" t="s">
        <v>1142</v>
      </c>
      <c r="C54" s="86" t="s">
        <v>1143</v>
      </c>
      <c r="D54" s="87" t="s">
        <v>1144</v>
      </c>
      <c r="E54" s="108">
        <v>5.0</v>
      </c>
      <c r="F54" s="85" t="s">
        <v>1145</v>
      </c>
      <c r="G54" s="86" t="s">
        <v>1146</v>
      </c>
      <c r="H54" s="87" t="s">
        <v>1147</v>
      </c>
      <c r="I54" s="108">
        <v>5.0</v>
      </c>
      <c r="J54" s="85" t="s">
        <v>1148</v>
      </c>
      <c r="K54" s="86" t="s">
        <v>1149</v>
      </c>
      <c r="L54" s="87" t="s">
        <v>1150</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1151</v>
      </c>
      <c r="S54" s="89" t="s">
        <v>1152</v>
      </c>
      <c r="T54" s="55" t="s">
        <v>1153</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1154</v>
      </c>
      <c r="AE54" s="86" t="s">
        <v>1155</v>
      </c>
      <c r="AF54" s="87" t="s">
        <v>1156</v>
      </c>
      <c r="AG54" s="108">
        <v>5.0</v>
      </c>
      <c r="AH54" s="92" t="s">
        <v>1157</v>
      </c>
      <c r="AI54" s="93" t="s">
        <v>1158</v>
      </c>
      <c r="AJ54" s="94" t="s">
        <v>1159</v>
      </c>
      <c r="AK54" s="87"/>
      <c r="AL54" s="87"/>
      <c r="AM54" s="87"/>
      <c r="AN54" s="87"/>
      <c r="AO54" s="87"/>
    </row>
    <row r="55">
      <c r="A55" s="84">
        <v>6.0</v>
      </c>
      <c r="B55" s="85" t="s">
        <v>1160</v>
      </c>
      <c r="C55" s="86" t="s">
        <v>1161</v>
      </c>
      <c r="D55" s="87" t="s">
        <v>1162</v>
      </c>
      <c r="E55" s="84">
        <v>6.0</v>
      </c>
      <c r="F55" s="85" t="s">
        <v>1163</v>
      </c>
      <c r="G55" s="86" t="s">
        <v>1164</v>
      </c>
      <c r="H55" s="87" t="s">
        <v>1165</v>
      </c>
      <c r="I55" s="84">
        <v>6.0</v>
      </c>
      <c r="J55" s="85" t="s">
        <v>1166</v>
      </c>
      <c r="K55" s="86" t="s">
        <v>1167</v>
      </c>
      <c r="L55" s="87" t="s">
        <v>1168</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1169</v>
      </c>
      <c r="S55" s="89" t="s">
        <v>1170</v>
      </c>
      <c r="T55" s="55" t="s">
        <v>1171</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1172</v>
      </c>
      <c r="AE55" s="86" t="s">
        <v>1173</v>
      </c>
      <c r="AF55" s="87" t="s">
        <v>1174</v>
      </c>
      <c r="AG55" s="84">
        <v>6.0</v>
      </c>
      <c r="AH55" s="92" t="s">
        <v>1175</v>
      </c>
      <c r="AI55" s="93" t="s">
        <v>1176</v>
      </c>
      <c r="AJ55" s="94" t="s">
        <v>1177</v>
      </c>
      <c r="AK55" s="87"/>
      <c r="AL55" s="87"/>
      <c r="AM55" s="87"/>
      <c r="AN55" s="87"/>
      <c r="AO55" s="87"/>
    </row>
    <row r="56">
      <c r="A56" s="84">
        <v>7.0</v>
      </c>
      <c r="B56" s="85" t="s">
        <v>1178</v>
      </c>
      <c r="C56" s="95" t="s">
        <v>1179</v>
      </c>
      <c r="D56" s="52" t="s">
        <v>1180</v>
      </c>
      <c r="E56" s="84">
        <v>7.0</v>
      </c>
      <c r="F56" s="98" t="s">
        <v>1181</v>
      </c>
      <c r="G56" s="95" t="s">
        <v>1182</v>
      </c>
      <c r="H56" s="52" t="s">
        <v>1183</v>
      </c>
      <c r="I56" s="84">
        <v>7.0</v>
      </c>
      <c r="J56" s="98" t="s">
        <v>1184</v>
      </c>
      <c r="K56" s="95" t="s">
        <v>1185</v>
      </c>
      <c r="L56" s="52" t="s">
        <v>1186</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1187</v>
      </c>
      <c r="AE56" s="95" t="s">
        <v>1188</v>
      </c>
      <c r="AF56" s="52" t="s">
        <v>1189</v>
      </c>
      <c r="AG56" s="84">
        <v>7.0</v>
      </c>
      <c r="AH56" s="92" t="s">
        <v>1190</v>
      </c>
      <c r="AI56" s="93" t="s">
        <v>1191</v>
      </c>
      <c r="AJ56" s="94" t="s">
        <v>1192</v>
      </c>
      <c r="AK56" s="52"/>
      <c r="AL56" s="52"/>
      <c r="AM56" s="52"/>
      <c r="AN56" s="52"/>
      <c r="AO56" s="52"/>
    </row>
    <row r="57">
      <c r="A57" s="108">
        <v>8.0</v>
      </c>
      <c r="B57" s="85" t="s">
        <v>1193</v>
      </c>
      <c r="C57" s="95" t="s">
        <v>1194</v>
      </c>
      <c r="D57" s="87" t="s">
        <v>1195</v>
      </c>
      <c r="E57" s="108">
        <v>8.0</v>
      </c>
      <c r="F57" s="85" t="s">
        <v>1196</v>
      </c>
      <c r="G57" s="86" t="s">
        <v>1197</v>
      </c>
      <c r="H57" s="87" t="s">
        <v>1198</v>
      </c>
      <c r="I57" s="108">
        <v>8.0</v>
      </c>
      <c r="J57" s="85" t="s">
        <v>1199</v>
      </c>
      <c r="K57" s="86" t="s">
        <v>1200</v>
      </c>
      <c r="L57" s="87" t="s">
        <v>1201</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1202</v>
      </c>
      <c r="S57" s="89" t="s">
        <v>1203</v>
      </c>
      <c r="T57" s="55" t="s">
        <v>1204</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1205</v>
      </c>
      <c r="AE57" s="86" t="s">
        <v>1206</v>
      </c>
      <c r="AF57" s="87" t="s">
        <v>1207</v>
      </c>
      <c r="AG57" s="108">
        <v>8.0</v>
      </c>
      <c r="AH57" s="92" t="s">
        <v>1208</v>
      </c>
      <c r="AI57" s="93" t="s">
        <v>1209</v>
      </c>
      <c r="AJ57" s="94" t="s">
        <v>1210</v>
      </c>
      <c r="AK57" s="87"/>
      <c r="AL57" s="87"/>
      <c r="AM57" s="87"/>
      <c r="AN57" s="87"/>
      <c r="AO57" s="87"/>
    </row>
    <row r="58">
      <c r="A58" s="84">
        <v>9.0</v>
      </c>
      <c r="B58" s="98" t="s">
        <v>1211</v>
      </c>
      <c r="C58" s="95" t="s">
        <v>1212</v>
      </c>
      <c r="D58" s="52" t="s">
        <v>1213</v>
      </c>
      <c r="E58" s="84">
        <v>9.0</v>
      </c>
      <c r="F58" s="85" t="s">
        <v>1214</v>
      </c>
      <c r="G58" s="86" t="s">
        <v>1215</v>
      </c>
      <c r="H58" s="87" t="s">
        <v>1216</v>
      </c>
      <c r="I58" s="84">
        <v>9.0</v>
      </c>
      <c r="J58" s="85" t="s">
        <v>1217</v>
      </c>
      <c r="K58" s="86" t="s">
        <v>1218</v>
      </c>
      <c r="L58" s="52" t="s">
        <v>1219</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1220</v>
      </c>
      <c r="S58" s="100" t="s">
        <v>1221</v>
      </c>
      <c r="T58" s="101" t="s">
        <v>1222</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1223</v>
      </c>
      <c r="AE58" s="86" t="s">
        <v>1224</v>
      </c>
      <c r="AF58" s="87" t="s">
        <v>1225</v>
      </c>
      <c r="AG58" s="84">
        <v>9.0</v>
      </c>
      <c r="AH58" s="92" t="s">
        <v>1226</v>
      </c>
      <c r="AI58" s="93" t="s">
        <v>1227</v>
      </c>
      <c r="AJ58" s="94" t="s">
        <v>1228</v>
      </c>
      <c r="AK58" s="52"/>
      <c r="AL58" s="52"/>
      <c r="AM58" s="52"/>
      <c r="AN58" s="52"/>
      <c r="AO58" s="52"/>
    </row>
    <row r="59">
      <c r="A59" s="84">
        <v>10.0</v>
      </c>
      <c r="B59" s="98" t="s">
        <v>1229</v>
      </c>
      <c r="C59" s="86" t="s">
        <v>1230</v>
      </c>
      <c r="D59" s="52" t="s">
        <v>1231</v>
      </c>
      <c r="E59" s="84">
        <v>10.0</v>
      </c>
      <c r="F59" s="85" t="s">
        <v>1232</v>
      </c>
      <c r="G59" s="86" t="s">
        <v>1233</v>
      </c>
      <c r="H59" s="87" t="s">
        <v>1234</v>
      </c>
      <c r="I59" s="84">
        <v>10.0</v>
      </c>
      <c r="J59" s="85" t="s">
        <v>1235</v>
      </c>
      <c r="K59" s="86" t="s">
        <v>1236</v>
      </c>
      <c r="L59" s="87" t="s">
        <v>1237</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1238</v>
      </c>
      <c r="S59" s="100" t="s">
        <v>1239</v>
      </c>
      <c r="T59" s="101" t="s">
        <v>1240</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1241</v>
      </c>
      <c r="AE59" s="86" t="s">
        <v>1242</v>
      </c>
      <c r="AF59" s="87" t="s">
        <v>1243</v>
      </c>
      <c r="AG59" s="84">
        <v>10.0</v>
      </c>
      <c r="AH59" s="92" t="s">
        <v>1244</v>
      </c>
      <c r="AI59" s="93" t="s">
        <v>1245</v>
      </c>
      <c r="AJ59" s="94" t="s">
        <v>1246</v>
      </c>
      <c r="AK59" s="52"/>
      <c r="AL59" s="52"/>
      <c r="AM59" s="52"/>
      <c r="AN59" s="52"/>
      <c r="AO59" s="52"/>
    </row>
    <row r="60">
      <c r="A60" s="108">
        <v>11.0</v>
      </c>
      <c r="B60" s="98" t="s">
        <v>1247</v>
      </c>
      <c r="C60" s="95" t="s">
        <v>1248</v>
      </c>
      <c r="D60" s="52" t="s">
        <v>1249</v>
      </c>
      <c r="E60" s="108">
        <v>11.0</v>
      </c>
      <c r="F60" s="85" t="s">
        <v>1250</v>
      </c>
      <c r="G60" s="86" t="s">
        <v>1251</v>
      </c>
      <c r="H60" s="52" t="s">
        <v>1252</v>
      </c>
      <c r="I60" s="108">
        <v>11.0</v>
      </c>
      <c r="J60" s="98" t="s">
        <v>1253</v>
      </c>
      <c r="K60" s="95" t="s">
        <v>1254</v>
      </c>
      <c r="L60" s="52" t="s">
        <v>1255</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1256</v>
      </c>
      <c r="S60" s="100" t="s">
        <v>1257</v>
      </c>
      <c r="T60" s="101" t="s">
        <v>1258</v>
      </c>
      <c r="U60" s="108">
        <v>11.0</v>
      </c>
      <c r="V60" s="88" t="str">
        <f>IFERROR(__xludf.DUMMYFUNCTION("GOOGLETRANSLATE(B60,""zh-tw"",""KO"")"),"어디 보자... -4
""섹시해지고 싶어""")</f>
        <v>어디 보자... -4
"섹시해지고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1259</v>
      </c>
      <c r="AE60" s="86" t="s">
        <v>1260</v>
      </c>
      <c r="AF60" s="87" t="s">
        <v>1261</v>
      </c>
      <c r="AG60" s="108">
        <v>11.0</v>
      </c>
      <c r="AH60" s="92" t="s">
        <v>1262</v>
      </c>
      <c r="AI60" s="100" t="s">
        <v>1263</v>
      </c>
      <c r="AJ60" s="94" t="s">
        <v>1264</v>
      </c>
      <c r="AK60" s="52"/>
      <c r="AL60" s="52"/>
      <c r="AM60" s="52"/>
      <c r="AN60" s="52"/>
      <c r="AO60" s="52"/>
    </row>
    <row r="61">
      <c r="A61" s="84">
        <v>12.0</v>
      </c>
      <c r="B61" s="85" t="s">
        <v>1265</v>
      </c>
      <c r="C61" s="86" t="s">
        <v>1266</v>
      </c>
      <c r="D61" s="87" t="s">
        <v>1267</v>
      </c>
      <c r="E61" s="84">
        <v>12.0</v>
      </c>
      <c r="F61" s="85" t="s">
        <v>1268</v>
      </c>
      <c r="G61" s="86" t="s">
        <v>1269</v>
      </c>
      <c r="H61" s="87" t="s">
        <v>1270</v>
      </c>
      <c r="I61" s="84">
        <v>12.0</v>
      </c>
      <c r="J61" s="98" t="s">
        <v>1271</v>
      </c>
      <c r="K61" s="95" t="s">
        <v>1272</v>
      </c>
      <c r="L61" s="52" t="s">
        <v>1273</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1274</v>
      </c>
      <c r="S61" s="100" t="s">
        <v>1275</v>
      </c>
      <c r="T61" s="101" t="s">
        <v>1276</v>
      </c>
      <c r="U61" s="84">
        <v>12.0</v>
      </c>
      <c r="V61" s="88" t="str">
        <f>IFERROR(__xludf.DUMMYFUNCTION("GOOGLETRANSLATE(B61,""zh-tw"",""KO"")"),"잠깐만 기다려요")</f>
        <v>잠깐만 기다려요</v>
      </c>
      <c r="W61" s="89" t="str">
        <f>IFERROR(__xludf.DUMMYFUNCTION("GOOGLETRANSLATE(C61,""zh-tw"",""KO"")"),"옷을 갈아입을 때 엿보는 일이 없도록 하면 목욕탕에 안전하게 들어갈 수 있습니다.")</f>
        <v>옷을 갈아입을 때 엿보는 일이 없도록 하면 목욕탕에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1277</v>
      </c>
      <c r="AE61" s="86" t="s">
        <v>1278</v>
      </c>
      <c r="AF61" s="87" t="s">
        <v>1279</v>
      </c>
      <c r="AG61" s="84">
        <v>12.0</v>
      </c>
      <c r="AH61" s="92" t="s">
        <v>1280</v>
      </c>
      <c r="AI61" s="93" t="s">
        <v>1281</v>
      </c>
      <c r="AJ61" s="94" t="s">
        <v>1282</v>
      </c>
      <c r="AK61" s="87"/>
      <c r="AL61" s="87"/>
      <c r="AM61" s="87"/>
      <c r="AN61" s="87"/>
      <c r="AO61" s="87"/>
    </row>
    <row r="62">
      <c r="A62" s="84">
        <v>13.0</v>
      </c>
      <c r="B62" s="85" t="s">
        <v>1283</v>
      </c>
      <c r="C62" s="86" t="s">
        <v>1284</v>
      </c>
      <c r="D62" s="87" t="s">
        <v>1285</v>
      </c>
      <c r="E62" s="84">
        <v>13.0</v>
      </c>
      <c r="F62" s="85" t="str">
        <f>IFERROR(__xludf.DUMMYFUNCTION("GOOGLETRANSLATE(B62,""zh-tw"",""ja"")"),"最初の侵入")</f>
        <v>最初の侵入</v>
      </c>
      <c r="G62" s="86" t="s">
        <v>1286</v>
      </c>
      <c r="H62" s="87" t="s">
        <v>1287</v>
      </c>
      <c r="I62" s="84">
        <v>13.0</v>
      </c>
      <c r="J62" s="85" t="s">
        <v>1288</v>
      </c>
      <c r="K62" s="86" t="s">
        <v>1289</v>
      </c>
      <c r="L62" s="87" t="s">
        <v>1290</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1291</v>
      </c>
      <c r="S62" s="89" t="str">
        <f>IFERROR(__xludf.DUMMYFUNCTION("GOOGLETRANSLATE(C62,""zh-tw"",""es-MX"")"),"La primera infiltración en el baño forma parte de una trama especial.")</f>
        <v>La primera infiltración en el baño forma parte de una trama especial.</v>
      </c>
      <c r="T62" s="55" t="s">
        <v>1292</v>
      </c>
      <c r="U62" s="84">
        <v>13.0</v>
      </c>
      <c r="V62" s="88" t="str">
        <f>IFERROR(__xludf.DUMMYFUNCTION("GOOGLETRANSLATE(B62,""zh-tw"",""KO"")"),"첫 번째 침투")</f>
        <v>첫 번째 침투</v>
      </c>
      <c r="W62" s="89" t="s">
        <v>1293</v>
      </c>
      <c r="X62" s="55" t="s">
        <v>1294</v>
      </c>
      <c r="Y62" s="84">
        <v>13.0</v>
      </c>
      <c r="Z62" s="103" t="s">
        <v>1295</v>
      </c>
      <c r="AA62" s="104" t="s">
        <v>1296</v>
      </c>
      <c r="AB62" s="44" t="s">
        <v>1297</v>
      </c>
      <c r="AC62" s="84">
        <v>13.0</v>
      </c>
      <c r="AD62" s="85" t="s">
        <v>1298</v>
      </c>
      <c r="AE62" s="86" t="s">
        <v>1299</v>
      </c>
      <c r="AF62" s="87" t="s">
        <v>1300</v>
      </c>
      <c r="AG62" s="84">
        <v>13.0</v>
      </c>
      <c r="AH62" s="92" t="s">
        <v>1301</v>
      </c>
      <c r="AI62" s="93" t="s">
        <v>1302</v>
      </c>
      <c r="AJ62" s="94" t="s">
        <v>1303</v>
      </c>
      <c r="AK62" s="87"/>
      <c r="AL62" s="87"/>
      <c r="AM62" s="87"/>
      <c r="AN62" s="87"/>
      <c r="AO62" s="87"/>
    </row>
    <row r="63">
      <c r="A63" s="108">
        <v>14.0</v>
      </c>
      <c r="B63" s="85" t="s">
        <v>1304</v>
      </c>
      <c r="C63" s="86" t="s">
        <v>1305</v>
      </c>
      <c r="D63" s="87" t="s">
        <v>1306</v>
      </c>
      <c r="E63" s="108">
        <v>14.0</v>
      </c>
      <c r="F63" s="85" t="s">
        <v>1307</v>
      </c>
      <c r="G63" s="86" t="s">
        <v>1308</v>
      </c>
      <c r="H63" s="87" t="s">
        <v>1309</v>
      </c>
      <c r="I63" s="108">
        <v>14.0</v>
      </c>
      <c r="J63" s="85" t="s">
        <v>1310</v>
      </c>
      <c r="K63" s="86" t="s">
        <v>1311</v>
      </c>
      <c r="L63" s="87" t="s">
        <v>1312</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1313</v>
      </c>
      <c r="S63" s="89" t="s">
        <v>1314</v>
      </c>
      <c r="T63" s="55" t="s">
        <v>1315</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1316</v>
      </c>
      <c r="AE63" s="86" t="s">
        <v>1317</v>
      </c>
      <c r="AF63" s="87" t="s">
        <v>1318</v>
      </c>
      <c r="AG63" s="108">
        <v>14.0</v>
      </c>
      <c r="AH63" s="92" t="s">
        <v>1319</v>
      </c>
      <c r="AI63" s="93" t="s">
        <v>1320</v>
      </c>
      <c r="AJ63" s="94" t="s">
        <v>1321</v>
      </c>
      <c r="AK63" s="87"/>
      <c r="AL63" s="87"/>
      <c r="AM63" s="87"/>
      <c r="AN63" s="87"/>
      <c r="AO63" s="87"/>
    </row>
    <row r="64">
      <c r="A64" s="84">
        <v>15.0</v>
      </c>
      <c r="B64" s="85" t="s">
        <v>1322</v>
      </c>
      <c r="C64" s="86" t="s">
        <v>1323</v>
      </c>
      <c r="D64" s="87" t="s">
        <v>1324</v>
      </c>
      <c r="E64" s="84">
        <v>15.0</v>
      </c>
      <c r="F64" s="85" t="s">
        <v>1325</v>
      </c>
      <c r="G64" s="86" t="s">
        <v>1326</v>
      </c>
      <c r="H64" s="87" t="s">
        <v>1327</v>
      </c>
      <c r="I64" s="84">
        <v>15.0</v>
      </c>
      <c r="J64" s="85" t="s">
        <v>1328</v>
      </c>
      <c r="K64" s="95" t="s">
        <v>1329</v>
      </c>
      <c r="L64" s="87" t="s">
        <v>1330</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1331</v>
      </c>
      <c r="S64" s="89" t="s">
        <v>1332</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84">
        <v>15.0</v>
      </c>
      <c r="Z64" s="103" t="s">
        <v>1333</v>
      </c>
      <c r="AA64" s="104" t="s">
        <v>1334</v>
      </c>
      <c r="AB64" s="44" t="s">
        <v>1335</v>
      </c>
      <c r="AC64" s="84">
        <v>15.0</v>
      </c>
      <c r="AD64" s="85" t="s">
        <v>1336</v>
      </c>
      <c r="AE64" s="86" t="s">
        <v>1337</v>
      </c>
      <c r="AF64" s="87" t="s">
        <v>1338</v>
      </c>
      <c r="AG64" s="84">
        <v>15.0</v>
      </c>
      <c r="AH64" s="92" t="s">
        <v>1339</v>
      </c>
      <c r="AI64" s="93" t="s">
        <v>1340</v>
      </c>
      <c r="AJ64" s="94" t="s">
        <v>1341</v>
      </c>
      <c r="AK64" s="87"/>
      <c r="AL64" s="87"/>
      <c r="AM64" s="87"/>
      <c r="AN64" s="87"/>
      <c r="AO64" s="87"/>
    </row>
    <row r="65">
      <c r="A65" s="84">
        <v>16.0</v>
      </c>
      <c r="B65" s="85" t="s">
        <v>1342</v>
      </c>
      <c r="C65" s="86" t="s">
        <v>1343</v>
      </c>
      <c r="D65" s="87" t="s">
        <v>1344</v>
      </c>
      <c r="E65" s="84">
        <v>16.0</v>
      </c>
      <c r="F65" s="85" t="s">
        <v>1345</v>
      </c>
      <c r="G65" s="86" t="s">
        <v>1346</v>
      </c>
      <c r="H65" s="87" t="s">
        <v>1347</v>
      </c>
      <c r="I65" s="84">
        <v>16.0</v>
      </c>
      <c r="J65" s="85" t="s">
        <v>1348</v>
      </c>
      <c r="K65" s="86" t="s">
        <v>1349</v>
      </c>
      <c r="L65" s="87" t="s">
        <v>1350</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1351</v>
      </c>
      <c r="S65" s="89" t="str">
        <f>IFERROR(__xludf.DUMMYFUNCTION("GOOGLETRANSLATE(C65,""zh-tw"",""es-MX"")"),"Continuando con lo anterior, una vez que alcances un nivel de corazón púrpura de 3, podrás jugar sin usar ropa.")</f>
        <v>Continuando con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1352</v>
      </c>
      <c r="AA65" s="104" t="s">
        <v>1353</v>
      </c>
      <c r="AB65" s="44" t="s">
        <v>1354</v>
      </c>
      <c r="AC65" s="84">
        <v>16.0</v>
      </c>
      <c r="AD65" s="85" t="s">
        <v>1355</v>
      </c>
      <c r="AE65" s="86" t="s">
        <v>1356</v>
      </c>
      <c r="AF65" s="87" t="s">
        <v>1357</v>
      </c>
      <c r="AG65" s="84">
        <v>16.0</v>
      </c>
      <c r="AH65" s="92" t="s">
        <v>1358</v>
      </c>
      <c r="AI65" s="93" t="s">
        <v>1359</v>
      </c>
      <c r="AJ65" s="94" t="s">
        <v>1360</v>
      </c>
      <c r="AK65" s="87"/>
      <c r="AL65" s="87"/>
      <c r="AM65" s="87"/>
      <c r="AN65" s="87"/>
      <c r="AO65" s="87"/>
    </row>
    <row r="66">
      <c r="A66" s="108">
        <v>17.0</v>
      </c>
      <c r="B66" s="85" t="s">
        <v>1361</v>
      </c>
      <c r="C66" s="86" t="s">
        <v>1362</v>
      </c>
      <c r="D66" s="87" t="s">
        <v>1363</v>
      </c>
      <c r="E66" s="108">
        <v>17.0</v>
      </c>
      <c r="F66" s="85" t="s">
        <v>1364</v>
      </c>
      <c r="G66" s="86" t="s">
        <v>1365</v>
      </c>
      <c r="H66" s="87" t="s">
        <v>1366</v>
      </c>
      <c r="I66" s="108">
        <v>17.0</v>
      </c>
      <c r="J66" s="85" t="s">
        <v>1367</v>
      </c>
      <c r="K66" s="86" t="s">
        <v>1368</v>
      </c>
      <c r="L66" s="87" t="s">
        <v>1369</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1370</v>
      </c>
      <c r="AE66" s="86" t="s">
        <v>1371</v>
      </c>
      <c r="AF66" s="87" t="s">
        <v>1372</v>
      </c>
      <c r="AG66" s="108">
        <v>17.0</v>
      </c>
      <c r="AH66" s="92" t="s">
        <v>1373</v>
      </c>
      <c r="AI66" s="93" t="s">
        <v>1374</v>
      </c>
      <c r="AJ66" s="94" t="s">
        <v>1375</v>
      </c>
      <c r="AK66" s="87"/>
      <c r="AL66" s="87"/>
      <c r="AM66" s="87"/>
      <c r="AN66" s="87"/>
      <c r="AO66" s="87"/>
    </row>
    <row r="67">
      <c r="A67" s="84">
        <v>18.0</v>
      </c>
      <c r="B67" s="85" t="s">
        <v>1376</v>
      </c>
      <c r="C67" s="86" t="s">
        <v>1377</v>
      </c>
      <c r="D67" s="87" t="s">
        <v>1378</v>
      </c>
      <c r="E67" s="84">
        <v>18.0</v>
      </c>
      <c r="F67" s="85" t="s">
        <v>1379</v>
      </c>
      <c r="G67" s="86" t="s">
        <v>1380</v>
      </c>
      <c r="H67" s="87" t="s">
        <v>1381</v>
      </c>
      <c r="I67" s="84">
        <v>18.0</v>
      </c>
      <c r="J67" s="85" t="s">
        <v>1382</v>
      </c>
      <c r="K67" s="86" t="s">
        <v>1383</v>
      </c>
      <c r="L67" s="87" t="s">
        <v>1384</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1385</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1386</v>
      </c>
      <c r="AB67" s="44" t="s">
        <v>1387</v>
      </c>
      <c r="AC67" s="84">
        <v>18.0</v>
      </c>
      <c r="AD67" s="85" t="s">
        <v>1388</v>
      </c>
      <c r="AE67" s="86" t="s">
        <v>1389</v>
      </c>
      <c r="AF67" s="87" t="s">
        <v>1390</v>
      </c>
      <c r="AG67" s="84">
        <v>18.0</v>
      </c>
      <c r="AH67" s="92" t="s">
        <v>1391</v>
      </c>
      <c r="AI67" s="93" t="s">
        <v>1392</v>
      </c>
      <c r="AJ67" s="94" t="s">
        <v>1393</v>
      </c>
      <c r="AK67" s="87"/>
      <c r="AL67" s="87"/>
      <c r="AM67" s="87"/>
      <c r="AN67" s="87"/>
      <c r="AO67" s="87"/>
    </row>
    <row r="68">
      <c r="A68" s="84">
        <v>19.0</v>
      </c>
      <c r="B68" s="85" t="s">
        <v>1394</v>
      </c>
      <c r="C68" s="86" t="s">
        <v>1395</v>
      </c>
      <c r="D68" s="87" t="s">
        <v>1396</v>
      </c>
      <c r="E68" s="84">
        <v>19.0</v>
      </c>
      <c r="F68" s="85" t="s">
        <v>1397</v>
      </c>
      <c r="G68" s="86" t="s">
        <v>1398</v>
      </c>
      <c r="H68" s="87" t="s">
        <v>1399</v>
      </c>
      <c r="I68" s="84">
        <v>19.0</v>
      </c>
      <c r="J68" s="85" t="s">
        <v>1400</v>
      </c>
      <c r="K68" s="86" t="s">
        <v>1401</v>
      </c>
      <c r="L68" s="87" t="s">
        <v>1402</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1403</v>
      </c>
      <c r="S68" s="89" t="s">
        <v>1404</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1405</v>
      </c>
      <c r="AB68" s="44" t="s">
        <v>1406</v>
      </c>
      <c r="AC68" s="84">
        <v>19.0</v>
      </c>
      <c r="AD68" s="85" t="s">
        <v>1407</v>
      </c>
      <c r="AE68" s="86" t="s">
        <v>1408</v>
      </c>
      <c r="AF68" s="87" t="s">
        <v>1409</v>
      </c>
      <c r="AG68" s="84">
        <v>19.0</v>
      </c>
      <c r="AH68" s="92" t="s">
        <v>1410</v>
      </c>
      <c r="AI68" s="93" t="s">
        <v>1411</v>
      </c>
      <c r="AJ68" s="94" t="s">
        <v>1412</v>
      </c>
      <c r="AK68" s="87"/>
      <c r="AL68" s="87"/>
      <c r="AM68" s="87"/>
      <c r="AN68" s="87"/>
      <c r="AO68" s="87"/>
    </row>
    <row r="69">
      <c r="A69" s="108">
        <v>20.0</v>
      </c>
      <c r="B69" s="85" t="s">
        <v>1413</v>
      </c>
      <c r="C69" s="86" t="s">
        <v>1414</v>
      </c>
      <c r="D69" s="87" t="s">
        <v>1415</v>
      </c>
      <c r="E69" s="108">
        <v>20.0</v>
      </c>
      <c r="F69" s="85" t="s">
        <v>1416</v>
      </c>
      <c r="G69" s="86" t="s">
        <v>1417</v>
      </c>
      <c r="H69" s="87" t="s">
        <v>1418</v>
      </c>
      <c r="I69" s="108">
        <v>20.0</v>
      </c>
      <c r="J69" s="85" t="s">
        <v>1419</v>
      </c>
      <c r="K69" s="86" t="s">
        <v>1420</v>
      </c>
      <c r="L69" s="87" t="s">
        <v>1421</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1422</v>
      </c>
      <c r="S69" s="89" t="s">
        <v>1423</v>
      </c>
      <c r="T69" s="55" t="s">
        <v>1424</v>
      </c>
      <c r="U69" s="108">
        <v>20.0</v>
      </c>
      <c r="V69" s="88" t="str">
        <f>IFERROR(__xludf.DUMMYFUNCTION("GOOGLETRANSLATE(B69,""zh-tw"",""KO"")"),"투명문-3")</f>
        <v>투명문-3</v>
      </c>
      <c r="W69" s="89" t="str">
        <f>IFERROR(__xludf.DUMMYFUNCTION("GOOGLETRANSLATE(C69,""zh-tw"",""KO"")"),"""냄새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1425</v>
      </c>
      <c r="AE69" s="86" t="s">
        <v>1426</v>
      </c>
      <c r="AF69" s="87" t="s">
        <v>1427</v>
      </c>
      <c r="AG69" s="108">
        <v>20.0</v>
      </c>
      <c r="AH69" s="92" t="s">
        <v>1428</v>
      </c>
      <c r="AI69" s="93" t="s">
        <v>1429</v>
      </c>
      <c r="AJ69" s="94" t="s">
        <v>1430</v>
      </c>
      <c r="AK69" s="87"/>
      <c r="AL69" s="87"/>
      <c r="AM69" s="87"/>
      <c r="AN69" s="87"/>
      <c r="AO69" s="87"/>
    </row>
    <row r="70" ht="41.25" customHeight="1">
      <c r="A70" s="84">
        <v>21.0</v>
      </c>
      <c r="B70" s="85" t="s">
        <v>1431</v>
      </c>
      <c r="C70" s="86" t="s">
        <v>1432</v>
      </c>
      <c r="D70" s="87" t="s">
        <v>1433</v>
      </c>
      <c r="E70" s="84">
        <v>21.0</v>
      </c>
      <c r="F70" s="85" t="s">
        <v>1434</v>
      </c>
      <c r="G70" s="86" t="s">
        <v>1435</v>
      </c>
      <c r="H70" s="87" t="s">
        <v>1436</v>
      </c>
      <c r="I70" s="84">
        <v>21.0</v>
      </c>
      <c r="J70" s="85" t="s">
        <v>1437</v>
      </c>
      <c r="K70" s="86" t="s">
        <v>1438</v>
      </c>
      <c r="L70" s="87" t="s">
        <v>1439</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1440</v>
      </c>
      <c r="S70" s="89" t="s">
        <v>1441</v>
      </c>
      <c r="T70" s="55" t="s">
        <v>1442</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IFERROR(__xludf.DUMMYFUNCTION("GOOGLETRANSLATE(D70,""zh-tw"",""KO"")"),"너는 네 여동생과 함께 목욕을 할 수 있어.")</f>
        <v>너는 네 여동생과 함께 목욕을 할 수 있어.</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1443</v>
      </c>
      <c r="AE70" s="86" t="s">
        <v>1444</v>
      </c>
      <c r="AF70" s="87" t="s">
        <v>1445</v>
      </c>
      <c r="AG70" s="84">
        <v>21.0</v>
      </c>
      <c r="AH70" s="92" t="s">
        <v>1446</v>
      </c>
      <c r="AI70" s="93" t="s">
        <v>1447</v>
      </c>
      <c r="AJ70" s="94" t="s">
        <v>1448</v>
      </c>
      <c r="AK70" s="87"/>
      <c r="AL70" s="87"/>
      <c r="AM70" s="87"/>
      <c r="AN70" s="87"/>
      <c r="AO70" s="87"/>
    </row>
    <row r="71">
      <c r="A71" s="84">
        <v>22.0</v>
      </c>
      <c r="B71" s="85" t="s">
        <v>1449</v>
      </c>
      <c r="C71" s="86" t="s">
        <v>1450</v>
      </c>
      <c r="D71" s="87" t="s">
        <v>1451</v>
      </c>
      <c r="E71" s="84">
        <v>22.0</v>
      </c>
      <c r="F71" s="85" t="s">
        <v>1452</v>
      </c>
      <c r="G71" s="86" t="s">
        <v>1453</v>
      </c>
      <c r="H71" s="87" t="s">
        <v>1454</v>
      </c>
      <c r="I71" s="84">
        <v>22.0</v>
      </c>
      <c r="J71" s="85" t="s">
        <v>1455</v>
      </c>
      <c r="K71" s="86" t="s">
        <v>1456</v>
      </c>
      <c r="L71" s="87" t="s">
        <v>1457</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1458</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1459</v>
      </c>
      <c r="AA71" s="102" t="s">
        <v>1460</v>
      </c>
      <c r="AB71" s="97" t="s">
        <v>1461</v>
      </c>
      <c r="AC71" s="84">
        <v>22.0</v>
      </c>
      <c r="AD71" s="85" t="s">
        <v>1462</v>
      </c>
      <c r="AE71" s="86" t="s">
        <v>1463</v>
      </c>
      <c r="AF71" s="87" t="s">
        <v>1464</v>
      </c>
      <c r="AG71" s="84">
        <v>22.0</v>
      </c>
      <c r="AH71" s="92" t="s">
        <v>1465</v>
      </c>
      <c r="AI71" s="93" t="s">
        <v>1466</v>
      </c>
      <c r="AJ71" s="94" t="s">
        <v>1467</v>
      </c>
      <c r="AK71" s="87"/>
      <c r="AL71" s="87"/>
      <c r="AM71" s="87"/>
      <c r="AN71" s="87"/>
      <c r="AO71" s="87"/>
    </row>
    <row r="72">
      <c r="A72" s="108">
        <v>23.0</v>
      </c>
      <c r="B72" s="85" t="s">
        <v>1468</v>
      </c>
      <c r="C72" s="86" t="s">
        <v>1469</v>
      </c>
      <c r="D72" s="87" t="s">
        <v>1470</v>
      </c>
      <c r="E72" s="108">
        <v>23.0</v>
      </c>
      <c r="F72" s="85" t="s">
        <v>1471</v>
      </c>
      <c r="G72" s="86" t="s">
        <v>1472</v>
      </c>
      <c r="H72" s="87" t="s">
        <v>1473</v>
      </c>
      <c r="I72" s="108">
        <v>23.0</v>
      </c>
      <c r="J72" s="85" t="s">
        <v>1474</v>
      </c>
      <c r="K72" s="86" t="s">
        <v>1475</v>
      </c>
      <c r="L72" s="87" t="s">
        <v>1476</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pequeña mientras te bañas con ella (sin un corazón púrpura), saldrá corriendo.")</f>
        <v>Si sigues tocando a tu hermana pequeña mientras te bañas con ella (sin un corazón púrpura),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1477</v>
      </c>
      <c r="AE72" s="86" t="s">
        <v>1478</v>
      </c>
      <c r="AF72" s="87" t="s">
        <v>1479</v>
      </c>
      <c r="AG72" s="108">
        <v>23.0</v>
      </c>
      <c r="AH72" s="85" t="s">
        <v>1480</v>
      </c>
      <c r="AI72" s="86" t="s">
        <v>1481</v>
      </c>
      <c r="AJ72" s="87" t="s">
        <v>1482</v>
      </c>
      <c r="AK72" s="87"/>
      <c r="AL72" s="87"/>
      <c r="AM72" s="87"/>
      <c r="AN72" s="87"/>
      <c r="AO72" s="87"/>
    </row>
    <row r="73">
      <c r="A73" s="84">
        <v>24.0</v>
      </c>
      <c r="B73" s="85" t="s">
        <v>1483</v>
      </c>
      <c r="C73" s="86" t="s">
        <v>1484</v>
      </c>
      <c r="D73" s="87" t="s">
        <v>1485</v>
      </c>
      <c r="E73" s="84">
        <v>24.0</v>
      </c>
      <c r="F73" s="85" t="s">
        <v>1486</v>
      </c>
      <c r="G73" s="86" t="s">
        <v>1487</v>
      </c>
      <c r="H73" s="87" t="s">
        <v>1488</v>
      </c>
      <c r="I73" s="84">
        <v>24.0</v>
      </c>
      <c r="J73" s="85" t="s">
        <v>1474</v>
      </c>
      <c r="K73" s="86" t="s">
        <v>1489</v>
      </c>
      <c r="L73" s="87" t="s">
        <v>1490</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вышесказанному, если у вас есть хотя бы одно фиолетовое сердце, она в конечном итоге упадет в обморок от жары.")</f>
        <v>Подобно вышесказанному,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1491</v>
      </c>
      <c r="AE73" s="86" t="s">
        <v>1492</v>
      </c>
      <c r="AF73" s="87" t="s">
        <v>1493</v>
      </c>
      <c r="AG73" s="84">
        <v>24.0</v>
      </c>
      <c r="AH73" s="85" t="s">
        <v>1494</v>
      </c>
      <c r="AI73" s="86" t="s">
        <v>1495</v>
      </c>
      <c r="AJ73" s="87" t="s">
        <v>1496</v>
      </c>
      <c r="AK73" s="87"/>
      <c r="AL73" s="87"/>
      <c r="AM73" s="87"/>
      <c r="AN73" s="87"/>
      <c r="AO73" s="87"/>
    </row>
    <row r="74">
      <c r="A74" s="84">
        <v>25.0</v>
      </c>
      <c r="B74" s="85" t="s">
        <v>1497</v>
      </c>
      <c r="C74" s="86" t="s">
        <v>1498</v>
      </c>
      <c r="D74" s="87" t="s">
        <v>1499</v>
      </c>
      <c r="E74" s="84">
        <v>25.0</v>
      </c>
      <c r="F74" s="85" t="s">
        <v>1500</v>
      </c>
      <c r="G74" s="86" t="s">
        <v>1501</v>
      </c>
      <c r="H74" s="87" t="s">
        <v>1499</v>
      </c>
      <c r="I74" s="84">
        <v>25.0</v>
      </c>
      <c r="J74" s="85" t="s">
        <v>1474</v>
      </c>
      <c r="K74" s="86" t="s">
        <v>1502</v>
      </c>
      <c r="L74" s="87" t="s">
        <v>1503</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두 번째 열사병 단계 전에는 특별한 장면이 재생됩니다.")</f>
        <v>위와 같이, 두 번째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1504</v>
      </c>
      <c r="AE74" s="86" t="s">
        <v>1505</v>
      </c>
      <c r="AF74" s="87" t="s">
        <v>1506</v>
      </c>
      <c r="AG74" s="84">
        <v>25.0</v>
      </c>
      <c r="AH74" s="85" t="s">
        <v>1507</v>
      </c>
      <c r="AI74" s="86" t="s">
        <v>1508</v>
      </c>
      <c r="AJ74" s="87" t="s">
        <v>1509</v>
      </c>
      <c r="AK74" s="87"/>
      <c r="AL74" s="87"/>
      <c r="AM74" s="87"/>
      <c r="AN74" s="87"/>
      <c r="AO74" s="87"/>
    </row>
    <row r="75">
      <c r="A75" s="108">
        <v>26.0</v>
      </c>
      <c r="B75" s="85" t="s">
        <v>1510</v>
      </c>
      <c r="C75" s="86" t="s">
        <v>1511</v>
      </c>
      <c r="D75" s="87" t="s">
        <v>1512</v>
      </c>
      <c r="E75" s="108">
        <v>26.0</v>
      </c>
      <c r="F75" s="85" t="s">
        <v>1513</v>
      </c>
      <c r="G75" s="86" t="s">
        <v>1514</v>
      </c>
      <c r="H75" s="87" t="s">
        <v>1515</v>
      </c>
      <c r="I75" s="108">
        <v>26.0</v>
      </c>
      <c r="J75" s="85" t="s">
        <v>1516</v>
      </c>
      <c r="K75" s="86" t="s">
        <v>1517</v>
      </c>
      <c r="L75" s="87" t="s">
        <v>1518</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1519</v>
      </c>
      <c r="AE75" s="86" t="s">
        <v>1520</v>
      </c>
      <c r="AF75" s="87" t="s">
        <v>1521</v>
      </c>
      <c r="AG75" s="108">
        <v>26.0</v>
      </c>
      <c r="AH75" s="85" t="s">
        <v>1522</v>
      </c>
      <c r="AI75" s="86" t="s">
        <v>1523</v>
      </c>
      <c r="AJ75" s="87" t="s">
        <v>1524</v>
      </c>
      <c r="AK75" s="87"/>
      <c r="AL75" s="87"/>
      <c r="AM75" s="87"/>
      <c r="AN75" s="87"/>
      <c r="AO75" s="87"/>
    </row>
    <row r="76">
      <c r="A76" s="84">
        <v>27.0</v>
      </c>
      <c r="B76" s="85" t="s">
        <v>1525</v>
      </c>
      <c r="C76" s="86" t="s">
        <v>1526</v>
      </c>
      <c r="D76" s="87" t="s">
        <v>1527</v>
      </c>
      <c r="E76" s="84">
        <v>27.0</v>
      </c>
      <c r="F76" s="85" t="s">
        <v>1528</v>
      </c>
      <c r="G76" s="86" t="s">
        <v>1529</v>
      </c>
      <c r="H76" s="87" t="s">
        <v>1530</v>
      </c>
      <c r="I76" s="84">
        <v>27.0</v>
      </c>
      <c r="J76" s="85" t="s">
        <v>1531</v>
      </c>
      <c r="K76" s="86" t="s">
        <v>1532</v>
      </c>
      <c r="L76" s="87" t="s">
        <v>1533</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1534</v>
      </c>
      <c r="AE76" s="86" t="s">
        <v>1535</v>
      </c>
      <c r="AF76" s="87" t="s">
        <v>1536</v>
      </c>
      <c r="AG76" s="84">
        <v>27.0</v>
      </c>
      <c r="AH76" s="85" t="s">
        <v>1537</v>
      </c>
      <c r="AI76" s="86" t="s">
        <v>1538</v>
      </c>
      <c r="AJ76" s="87" t="s">
        <v>1539</v>
      </c>
      <c r="AK76" s="87"/>
      <c r="AL76" s="87"/>
      <c r="AM76" s="87"/>
      <c r="AN76" s="87"/>
      <c r="AO76" s="87"/>
    </row>
    <row r="77">
      <c r="A77" s="84">
        <v>28.0</v>
      </c>
      <c r="B77" s="85" t="s">
        <v>1540</v>
      </c>
      <c r="C77" s="86" t="s">
        <v>1541</v>
      </c>
      <c r="D77" s="87" t="s">
        <v>1542</v>
      </c>
      <c r="E77" s="84">
        <v>28.0</v>
      </c>
      <c r="F77" s="85" t="s">
        <v>1543</v>
      </c>
      <c r="G77" s="86" t="s">
        <v>1544</v>
      </c>
      <c r="H77" s="87" t="s">
        <v>1545</v>
      </c>
      <c r="I77" s="84">
        <v>28.0</v>
      </c>
      <c r="J77" s="85" t="s">
        <v>1546</v>
      </c>
      <c r="K77" s="86" t="s">
        <v>1547</v>
      </c>
      <c r="L77" s="87" t="s">
        <v>1548</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1549</v>
      </c>
      <c r="AE77" s="86" t="s">
        <v>1550</v>
      </c>
      <c r="AF77" s="87" t="s">
        <v>1551</v>
      </c>
      <c r="AG77" s="84">
        <v>28.0</v>
      </c>
      <c r="AH77" s="85" t="s">
        <v>1552</v>
      </c>
      <c r="AI77" s="86" t="s">
        <v>1553</v>
      </c>
      <c r="AJ77" s="87" t="s">
        <v>1554</v>
      </c>
      <c r="AK77" s="87"/>
      <c r="AL77" s="87"/>
      <c r="AM77" s="87"/>
      <c r="AN77" s="87"/>
      <c r="AO77" s="87"/>
    </row>
    <row r="78">
      <c r="A78" s="108">
        <v>29.0</v>
      </c>
      <c r="B78" s="85" t="s">
        <v>1555</v>
      </c>
      <c r="C78" s="86" t="s">
        <v>1556</v>
      </c>
      <c r="D78" s="87" t="s">
        <v>1557</v>
      </c>
      <c r="E78" s="108">
        <v>29.0</v>
      </c>
      <c r="F78" s="85" t="s">
        <v>1558</v>
      </c>
      <c r="G78" s="86" t="s">
        <v>1559</v>
      </c>
      <c r="H78" s="87" t="s">
        <v>1560</v>
      </c>
      <c r="I78" s="108">
        <v>29.0</v>
      </c>
      <c r="J78" s="85" t="s">
        <v>1561</v>
      </c>
      <c r="K78" s="86" t="s">
        <v>1562</v>
      </c>
      <c r="L78" s="87" t="s">
        <v>1563</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1564</v>
      </c>
      <c r="AE78" s="86" t="s">
        <v>1565</v>
      </c>
      <c r="AF78" s="87" t="s">
        <v>1566</v>
      </c>
      <c r="AG78" s="108">
        <v>29.0</v>
      </c>
      <c r="AH78" s="85" t="s">
        <v>1567</v>
      </c>
      <c r="AI78" s="86" t="s">
        <v>1568</v>
      </c>
      <c r="AJ78" s="87" t="s">
        <v>1569</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1570</v>
      </c>
      <c r="B80" s="81" t="s">
        <v>1571</v>
      </c>
      <c r="E80" s="80" t="s">
        <v>1570</v>
      </c>
      <c r="F80" s="80" t="s">
        <v>1572</v>
      </c>
      <c r="I80" s="80" t="s">
        <v>1570</v>
      </c>
      <c r="J80" s="80" t="s">
        <v>1573</v>
      </c>
      <c r="M80" s="80" t="s">
        <v>1570</v>
      </c>
      <c r="N80" s="81" t="str">
        <f>IFERROR(__xludf.DUMMYFUNCTION("GOOGLETRANSLATE(B80,""zh-tw"",""zh"")"),"游戏机相关剧情")</f>
        <v>游戏机相关剧情</v>
      </c>
      <c r="Q80" s="80" t="s">
        <v>1570</v>
      </c>
      <c r="R80" s="80" t="s">
        <v>1574</v>
      </c>
      <c r="U80" s="80" t="s">
        <v>1570</v>
      </c>
      <c r="V80" s="80" t="s">
        <v>1575</v>
      </c>
      <c r="Y80" s="80" t="s">
        <v>1570</v>
      </c>
      <c r="Z80" s="80" t="s">
        <v>1576</v>
      </c>
      <c r="AC80" s="80" t="s">
        <v>1570</v>
      </c>
      <c r="AD80" s="80" t="s">
        <v>1577</v>
      </c>
      <c r="AG80" s="82" t="s">
        <v>1570</v>
      </c>
      <c r="AH80" s="83" t="s">
        <v>1578</v>
      </c>
      <c r="AK80" s="81"/>
      <c r="AL80" s="81"/>
      <c r="AM80" s="81"/>
      <c r="AN80" s="81"/>
      <c r="AO80" s="81"/>
    </row>
    <row r="81">
      <c r="A81" s="84">
        <v>1.0</v>
      </c>
      <c r="B81" s="85" t="s">
        <v>1579</v>
      </c>
      <c r="C81" s="86" t="s">
        <v>1580</v>
      </c>
      <c r="D81" s="87" t="s">
        <v>1581</v>
      </c>
      <c r="E81" s="84">
        <v>1.0</v>
      </c>
      <c r="F81" s="85" t="s">
        <v>1582</v>
      </c>
      <c r="G81" s="86" t="s">
        <v>1583</v>
      </c>
      <c r="H81" s="87" t="s">
        <v>1584</v>
      </c>
      <c r="I81" s="84">
        <v>1.0</v>
      </c>
      <c r="J81" s="85" t="s">
        <v>1585</v>
      </c>
      <c r="K81" s="86" t="s">
        <v>1586</v>
      </c>
      <c r="L81" s="87" t="s">
        <v>1587</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1588</v>
      </c>
      <c r="S81" s="95" t="s">
        <v>1589</v>
      </c>
      <c r="T81" s="52" t="s">
        <v>1590</v>
      </c>
      <c r="U81" s="116">
        <v>1.0</v>
      </c>
      <c r="V81" s="88" t="s">
        <v>1591</v>
      </c>
      <c r="W81" s="89" t="s">
        <v>1592</v>
      </c>
      <c r="X81" s="55" t="s">
        <v>1593</v>
      </c>
      <c r="Y81" s="117">
        <v>1.0</v>
      </c>
      <c r="Z81" s="103" t="s">
        <v>1594</v>
      </c>
      <c r="AA81" s="104" t="s">
        <v>1595</v>
      </c>
      <c r="AB81" s="44" t="s">
        <v>1596</v>
      </c>
      <c r="AC81" s="117">
        <v>1.0</v>
      </c>
      <c r="AD81" s="85" t="s">
        <v>1597</v>
      </c>
      <c r="AE81" s="86" t="s">
        <v>1598</v>
      </c>
      <c r="AF81" s="87" t="s">
        <v>1599</v>
      </c>
      <c r="AG81" s="118">
        <v>1.0</v>
      </c>
      <c r="AH81" s="92" t="s">
        <v>1600</v>
      </c>
      <c r="AI81" s="93" t="s">
        <v>1601</v>
      </c>
      <c r="AJ81" s="94" t="s">
        <v>1602</v>
      </c>
      <c r="AK81" s="87"/>
      <c r="AL81" s="87"/>
      <c r="AM81" s="87"/>
      <c r="AN81" s="87"/>
      <c r="AO81" s="87"/>
    </row>
    <row r="82">
      <c r="A82" s="84">
        <v>2.0</v>
      </c>
      <c r="B82" s="85" t="s">
        <v>1603</v>
      </c>
      <c r="C82" s="86" t="s">
        <v>1604</v>
      </c>
      <c r="D82" s="87" t="s">
        <v>1605</v>
      </c>
      <c r="E82" s="84">
        <v>2.0</v>
      </c>
      <c r="F82" s="85" t="s">
        <v>1606</v>
      </c>
      <c r="G82" s="86" t="s">
        <v>1607</v>
      </c>
      <c r="H82" s="87" t="s">
        <v>1608</v>
      </c>
      <c r="I82" s="84">
        <v>2.0</v>
      </c>
      <c r="J82" s="85" t="s">
        <v>1609</v>
      </c>
      <c r="K82" s="86" t="s">
        <v>1610</v>
      </c>
      <c r="L82" s="87" t="s">
        <v>1611</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1612</v>
      </c>
      <c r="Q82" s="116">
        <v>2.0</v>
      </c>
      <c r="R82" s="98" t="s">
        <v>1613</v>
      </c>
      <c r="S82" s="95" t="s">
        <v>1614</v>
      </c>
      <c r="T82" s="52" t="s">
        <v>1615</v>
      </c>
      <c r="U82" s="116">
        <v>2.0</v>
      </c>
      <c r="V82" s="88" t="s">
        <v>1616</v>
      </c>
      <c r="W82" s="89" t="s">
        <v>1617</v>
      </c>
      <c r="X82" s="55" t="s">
        <v>1618</v>
      </c>
      <c r="Y82" s="117">
        <v>2.0</v>
      </c>
      <c r="Z82" s="103" t="s">
        <v>1619</v>
      </c>
      <c r="AA82" s="104" t="s">
        <v>1620</v>
      </c>
      <c r="AB82" s="44" t="s">
        <v>1621</v>
      </c>
      <c r="AC82" s="117">
        <v>2.0</v>
      </c>
      <c r="AD82" s="85" t="s">
        <v>1622</v>
      </c>
      <c r="AE82" s="86" t="s">
        <v>1623</v>
      </c>
      <c r="AF82" s="87" t="s">
        <v>1624</v>
      </c>
      <c r="AG82" s="118">
        <v>2.0</v>
      </c>
      <c r="AH82" s="92" t="s">
        <v>1625</v>
      </c>
      <c r="AI82" s="93" t="s">
        <v>1626</v>
      </c>
      <c r="AJ82" s="94" t="s">
        <v>1627</v>
      </c>
      <c r="AK82" s="87"/>
      <c r="AL82" s="87"/>
      <c r="AM82" s="87"/>
      <c r="AN82" s="87"/>
      <c r="AO82" s="87"/>
    </row>
    <row r="83">
      <c r="A83" s="115">
        <v>3.0</v>
      </c>
      <c r="B83" s="88" t="s">
        <v>1628</v>
      </c>
      <c r="C83" s="89" t="s">
        <v>1629</v>
      </c>
      <c r="D83" s="55" t="s">
        <v>1630</v>
      </c>
      <c r="E83" s="115">
        <v>3.0</v>
      </c>
      <c r="F83" s="88" t="s">
        <v>1631</v>
      </c>
      <c r="G83" s="89" t="s">
        <v>1632</v>
      </c>
      <c r="H83" s="55" t="s">
        <v>1633</v>
      </c>
      <c r="I83" s="115">
        <v>3.0</v>
      </c>
      <c r="J83" s="88" t="s">
        <v>1634</v>
      </c>
      <c r="K83" s="89" t="s">
        <v>1635</v>
      </c>
      <c r="L83" s="55" t="s">
        <v>1636</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1637</v>
      </c>
      <c r="S83" s="95" t="s">
        <v>1638</v>
      </c>
      <c r="T83" s="52" t="s">
        <v>1639</v>
      </c>
      <c r="U83" s="116">
        <v>3.0</v>
      </c>
      <c r="V83" s="88" t="s">
        <v>1640</v>
      </c>
      <c r="W83" s="89" t="s">
        <v>1641</v>
      </c>
      <c r="X83" s="55" t="s">
        <v>1642</v>
      </c>
      <c r="Y83" s="116">
        <v>3.0</v>
      </c>
      <c r="Z83" s="103" t="s">
        <v>1643</v>
      </c>
      <c r="AA83" s="104" t="s">
        <v>1644</v>
      </c>
      <c r="AB83" s="44" t="s">
        <v>1645</v>
      </c>
      <c r="AC83" s="116">
        <v>3.0</v>
      </c>
      <c r="AD83" s="88" t="s">
        <v>1646</v>
      </c>
      <c r="AE83" s="89" t="s">
        <v>1647</v>
      </c>
      <c r="AF83" s="55" t="s">
        <v>1648</v>
      </c>
      <c r="AG83" s="119">
        <v>3.0</v>
      </c>
      <c r="AH83" s="120" t="s">
        <v>1649</v>
      </c>
      <c r="AI83" s="121" t="s">
        <v>1650</v>
      </c>
      <c r="AJ83" s="122" t="s">
        <v>1651</v>
      </c>
      <c r="AK83" s="55"/>
      <c r="AL83" s="55"/>
      <c r="AM83" s="55"/>
      <c r="AN83" s="55"/>
      <c r="AO83" s="55"/>
    </row>
    <row r="84">
      <c r="A84" s="115">
        <v>4.0</v>
      </c>
      <c r="B84" s="88" t="s">
        <v>1652</v>
      </c>
      <c r="C84" s="89" t="s">
        <v>1653</v>
      </c>
      <c r="D84" s="55" t="s">
        <v>1654</v>
      </c>
      <c r="E84" s="115">
        <v>4.0</v>
      </c>
      <c r="F84" s="88" t="s">
        <v>1655</v>
      </c>
      <c r="G84" s="89" t="s">
        <v>1656</v>
      </c>
      <c r="H84" s="55" t="s">
        <v>1657</v>
      </c>
      <c r="I84" s="115">
        <v>4.0</v>
      </c>
      <c r="J84" s="88" t="s">
        <v>1658</v>
      </c>
      <c r="K84" s="89" t="s">
        <v>1659</v>
      </c>
      <c r="L84" s="55" t="s">
        <v>1660</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1661</v>
      </c>
      <c r="S84" s="95" t="s">
        <v>1662</v>
      </c>
      <c r="T84" s="55" t="str">
        <f>IFERROR(__xludf.DUMMYFUNCTION("GOOGLETRANSLATE(D84,""zh-tw"",""es-MX"")"),"Agregar otras opciones")</f>
        <v>Agregar otras opciones</v>
      </c>
      <c r="U84" s="116">
        <v>4.0</v>
      </c>
      <c r="V84" s="88" t="s">
        <v>1663</v>
      </c>
      <c r="W84" s="89" t="s">
        <v>1664</v>
      </c>
      <c r="X84" s="55" t="str">
        <f>IFERROR(__xludf.DUMMYFUNCTION("GOOGLETRANSLATE(D84,""zh-tw"",""KO"")"),"다른 옵션 추가")</f>
        <v>다른 옵션 추가</v>
      </c>
      <c r="Y84" s="116">
        <v>4.0</v>
      </c>
      <c r="Z84" s="103" t="s">
        <v>1665</v>
      </c>
      <c r="AA84" s="104" t="s">
        <v>1666</v>
      </c>
      <c r="AB84" s="44" t="s">
        <v>1667</v>
      </c>
      <c r="AC84" s="116">
        <v>4.0</v>
      </c>
      <c r="AD84" s="88" t="s">
        <v>1668</v>
      </c>
      <c r="AE84" s="89" t="s">
        <v>1669</v>
      </c>
      <c r="AF84" s="55" t="s">
        <v>1670</v>
      </c>
      <c r="AG84" s="119">
        <v>4.0</v>
      </c>
      <c r="AH84" s="120" t="s">
        <v>1671</v>
      </c>
      <c r="AI84" s="121" t="s">
        <v>1672</v>
      </c>
      <c r="AJ84" s="122" t="s">
        <v>1673</v>
      </c>
      <c r="AK84" s="55"/>
      <c r="AL84" s="55"/>
      <c r="AM84" s="55"/>
      <c r="AN84" s="55"/>
      <c r="AO84" s="55"/>
    </row>
    <row r="85">
      <c r="A85" s="115">
        <v>5.0</v>
      </c>
      <c r="B85" s="88" t="s">
        <v>1674</v>
      </c>
      <c r="C85" s="89" t="s">
        <v>1675</v>
      </c>
      <c r="D85" s="55" t="s">
        <v>1676</v>
      </c>
      <c r="E85" s="115">
        <v>5.0</v>
      </c>
      <c r="F85" s="88" t="s">
        <v>1677</v>
      </c>
      <c r="G85" s="89" t="s">
        <v>1678</v>
      </c>
      <c r="H85" s="55" t="s">
        <v>1679</v>
      </c>
      <c r="I85" s="115">
        <v>5.0</v>
      </c>
      <c r="J85" s="88" t="s">
        <v>1680</v>
      </c>
      <c r="K85" s="89" t="s">
        <v>1681</v>
      </c>
      <c r="L85" s="55" t="s">
        <v>1682</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1683</v>
      </c>
      <c r="S85" s="95" t="s">
        <v>1684</v>
      </c>
      <c r="T85" s="52" t="s">
        <v>1685</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1686</v>
      </c>
      <c r="AA85" s="104" t="s">
        <v>1687</v>
      </c>
      <c r="AB85" s="44" t="s">
        <v>1688</v>
      </c>
      <c r="AC85" s="116">
        <v>5.0</v>
      </c>
      <c r="AD85" s="88" t="s">
        <v>1689</v>
      </c>
      <c r="AE85" s="89" t="s">
        <v>1690</v>
      </c>
      <c r="AF85" s="55" t="s">
        <v>1691</v>
      </c>
      <c r="AG85" s="119">
        <v>5.0</v>
      </c>
      <c r="AH85" s="120" t="s">
        <v>1692</v>
      </c>
      <c r="AI85" s="121" t="s">
        <v>1693</v>
      </c>
      <c r="AJ85" s="122" t="s">
        <v>1694</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1695</v>
      </c>
      <c r="B87" s="124" t="s">
        <v>1696</v>
      </c>
      <c r="E87" s="80" t="s">
        <v>1695</v>
      </c>
      <c r="F87" s="80" t="s">
        <v>1697</v>
      </c>
      <c r="I87" s="80" t="s">
        <v>1695</v>
      </c>
      <c r="J87" s="80" t="s">
        <v>1698</v>
      </c>
      <c r="M87" s="80" t="s">
        <v>1695</v>
      </c>
      <c r="N87" s="81" t="str">
        <f>IFERROR(__xludf.DUMMYFUNCTION("GOOGLETRANSLATE(B87,""zh-tw"",""zh"")"),"特殊天气相关")</f>
        <v>特殊天气相关</v>
      </c>
      <c r="Q87" s="80" t="s">
        <v>1695</v>
      </c>
      <c r="R87" s="80" t="s">
        <v>1699</v>
      </c>
      <c r="U87" s="80" t="s">
        <v>1695</v>
      </c>
      <c r="V87" s="80" t="s">
        <v>1700</v>
      </c>
      <c r="Y87" s="80" t="s">
        <v>1695</v>
      </c>
      <c r="Z87" s="80" t="s">
        <v>1701</v>
      </c>
      <c r="AC87" s="80" t="s">
        <v>1695</v>
      </c>
      <c r="AD87" s="80" t="s">
        <v>1702</v>
      </c>
      <c r="AG87" s="82" t="s">
        <v>1695</v>
      </c>
      <c r="AH87" s="125" t="s">
        <v>1703</v>
      </c>
      <c r="AK87" s="124"/>
      <c r="AL87" s="124"/>
      <c r="AM87" s="124"/>
      <c r="AN87" s="124"/>
      <c r="AO87" s="124"/>
    </row>
    <row r="88">
      <c r="A88" s="115">
        <v>1.0</v>
      </c>
      <c r="B88" s="88" t="s">
        <v>1704</v>
      </c>
      <c r="C88" s="89" t="s">
        <v>1705</v>
      </c>
      <c r="D88" s="55" t="s">
        <v>1706</v>
      </c>
      <c r="E88" s="115">
        <v>1.0</v>
      </c>
      <c r="F88" s="88" t="s">
        <v>1707</v>
      </c>
      <c r="G88" s="89" t="s">
        <v>1708</v>
      </c>
      <c r="H88" s="55" t="s">
        <v>1709</v>
      </c>
      <c r="I88" s="115">
        <v>1.0</v>
      </c>
      <c r="J88" s="88" t="s">
        <v>1710</v>
      </c>
      <c r="K88" s="89" t="s">
        <v>1711</v>
      </c>
      <c r="L88" s="55" t="s">
        <v>1712</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1713</v>
      </c>
      <c r="S88" s="95" t="s">
        <v>1714</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어느 날, 나는 여동생에게 거꾸로 흘러내리는 콜라를 건넸다.")</f>
        <v>더운 어느 날, 나는 여동생에게 거꾸로 흘러내리는 콜라를 건넸다.</v>
      </c>
      <c r="X88" s="55" t="str">
        <f>IFERROR(__xludf.DUMMYFUNCTION("GOOGLETRANSLATE(D88,""zh-tw"",""KO"")"),"특수 애니메이션, 자매 기분 +10, 애정도 +20")</f>
        <v>특수 애니메이션, 자매 기분 +10, 애정도 +20</v>
      </c>
      <c r="Y88" s="116">
        <v>1.0</v>
      </c>
      <c r="Z88" s="103" t="s">
        <v>1715</v>
      </c>
      <c r="AA88" s="104" t="s">
        <v>1716</v>
      </c>
      <c r="AB88" s="44" t="s">
        <v>1717</v>
      </c>
      <c r="AC88" s="116">
        <v>1.0</v>
      </c>
      <c r="AD88" s="88" t="s">
        <v>1718</v>
      </c>
      <c r="AE88" s="89" t="s">
        <v>1719</v>
      </c>
      <c r="AF88" s="55" t="s">
        <v>1720</v>
      </c>
      <c r="AG88" s="119">
        <v>1.0</v>
      </c>
      <c r="AH88" s="120" t="s">
        <v>1721</v>
      </c>
      <c r="AI88" s="121" t="s">
        <v>1722</v>
      </c>
      <c r="AJ88" s="122" t="s">
        <v>1723</v>
      </c>
      <c r="AK88" s="55"/>
      <c r="AL88" s="55"/>
      <c r="AM88" s="55"/>
      <c r="AN88" s="55"/>
      <c r="AO88" s="55"/>
    </row>
    <row r="89">
      <c r="A89" s="115">
        <v>2.0</v>
      </c>
      <c r="B89" s="88" t="s">
        <v>1724</v>
      </c>
      <c r="C89" s="89" t="s">
        <v>1725</v>
      </c>
      <c r="D89" s="55" t="s">
        <v>1726</v>
      </c>
      <c r="E89" s="115">
        <v>2.0</v>
      </c>
      <c r="F89" s="88" t="s">
        <v>1727</v>
      </c>
      <c r="G89" s="89" t="s">
        <v>1728</v>
      </c>
      <c r="H89" s="55" t="s">
        <v>1729</v>
      </c>
      <c r="I89" s="115">
        <v>2.0</v>
      </c>
      <c r="J89" s="88" t="s">
        <v>1730</v>
      </c>
      <c r="K89" s="89" t="s">
        <v>1731</v>
      </c>
      <c r="L89" s="55" t="s">
        <v>1732</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1733</v>
      </c>
      <c r="S89" s="95" t="s">
        <v>1734</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1735</v>
      </c>
      <c r="AA89" s="104" t="s">
        <v>1736</v>
      </c>
      <c r="AB89" s="44" t="s">
        <v>1737</v>
      </c>
      <c r="AC89" s="116">
        <v>2.0</v>
      </c>
      <c r="AD89" s="88" t="s">
        <v>1738</v>
      </c>
      <c r="AE89" s="89" t="s">
        <v>1739</v>
      </c>
      <c r="AF89" s="55" t="s">
        <v>1740</v>
      </c>
      <c r="AG89" s="119">
        <v>2.0</v>
      </c>
      <c r="AH89" s="120" t="s">
        <v>1741</v>
      </c>
      <c r="AI89" s="121" t="s">
        <v>1742</v>
      </c>
      <c r="AJ89" s="122" t="s">
        <v>1743</v>
      </c>
      <c r="AK89" s="55"/>
      <c r="AL89" s="55"/>
      <c r="AM89" s="55"/>
      <c r="AN89" s="55"/>
      <c r="AO89" s="55"/>
    </row>
    <row r="90">
      <c r="A90" s="115">
        <v>3.0</v>
      </c>
      <c r="B90" s="88" t="s">
        <v>1744</v>
      </c>
      <c r="C90" s="89" t="s">
        <v>1745</v>
      </c>
      <c r="D90" s="55" t="s">
        <v>1726</v>
      </c>
      <c r="E90" s="115">
        <v>3.0</v>
      </c>
      <c r="F90" s="88" t="s">
        <v>1746</v>
      </c>
      <c r="G90" s="89" t="s">
        <v>1747</v>
      </c>
      <c r="H90" s="55" t="s">
        <v>1729</v>
      </c>
      <c r="I90" s="115">
        <v>3.0</v>
      </c>
      <c r="J90" s="88" t="s">
        <v>1748</v>
      </c>
      <c r="K90" s="89" t="s">
        <v>1749</v>
      </c>
      <c r="L90" s="55" t="s">
        <v>1732</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1750</v>
      </c>
      <c r="S90" s="95" t="s">
        <v>1751</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1752</v>
      </c>
      <c r="AA90" s="104" t="s">
        <v>1753</v>
      </c>
      <c r="AB90" s="44" t="s">
        <v>1737</v>
      </c>
      <c r="AC90" s="116">
        <v>3.0</v>
      </c>
      <c r="AD90" s="88" t="s">
        <v>1754</v>
      </c>
      <c r="AE90" s="89" t="s">
        <v>1755</v>
      </c>
      <c r="AF90" s="55" t="s">
        <v>1740</v>
      </c>
      <c r="AG90" s="119">
        <v>3.0</v>
      </c>
      <c r="AH90" s="120" t="s">
        <v>1756</v>
      </c>
      <c r="AI90" s="121" t="s">
        <v>1757</v>
      </c>
      <c r="AJ90" s="122" t="s">
        <v>1743</v>
      </c>
      <c r="AK90" s="55"/>
      <c r="AL90" s="55"/>
      <c r="AM90" s="55"/>
      <c r="AN90" s="55"/>
      <c r="AO90" s="55"/>
    </row>
    <row r="91">
      <c r="A91" s="115">
        <v>4.0</v>
      </c>
      <c r="B91" s="88" t="s">
        <v>1758</v>
      </c>
      <c r="C91" s="89" t="s">
        <v>1759</v>
      </c>
      <c r="D91" s="55" t="s">
        <v>1760</v>
      </c>
      <c r="E91" s="115">
        <v>4.0</v>
      </c>
      <c r="F91" s="88" t="s">
        <v>1761</v>
      </c>
      <c r="G91" s="89" t="s">
        <v>1762</v>
      </c>
      <c r="H91" s="55" t="s">
        <v>1763</v>
      </c>
      <c r="I91" s="115">
        <v>4.0</v>
      </c>
      <c r="J91" s="88" t="s">
        <v>1764</v>
      </c>
      <c r="K91" s="89" t="s">
        <v>1765</v>
      </c>
      <c r="L91" s="55" t="s">
        <v>1766</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1767</v>
      </c>
      <c r="S91" s="95" t="s">
        <v>1768</v>
      </c>
      <c r="T91" s="52" t="s">
        <v>1769</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 기능은 더운 날씨에만 활성화됩니다. 추후 게임 의상을 밤에도 착용할 수 있도록 추가할 예정입니다.")</f>
        <v>특별 상호작용
※ 초기 구현 단계이며, 일부 콘텐츠는 아직 구현되지 않았습니다(예: 토끼 낙서).
※ 현재 이 기능은 더운 날씨에만 활성화됩니다. 추후 게임 의상을 밤에도 착용할 수 있도록 추가할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1770</v>
      </c>
      <c r="AE91" s="89" t="s">
        <v>1771</v>
      </c>
      <c r="AF91" s="55" t="s">
        <v>1772</v>
      </c>
      <c r="AG91" s="119">
        <v>4.0</v>
      </c>
      <c r="AH91" s="120" t="s">
        <v>1773</v>
      </c>
      <c r="AI91" s="121" t="s">
        <v>1774</v>
      </c>
      <c r="AJ91" s="122" t="s">
        <v>1775</v>
      </c>
      <c r="AK91" s="55"/>
      <c r="AL91" s="55"/>
      <c r="AM91" s="55"/>
      <c r="AN91" s="55"/>
      <c r="AO91" s="55"/>
    </row>
    <row r="92">
      <c r="A92" s="115">
        <v>5.0</v>
      </c>
      <c r="B92" s="98" t="s">
        <v>1776</v>
      </c>
      <c r="C92" s="95" t="s">
        <v>1777</v>
      </c>
      <c r="D92" s="52" t="s">
        <v>1778</v>
      </c>
      <c r="E92" s="115">
        <v>5.0</v>
      </c>
      <c r="F92" s="98" t="s">
        <v>1779</v>
      </c>
      <c r="G92" s="95" t="s">
        <v>1780</v>
      </c>
      <c r="H92" s="52" t="s">
        <v>1781</v>
      </c>
      <c r="I92" s="115">
        <v>5.0</v>
      </c>
      <c r="J92" s="98" t="s">
        <v>1782</v>
      </c>
      <c r="K92" s="95" t="s">
        <v>1783</v>
      </c>
      <c r="L92" s="52" t="s">
        <v>1784</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1785</v>
      </c>
      <c r="AE92" s="95" t="s">
        <v>1786</v>
      </c>
      <c r="AF92" s="52" t="s">
        <v>1787</v>
      </c>
      <c r="AG92" s="115">
        <v>5.0</v>
      </c>
      <c r="AH92" s="105" t="s">
        <v>1788</v>
      </c>
      <c r="AI92" s="100" t="s">
        <v>1789</v>
      </c>
      <c r="AJ92" s="101" t="s">
        <v>1790</v>
      </c>
      <c r="AK92" s="55"/>
      <c r="AL92" s="55"/>
      <c r="AM92" s="55"/>
      <c r="AN92" s="55"/>
      <c r="AO92" s="55"/>
    </row>
    <row r="93">
      <c r="A93" s="115">
        <v>6.0</v>
      </c>
      <c r="B93" s="98" t="s">
        <v>1791</v>
      </c>
      <c r="C93" s="95" t="s">
        <v>1792</v>
      </c>
      <c r="D93" s="52" t="s">
        <v>1793</v>
      </c>
      <c r="E93" s="115">
        <v>6.0</v>
      </c>
      <c r="F93" s="98" t="s">
        <v>1794</v>
      </c>
      <c r="G93" s="95" t="s">
        <v>1795</v>
      </c>
      <c r="H93" s="52" t="s">
        <v>1796</v>
      </c>
      <c r="I93" s="115">
        <v>6.0</v>
      </c>
      <c r="J93" s="98" t="s">
        <v>1797</v>
      </c>
      <c r="K93" s="95" t="s">
        <v>1798</v>
      </c>
      <c r="L93" s="52" t="s">
        <v>1799</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IFERROR(__xludf.DUMMYFUNCTION("GOOGLETRANSLATE(D93,""zh-tw"",""KO"")"),"내 여동생은 전기선풍기를 틀면서 속옷도 입지 않았습니다.")</f>
        <v>내 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1800</v>
      </c>
      <c r="AE93" s="95" t="s">
        <v>1801</v>
      </c>
      <c r="AF93" s="52" t="s">
        <v>1802</v>
      </c>
      <c r="AG93" s="115">
        <v>6.0</v>
      </c>
      <c r="AH93" s="105" t="s">
        <v>1803</v>
      </c>
      <c r="AI93" s="100" t="s">
        <v>1804</v>
      </c>
      <c r="AJ93" s="101" t="s">
        <v>1805</v>
      </c>
      <c r="AK93" s="55"/>
      <c r="AL93" s="55"/>
      <c r="AM93" s="55"/>
      <c r="AN93" s="55"/>
      <c r="AO93" s="55"/>
    </row>
    <row r="94">
      <c r="A94" s="115">
        <v>7.0</v>
      </c>
      <c r="B94" s="98" t="s">
        <v>1806</v>
      </c>
      <c r="C94" s="95" t="s">
        <v>1807</v>
      </c>
      <c r="D94" s="52" t="s">
        <v>1808</v>
      </c>
      <c r="E94" s="115">
        <v>7.0</v>
      </c>
      <c r="F94" s="98" t="s">
        <v>1809</v>
      </c>
      <c r="G94" s="95" t="s">
        <v>1810</v>
      </c>
      <c r="H94" s="52" t="s">
        <v>1811</v>
      </c>
      <c r="I94" s="115">
        <v>7.0</v>
      </c>
      <c r="J94" s="98" t="s">
        <v>1812</v>
      </c>
      <c r="K94" s="95" t="s">
        <v>1813</v>
      </c>
      <c r="L94" s="52" t="s">
        <v>1814</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IFERROR(__xludf.DUMMYFUNCTION("GOOGLETRANSLATE(B94,""zh-tw"",""es-mx"")"),"Irse temprano a casa también es algo bueno -3")</f>
        <v>Irse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 가능성이 있습니다.")</f>
        <v>마찬가지로, 여동생이 보라색 심장과 높은 성욕을 가지고 있다면... 가능성이 있습니다.</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1815</v>
      </c>
      <c r="AE94" s="95" t="s">
        <v>1816</v>
      </c>
      <c r="AF94" s="52" t="s">
        <v>1817</v>
      </c>
      <c r="AG94" s="115">
        <v>7.0</v>
      </c>
      <c r="AH94" s="105" t="s">
        <v>1818</v>
      </c>
      <c r="AI94" s="100" t="s">
        <v>1819</v>
      </c>
      <c r="AJ94" s="101" t="s">
        <v>1820</v>
      </c>
      <c r="AK94" s="55"/>
      <c r="AL94" s="55"/>
      <c r="AM94" s="55"/>
      <c r="AN94" s="55"/>
      <c r="AO94" s="55"/>
    </row>
    <row r="95">
      <c r="A95" s="115">
        <v>8.0</v>
      </c>
      <c r="B95" s="98" t="s">
        <v>1821</v>
      </c>
      <c r="C95" s="95" t="s">
        <v>1822</v>
      </c>
      <c r="D95" s="52" t="s">
        <v>1823</v>
      </c>
      <c r="E95" s="115">
        <v>8.0</v>
      </c>
      <c r="F95" s="98" t="s">
        <v>1824</v>
      </c>
      <c r="G95" s="95" t="s">
        <v>1825</v>
      </c>
      <c r="H95" s="52" t="s">
        <v>1826</v>
      </c>
      <c r="I95" s="115">
        <v>8.0</v>
      </c>
      <c r="J95" s="98" t="s">
        <v>1827</v>
      </c>
      <c r="K95" s="95" t="s">
        <v>1828</v>
      </c>
      <c r="L95" s="52" t="s">
        <v>1829</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IFERROR(__xludf.DUMMYFUNCTION("GOOGLETRANSLATE(B95,""zh-tw"",""es-mx"")"),"Irse temprano a casa también es algo bueno - 4")</f>
        <v>Irse temprano a casa también es algo bueno - 4</v>
      </c>
      <c r="S95" s="89"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1830</v>
      </c>
      <c r="AE95" s="95" t="s">
        <v>1831</v>
      </c>
      <c r="AF95" s="52" t="s">
        <v>1832</v>
      </c>
      <c r="AG95" s="115">
        <v>8.0</v>
      </c>
      <c r="AH95" s="105" t="s">
        <v>1833</v>
      </c>
      <c r="AI95" s="100" t="s">
        <v>1834</v>
      </c>
      <c r="AJ95" s="101" t="s">
        <v>1835</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1836</v>
      </c>
      <c r="B97" s="126" t="s">
        <v>1837</v>
      </c>
      <c r="E97" s="80" t="s">
        <v>1836</v>
      </c>
      <c r="F97" s="127" t="s">
        <v>1838</v>
      </c>
      <c r="I97" s="80" t="s">
        <v>1836</v>
      </c>
      <c r="J97" s="127" t="s">
        <v>1839</v>
      </c>
      <c r="M97" s="80" t="s">
        <v>1836</v>
      </c>
      <c r="N97" s="127" t="str">
        <f>IFERROR(__xludf.DUMMYFUNCTION("GOOGLETRANSLATE(B97,""zh-tw"",""zh"")"),"夜袭相关")</f>
        <v>夜袭相关</v>
      </c>
      <c r="Q97" s="127" t="s">
        <v>1836</v>
      </c>
      <c r="R97" s="127" t="s">
        <v>1840</v>
      </c>
      <c r="U97" s="127" t="s">
        <v>1836</v>
      </c>
      <c r="V97" s="127" t="s">
        <v>1841</v>
      </c>
      <c r="Y97" s="127" t="s">
        <v>1836</v>
      </c>
      <c r="Z97" s="127" t="s">
        <v>1842</v>
      </c>
      <c r="AC97" s="127" t="s">
        <v>1836</v>
      </c>
      <c r="AD97" s="127" t="s">
        <v>1843</v>
      </c>
      <c r="AG97" s="128" t="s">
        <v>1836</v>
      </c>
      <c r="AH97" s="129" t="s">
        <v>1844</v>
      </c>
      <c r="AK97" s="126"/>
      <c r="AL97" s="126"/>
      <c r="AM97" s="126"/>
      <c r="AN97" s="126"/>
      <c r="AO97" s="126"/>
    </row>
    <row r="98">
      <c r="A98" s="115">
        <v>1.0</v>
      </c>
      <c r="B98" s="88" t="s">
        <v>1845</v>
      </c>
      <c r="C98" s="89" t="s">
        <v>1846</v>
      </c>
      <c r="D98" s="55" t="s">
        <v>1847</v>
      </c>
      <c r="E98" s="115">
        <v>1.0</v>
      </c>
      <c r="F98" s="88" t="s">
        <v>1848</v>
      </c>
      <c r="G98" s="89" t="s">
        <v>1849</v>
      </c>
      <c r="H98" s="55" t="s">
        <v>1850</v>
      </c>
      <c r="I98" s="115">
        <v>1.0</v>
      </c>
      <c r="J98" s="88" t="s">
        <v>1851</v>
      </c>
      <c r="K98" s="89" t="s">
        <v>1852</v>
      </c>
      <c r="L98" s="55" t="s">
        <v>1853</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1854</v>
      </c>
      <c r="S98" s="95" t="s">
        <v>1855</v>
      </c>
      <c r="T98" s="52" t="s">
        <v>1856</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1857</v>
      </c>
      <c r="AE98" s="89" t="s">
        <v>1858</v>
      </c>
      <c r="AF98" s="55" t="s">
        <v>935</v>
      </c>
      <c r="AG98" s="119">
        <v>1.0</v>
      </c>
      <c r="AH98" s="120" t="s">
        <v>1859</v>
      </c>
      <c r="AI98" s="121" t="s">
        <v>1860</v>
      </c>
      <c r="AJ98" s="101" t="s">
        <v>1861</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6" t="s">
        <v>1864</v>
      </c>
      <c r="AG3" s="138" t="s">
        <v>1865</v>
      </c>
      <c r="AK3" s="139"/>
      <c r="AL3" s="139"/>
    </row>
    <row r="4">
      <c r="A4" s="140" t="s">
        <v>216</v>
      </c>
      <c r="B4" s="70" t="s">
        <v>1866</v>
      </c>
      <c r="C4" s="71" t="s">
        <v>218</v>
      </c>
      <c r="D4" s="72" t="s">
        <v>219</v>
      </c>
      <c r="E4" s="140" t="s">
        <v>216</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216</v>
      </c>
      <c r="J4" s="70" t="s">
        <v>1867</v>
      </c>
      <c r="K4" s="71" t="s">
        <v>221</v>
      </c>
      <c r="L4" s="72" t="s">
        <v>222</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216</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216</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216</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216</v>
      </c>
      <c r="AD4" s="70" t="s">
        <v>1868</v>
      </c>
      <c r="AE4" s="143" t="s">
        <v>1869</v>
      </c>
      <c r="AF4" s="72" t="s">
        <v>1870</v>
      </c>
      <c r="AG4" s="144" t="s">
        <v>1871</v>
      </c>
      <c r="AH4" s="145" t="s">
        <v>1872</v>
      </c>
      <c r="AI4" s="146" t="s">
        <v>1873</v>
      </c>
      <c r="AJ4" s="147" t="s">
        <v>235</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consigue el objetivo.
(Puedes cambiar de arma durante el proceso).")</f>
        <v>Equípate con una "Espada de Madera Dura" y habla con el espadachín orejudo en el Punto de Encuentro de la Senda del Aventurero. Tras derrotarlo, consigue el objetivo.
(Puedes cambiar de arma durante el proceso).</v>
      </c>
      <c r="T6" s="55" t="str">
        <f>IFERROR(__xludf.DUMMYFUNCTION("GOOGLETRANSLATE(D6,""zh-tw"",""es-MX"")"),"Habilidad aprendida: Katana de paso relámpago")</f>
        <v>Habilidad aprendida: Katana de paso relámpago</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IFERROR(__xludf.DUMMYFUNCTION("GOOGLETRANSLATE(B6,""zh-tw"",""ru"")"),"Меч-шаг Флэш")</f>
        <v>Меч-шаг Флэш</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1917</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estratégica?")</f>
        <v>¿Dónde puedo encontrar la guía estratégica?</v>
      </c>
      <c r="S8" s="95" t="s">
        <v>1934</v>
      </c>
      <c r="T8" s="55" t="str">
        <f>IFERROR(__xludf.DUMMYFUNCTION("GOOGLETRANSLATE(D8,""zh-tw"",""es-MX"")"),"Objeto obtenido: Perspectivas del aventurero
*La historia continuará.")</f>
        <v>Objeto obtenido: Perspectivas del aventurero
*La historia continuará.</v>
      </c>
      <c r="U8" s="150" t="str">
        <f>IFERROR(__xludf.DUMMYFUNCTION("GOOGLETRANSLATE(A8,""zh-tw"",""en"")"),"R4")</f>
        <v>R4</v>
      </c>
      <c r="V8" s="149"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руководство по стратегии?")</f>
        <v>Где я могу найти руководство по стратегии?</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723</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IFERROR(__xludf.DUMMYFUNCTION("GOOGLETRANSLATE(B9,""zh-tw"",""es-MX"")"),"Máquina expendedora de bebidas renacida")</f>
        <v>Máquina expendedora de bebidas renacida</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723</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IFERROR(__xludf.DUMMYFUNCTION("GOOGLETRANSLATE(D13,""zh-tw"",""es-MX"")"),"Obtén el objeto ""Pato de goma""; se puede colocar dentro de la bañera.")</f>
        <v>Obtén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IFERROR(__xludf.DUMMYFUNCTION("GOOGLETRANSLATE(D15,""zh-tw"",""es-MX"")"),"Solo se puede entrar y salir libremente del área detrás de la puerta después de atravesar el área no desarrollada (mina)-2.")</f>
        <v>Solo se puede entrar y salir libremente del área detrás de la puerta después de atravesar el área no desarrollada (mina)-2.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IFERROR(__xludf.DUMMYFUNCTION("GOOGLETRANSLATE(D21,""zh-tw"",""es-MX"")"),"Obtén el equipo: Anillo de hueso del ahorcado")</f>
        <v>Obtén el equipo: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4" s="55" t="str">
        <f>IFERROR(__xludf.DUMMYFUNCTION("GOOGLETRANSLATE(D24,""zh-tw"",""KO"")"),"""교수형에 처해진 남자의 뼈 반지"" 장비를 획득하세요.")</f>
        <v>"교수형에 처해진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2326</v>
      </c>
      <c r="T32" s="55" t="str">
        <f>IFERROR(__xludf.DUMMYFUNCTION("GOOGLETRANSLATE(D32,""zh-tw"",""es-MX"")"),"Shadow Souls - DLC")</f>
        <v>Shadow Souls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varias de tus experiencias, recibirás una camiseta extra, que verás en una escena donde tu hermana la lleva puesta al llegar a casa.
(La función de cambio de ropa posterior aún no está implementada).")</f>
        <v>Tras compartir varias de tus experiencias, recibirás una camiseta extra, que verás en una escena donde tu hermana la lleva puesta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автомате Candy Machine снижена на 500 долларов.
Получить товар: Суши-пудинг.
*Минимальная цена в автомате Candy Machine — 500 долларов.")</f>
        <v>Цена в автомате Candy Machine снижена на 500 долларов.
Получить товар: Суши-пудинг.
*Минимальная цена в автомате Candy Machine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para recibir el artículo ""Panecillo al vapor súper suave y masticable"".")</f>
        <v>Compra este producto para recibir el artículo "Panecillo al vapor súper suave y masticable".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IFERROR(__xludf.DUMMYFUNCTION("GOOGLETRANSLATE(D45,""zh-tw"",""KO"")"),"구매하시면 ""매우 민감하고 부드럽고 쫄깃한 찐빵"" 상품을 받으실 수 있습니다.")</f>
        <v>구매하시면 "매우 민감하고 부드럽고 쫄깃한 찐빵" 상품을 받으실 수 있습니다.</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2 de la Piedra Celestial")</f>
        <v>Fragmento 2 de la Piedra Celestial</v>
      </c>
      <c r="S48" s="89" t="str">
        <f>IFERROR(__xludf.DUMMYFUNCTION("GOOGLETRANSLATE(C48,""zh-tw"",""es-MX"")"),"El hermano mayor puede beber el objeto y obtener el efecto de estado.")</f>
        <v>El hermano mayor puede beber el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그 아이템을 마셔서 상태 효과를 얻을 수 있습니다.")</f>
        <v>형은 그 아이템을 마셔서 상태 효과를 얻을 수 있습니다.</v>
      </c>
      <c r="X48" s="55" t="str">
        <f>IFERROR(__xludf.DUMMYFUNCTION("GOOGLETRANSLATE(D48,""zh-tw"",""KO"")"),"상태 획득
*자매를 치료하기 전에 음료를 주느냐, 치료한 후에 주느냐에 따라 스토리가 달라집니다.")</f>
        <v>상태 획득
*자매를 치료하기 전에 음료를 주느냐, 치료한 후에 주느냐에 따라 스토리가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Hay una hoguera.
(Abreviatura en el mapa: ""Iglesia"". Actualmente, los PNJ no tienen ninguna función; se añadirán en futuras actualizaciones).")</f>
        <v>Nueva ubicación: La Iglesia en ruinas. Hay una hoguera.
(Abreviatura en el mapa: "Iglesia". Actualmente, los PNJ no tienen ninguna función; se añadirán en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모닥불이 있습니다.
(지도 약어: ""교회""). 현재 NPC들은 아무런 기능을 하지 않습니다. 향후 업데이트를 기다리고 있습니다.")</f>
        <v>새로운 장소 - 몰락한 교회. 모닥불이 있습니다.
(지도 약어: "교회"). 현재 NPC들은 아무런 기능을 하지 않습니다.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Костер присутствует.
(Сокращение на карте: «Церковь». В настоящее время у NPC нет функций; ожидается обновление в будущем.)")</f>
        <v>Новая локация — Павшая Церковь. Костер присутствует.
(Сокращение на карте: «Церковь». В настоящее время у NPC нет функций; ожидается обновление в будущем.)</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IFERROR(__xludf.DUMMYFUNCTION("GOOGLETRANSLATE(B51,""zh-tw"",""es-MX"")"),"Camión de taller-1")</f>
        <v>Camión de taller-1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0" t="str">
        <f>IFERROR(__xludf.DUMMYFUNCTION("GOOGLETRANSLATE(A51,""zh-tw"",""en"")"),"R47")</f>
        <v>R47</v>
      </c>
      <c r="V51" s="149" t="str">
        <f>IFERROR(__xludf.DUMMYFUNCTION("GOOGLETRANSLATE(B51,""zh-tw"",""KO"")"),"샵 트럭-1")</f>
        <v>샵 트럭-1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Грузовик-1")</f>
        <v>Магазин Грузовик-1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корзины покупок")</f>
        <v>Кража товаров из корзины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(Actualmente, esta función está en desarrollo y gran parte del contenido aún no está "&amp;"completamente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(Actualmente, esta función está en desarrollo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593</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가게 카트에 맞아 체력이 0이 되면 새로운 맵으로 이동하게 됩니다(아직 구현되지 않음).")</f>
        <v>형이 가게 카트에 맞아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ударит тележка из магазина и его здоровье достигнет нуля, он будет перенесен на новую карту (пока не реализовано).")</f>
        <v>Если старшего брата ударит тележка из магазина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del espantapájaros")</f>
        <v>Objeto obtenido: Corazón del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300 %.")</f>
        <v>Habilidad aprendida: Puñalada por la espalda
Ataca al enemigo por la espalda, aumentando el daño. El multiplicador aumenta con la maestría, alcanzando un máximo del 300 %.</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0" t="str">
        <f>IFERROR(__xludf.DUMMYFUNCTION("GOOGLETRANSLATE(A59,""zh-tw"",""en"")"),"R55")</f>
        <v>R55</v>
      </c>
      <c r="V59" s="149" t="str">
        <f>IFERROR(__xludf.DUMMYFUNCTION("GOOGLETRANSLATE(B59,""zh-tw"",""KO"")"),"다자오 열 카르스트 벨트")</f>
        <v>다자오 열 카르스트 벨트</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IFERROR(__xludf.DUMMYFUNCTION("GOOGLETRANSLATE(B59,""zh-tw"",""ru"")"),"Термальный карстовый пояс Дацзяо")</f>
        <v>Термальный карстовый пояс Дацзяо</v>
      </c>
      <c r="AA59" s="151"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IFERROR(__xludf.DUMMYFUNCTION("GOOGLETRANSLATE(D65,""zh-tw"",""es-MX"")"),"Llegada a ""Zona en desarrollo (Mina)-3""")</f>
        <v>Llegada a "Zona en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БОССА.
P.S. Например: перья чудовищной птицы можно использовать для левитации.")</f>
        <v>Доберитесь до зоны БОССА.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*Не сбрасывается.")</f>
        <v>Открывайте осторожно. *Не сбрасывается.</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Кролика-горничной - 3")</f>
        <v>Зона Босса Кролика-горничной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los guardianes")</f>
        <v>Equipo adquirido: Daga de cazador, Insignia de los guardianes</v>
      </c>
      <c r="U74" s="84" t="s">
        <v>2977</v>
      </c>
      <c r="V74" s="149" t="str">
        <f>IFERROR(__xludf.DUMMYFUNCTION("GOOGLETRANSLATE(B74,""zh-tw"",""KO"")"),"헌터스 롯지 - 지하")</f>
        <v>헌터스 롯지 - 지하</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사냥꾼의 단검, 수호자의 휘장")</f>
        <v>획득 장비: 사냥꾼의 단검, 수호자의 휘장</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IFERROR(__xludf.DUMMYFUNCTION("GOOGLETRANSLATE(D74,""zh-tw"",""RU"")"),"Приобретенное снаряжение: Кинжал охотника, Значок стражей.")</f>
        <v>Приобретенное снаряжение: Кинжал охотника, Значок стражей.</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драгоценных камней")</f>
        <v>Полученное снаряжение: Меч из драгоценных камней</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наблюдалось, а повторные проявления могли даже вызвать отвращение.")</f>
        <v>Никакой реакции не наблюдалось, а повторные проявления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IFERROR(__xludf.DUMMYFUNCTION("GOOGLETRANSLATE(D86,""zh-tw"",""ja"")"),"装備「イチゴを取り戻せ！！」を入手してください。
（コマンドはスキルバーをご覧ください）")</f>
        <v>装備「イチゴを取り戻せ！！」を入手してください。
（コマンドはスキルバーをご覧ください）</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смотрите на панели навыков)")</f>
        <v>Получите снаряжение «Верни клубнику!!»
(Команды смотрите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findest du in der Fertigkeitsleiste.)")</f>
        <v>Hol dir die Ausrüstung „Erdbeeren zurückerobern!!“
(Befehle findest du in der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monstruo puede aparecer con una baja probabilidad al freír pescado.")</f>
        <v>Este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49"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Monster kann mit geringer Wahrscheinlichkeit beim Braten von Fisch erscheinen.")</f>
        <v>Dieses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멸종되어야 할 강의 군주!? (거북이 왕)
패배 시 획득: 왕의 칙령, ◉▽◉ (분홍색)")</f>
        <v>소환 보스: 멸종되어야 할 강의 군주!? (거북이 왕)
패배 시 획득: 왕의 칙령, ◉▽◉ (분홍색)</v>
      </c>
      <c r="Y89" s="84" t="s">
        <v>3151</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590</v>
      </c>
      <c r="E92" s="84" t="s">
        <v>3191</v>
      </c>
      <c r="F92" s="148" t="s">
        <v>3194</v>
      </c>
      <c r="G92" s="178" t="s">
        <v>3195</v>
      </c>
      <c r="H92" s="179" t="s">
        <v>593</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608</v>
      </c>
      <c r="AG92" s="118" t="s">
        <v>3191</v>
      </c>
      <c r="AH92" s="154" t="s">
        <v>3199</v>
      </c>
      <c r="AI92" s="155" t="s">
        <v>3200</v>
      </c>
      <c r="AJ92" s="164" t="s">
        <v>3201</v>
      </c>
      <c r="AK92" s="122"/>
      <c r="AL92" s="122"/>
    </row>
    <row r="93">
      <c r="A93" s="84" t="s">
        <v>3202</v>
      </c>
      <c r="B93" s="148" t="s">
        <v>3203</v>
      </c>
      <c r="C93" s="95" t="s">
        <v>3204</v>
      </c>
      <c r="D93" s="52" t="s">
        <v>590</v>
      </c>
      <c r="E93" s="84" t="s">
        <v>3202</v>
      </c>
      <c r="F93" s="148" t="s">
        <v>3205</v>
      </c>
      <c r="G93" s="178" t="s">
        <v>3206</v>
      </c>
      <c r="H93" s="179" t="s">
        <v>593</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608</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212</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213</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215</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2"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3"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las animaciones y las variaciones musicales.")</f>
        <v>ALT puede acelerar el rendimiento de las animaciones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 conversación.")</f>
        <v>CTRL puede acelerar la conversación.</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星のアフィニティ値は、100、200、300、400、500、600、700です。バージョン0.6では、4つ星でゲーム体験が完全に完了するため、7つ星に到達する必要はありません。")</f>
        <v>7つ星のアフィニティ値は、100、200、300、400、500、600、700です。バージョン0.6では、4つ星でゲーム体験が完全に完了するため、7つ星に到達する必要はありません。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IFERROR(__xludf.DUMMYFUNCTION("GOOGLETRANSLATE(A10,""zh-tw"",""es-MX"")"),"Los valores para 7 estrellas de afinidad son: 100-200-300-400-500-600-700. En la versión 0.6, la experiencia de juego completa se logra con solo 4 estrellas; alcanzar las 7 no es necesario.")</f>
        <v>Los valores para 7 estrellas de afinidad son: 100-200-300-400-500-600-700. En la versión 0.6, la experiencia de juego completa se logra con solo 4 estrellas; alcanzar las 7 no es necesario.</v>
      </c>
      <c r="F10" s="213" t="str">
        <f>IFERROR(__xludf.DUMMYFUNCTION("GOOGLETRANSLATE(A10,""zh-tw"",""KO"")"),"7개의 친밀도 별에 대한 값은 다음과 같습니다: 100-200-300-400-500-600-700. 버전 0.6에서는 4개의 별만으로도 전체 게임을 완료할 수 있으며, 7개의 별을 달성할 필요는 없습니다.")</f>
        <v>7개의 친밀도 별에 대한 값은 다음과 같습니다: 100-200-300-400-500-600-700. 버전 0.6에서는 4개의 별만으로도 전체 게임을 완료할 수 있으며, 7개의 별을 달성할 필요는 없습니다.</v>
      </c>
      <c r="G10" s="55"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IFERROR(__xludf.DUMMYFUNCTION("GOOGLETRANSLATE(A14,""zh-tw"",""ja"")"),"夜襲は兄の性欲が一定値を超えた場合にのみ発動します。")</f>
        <v>夜襲は兄の性欲が一定値を超えた場合にのみ発動します。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el deseo sexual del hermano mayor supere cierto valor.")</f>
        <v>La incursión nocturna solo se activará cuando el deseo sexual del hermano mayor supere cierto valor.</v>
      </c>
      <c r="F14" s="213" t="str">
        <f>IFERROR(__xludf.DUMMYFUNCTION("GOOGLETRANSLATE(A14,""zh-tw"",""KO"")"),"야간 공격은 형의 성욕이 일정 수준을 넘을 때만 발동됩니다.")</f>
        <v>야간 공격은 형의 성욕이 일정 수준을 넘을 때만 발동됩니다.</v>
      </c>
      <c r="G14" s="55" t="str">
        <f>IFERROR(__xludf.DUMMYFUNCTION("GOOGLETRANSLATE(A14,""zh-tw"",""ru"")"),"Ночной рейд произойдет только тогда, когда сексуальное влечение старшего брата превысит определенное значение.")</f>
        <v>Ночной рейд произойдет только тогда, когда сексуальное влечение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IFERROR(__xludf.DUMMYFUNCTION("GOOGLETRANSLATE(A16,""zh-tw"",""ja"")"),"ガシャポンマシンの後ろから近づくと飛び出します。")</f>
        <v>ガシャポンマシンの後ろから近づくと飛び出します。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3"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3"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2" t="s">
        <v>3310</v>
      </c>
      <c r="I24" s="160"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3"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3"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2" t="s">
        <v>3320</v>
      </c>
      <c r="I26" s="183" t="s">
        <v>3321</v>
      </c>
      <c r="J26" s="46"/>
      <c r="K26" s="46"/>
      <c r="L26" s="46"/>
      <c r="M26" s="46"/>
      <c r="N26" s="46"/>
      <c r="O26" s="46"/>
      <c r="P26" s="46"/>
      <c r="Q26" s="46"/>
      <c r="R26" s="46"/>
      <c r="S26" s="46"/>
      <c r="T26" s="46"/>
      <c r="U26" s="46"/>
      <c r="V26" s="46"/>
      <c r="W26" s="46"/>
    </row>
    <row r="27">
      <c r="A27" s="52" t="s">
        <v>3322</v>
      </c>
      <c r="B27" s="212" t="s">
        <v>3323</v>
      </c>
      <c r="C27" s="52" t="s">
        <v>3324</v>
      </c>
      <c r="D27" s="212"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3"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2" t="s">
        <v>3325</v>
      </c>
      <c r="I27" s="183" t="s">
        <v>3326</v>
      </c>
      <c r="J27" s="46"/>
      <c r="K27" s="46"/>
      <c r="L27" s="46"/>
      <c r="M27" s="46"/>
      <c r="N27" s="46"/>
      <c r="O27" s="46"/>
      <c r="P27" s="46"/>
      <c r="Q27" s="46"/>
      <c r="R27" s="46"/>
      <c r="S27" s="46"/>
      <c r="T27" s="46"/>
      <c r="U27" s="46"/>
      <c r="V27" s="46"/>
      <c r="W27" s="46"/>
    </row>
    <row r="28">
      <c r="A28" s="52" t="s">
        <v>3327</v>
      </c>
      <c r="B28" s="212"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3328</v>
      </c>
      <c r="D28" s="212" t="s">
        <v>3329</v>
      </c>
      <c r="E28" s="55" t="str">
        <f>IFERROR(__xludf.DUMMYFUNCTION("GOOGLETRANSLATE(A28,""zh-tw"",""es-MX"")"),"He oído... que el Caballero huele muy bien, quizá podamos mirar al futuro con optimismo.")</f>
        <v>He oído... que el Caballero huele muy bien, quizá podamos mirar al futuro con optimismo.</v>
      </c>
      <c r="F28" s="213" t="str">
        <f>IFERROR(__xludf.DUMMYFUNCTION("GOOGLETRANSLATE(A28,""zh-tw"",""KO"")"),"들었어요... 기사의 냄새가 정말 좋다는군요. 앞으로의 미래를 기대할 수 있을 것 같아요.")</f>
        <v>들었어요... 기사의 냄새가 정말 좋다는군요.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2" t="s">
        <v>3330</v>
      </c>
      <c r="I28" s="183" t="s">
        <v>3331</v>
      </c>
      <c r="J28" s="46"/>
      <c r="K28" s="46"/>
      <c r="L28" s="46"/>
      <c r="M28" s="46"/>
      <c r="N28" s="46"/>
      <c r="O28" s="46"/>
      <c r="P28" s="46"/>
      <c r="Q28" s="46"/>
      <c r="R28" s="46"/>
      <c r="S28" s="46"/>
      <c r="T28" s="46"/>
      <c r="U28" s="46"/>
      <c r="V28" s="46"/>
      <c r="W28" s="46"/>
    </row>
    <row r="29">
      <c r="A29" s="215" t="s">
        <v>3332</v>
      </c>
      <c r="B29" s="212" t="s">
        <v>3333</v>
      </c>
      <c r="C29" s="52" t="s">
        <v>3334</v>
      </c>
      <c r="D29" s="212" t="s">
        <v>3335</v>
      </c>
      <c r="E29" s="55" t="str">
        <f>IFERROR(__xludf.DUMMYFUNCTION("GOOGLETRANSLATE(A29,""zh-tw"",""es-MX"")"),"¿Cuál es la talla de sujetador de mi hermana? He oído que es G~H.")</f>
        <v>¿Cuál es la talla de sujetador de mi hermana? He oído que es G~H.</v>
      </c>
      <c r="F29" s="213"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2" t="s">
        <v>3336</v>
      </c>
      <c r="I29" s="183" t="s">
        <v>3337</v>
      </c>
      <c r="J29" s="46"/>
      <c r="K29" s="46"/>
      <c r="L29" s="46"/>
      <c r="M29" s="46"/>
      <c r="N29" s="46"/>
      <c r="O29" s="46"/>
      <c r="P29" s="46"/>
      <c r="Q29" s="46"/>
      <c r="R29" s="46"/>
      <c r="S29" s="46"/>
      <c r="T29" s="46"/>
      <c r="U29" s="46"/>
      <c r="V29" s="46"/>
      <c r="W29" s="46"/>
    </row>
    <row r="30">
      <c r="A30" s="52" t="s">
        <v>3338</v>
      </c>
      <c r="B30" s="212" t="s">
        <v>3339</v>
      </c>
      <c r="C30" s="52" t="s">
        <v>3340</v>
      </c>
      <c r="D30" s="212"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3" t="str">
        <f>IFERROR(__xludf.DUMMYFUNCTION("GOOGLETRANSLATE(A30,""zh-tw"",""KO"")"),"형은 현자가 되어 생각에 잠겨 있었는데...")</f>
        <v>형은 현자가 되어 생각에 잠겨 있었는데...</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2" t="s">
        <v>3341</v>
      </c>
      <c r="I30" s="183" t="s">
        <v>3342</v>
      </c>
      <c r="J30" s="46"/>
      <c r="K30" s="46"/>
      <c r="L30" s="46"/>
      <c r="M30" s="46"/>
      <c r="N30" s="46"/>
      <c r="O30" s="46"/>
      <c r="P30" s="46"/>
      <c r="Q30" s="46"/>
      <c r="R30" s="46"/>
      <c r="S30" s="46"/>
      <c r="T30" s="46"/>
      <c r="U30" s="46"/>
      <c r="V30" s="46"/>
      <c r="W30" s="46"/>
    </row>
    <row r="31">
      <c r="A31" s="52" t="s">
        <v>3343</v>
      </c>
      <c r="B31" s="212" t="s">
        <v>3344</v>
      </c>
      <c r="C31" s="55" t="str">
        <f>IFERROR(__xludf.DUMMYFUNCTION("GOOGLETRANSLATE(A31,""zh-tw"",""en"")"),"When equipped with ""Girl's Smile"", the side effects of the Sage state will be ignored.")</f>
        <v>When equipped with "Girl's Smile", the side effects of the Sage state will be ignored.</v>
      </c>
      <c r="D31" s="212"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3"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2" t="s">
        <v>3345</v>
      </c>
      <c r="I31" s="183" t="s">
        <v>3346</v>
      </c>
      <c r="J31" s="46"/>
      <c r="K31" s="46"/>
      <c r="L31" s="46"/>
      <c r="M31" s="46"/>
      <c r="N31" s="46"/>
      <c r="O31" s="46"/>
      <c r="P31" s="46"/>
      <c r="Q31" s="46"/>
      <c r="R31" s="46"/>
      <c r="S31" s="46"/>
      <c r="T31" s="46"/>
      <c r="U31" s="46"/>
      <c r="V31" s="46"/>
      <c r="W31" s="46"/>
    </row>
    <row r="32">
      <c r="A32" s="52" t="s">
        <v>3347</v>
      </c>
      <c r="B32" s="212"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3348</v>
      </c>
      <c r="D32" s="212"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3"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2" t="s">
        <v>3349</v>
      </c>
      <c r="I32" s="183" t="s">
        <v>3350</v>
      </c>
      <c r="J32" s="46"/>
      <c r="K32" s="46"/>
      <c r="L32" s="46"/>
      <c r="M32" s="46"/>
      <c r="N32" s="46"/>
      <c r="O32" s="46"/>
      <c r="P32" s="46"/>
      <c r="Q32" s="46"/>
      <c r="R32" s="46"/>
      <c r="S32" s="46"/>
      <c r="T32" s="46"/>
      <c r="U32" s="46"/>
      <c r="V32" s="46"/>
      <c r="W32" s="46"/>
    </row>
    <row r="33">
      <c r="A33" s="52" t="s">
        <v>3351</v>
      </c>
      <c r="B33" s="212"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3352</v>
      </c>
      <c r="D33" s="212"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3" t="str">
        <f>IFERROR(__xludf.DUMMYFUNCTION("GOOGLETRANSLATE(A33,""zh-tw"",""KO"")"),"변기에 있는 형언할 수 없는 생물은 사실 내 동생이 심연에서 가져온 것입니다.")</f>
        <v>변기에 있는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3"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2" t="s">
        <v>3358</v>
      </c>
      <c r="I34" s="183" t="s">
        <v>3359</v>
      </c>
      <c r="J34" s="46"/>
      <c r="K34" s="46"/>
      <c r="L34" s="46"/>
      <c r="M34" s="46"/>
      <c r="N34" s="46"/>
      <c r="O34" s="46"/>
      <c r="P34" s="46"/>
      <c r="Q34" s="46"/>
      <c r="R34" s="46"/>
      <c r="S34" s="46"/>
      <c r="T34" s="46"/>
      <c r="U34" s="46"/>
      <c r="V34" s="46"/>
      <c r="W34" s="46"/>
    </row>
    <row r="35">
      <c r="A35" s="52" t="s">
        <v>3360</v>
      </c>
      <c r="B35" s="212" t="s">
        <v>3361</v>
      </c>
      <c r="C35" s="52" t="s">
        <v>3362</v>
      </c>
      <c r="D35" s="212"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3"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IFERROR(__xludf.DUMMYFUNCTION("GOOGLETRANSLATE(A36,""zh-tw"",""ja"")"),"生き物が可愛ければ可愛いほど、攻撃力も高くなります。")</f>
        <v>生き物が可愛ければ可愛いほど、攻撃力も高くなります。</v>
      </c>
      <c r="C36" s="52" t="s">
        <v>3366</v>
      </c>
      <c r="D36" s="212" t="s">
        <v>3367</v>
      </c>
      <c r="E36" s="55" t="str">
        <f>IFERROR(__xludf.DUMMYFUNCTION("GOOGLETRANSLATE(A36,""zh-tw"",""es-MX"")"),"Cuanto más adorable sea la criatura, mayor suele ser su poder de ataque.")</f>
        <v>Cuanto más adorable sea la criatura, mayor suele ser su poder de ataque.</v>
      </c>
      <c r="F36" s="213"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2" t="s">
        <v>3368</v>
      </c>
      <c r="I36" s="183" t="s">
        <v>3369</v>
      </c>
      <c r="J36" s="46"/>
      <c r="K36" s="46"/>
      <c r="L36" s="46"/>
      <c r="M36" s="46"/>
      <c r="N36" s="46"/>
      <c r="O36" s="46"/>
      <c r="P36" s="46"/>
      <c r="Q36" s="46"/>
      <c r="R36" s="46"/>
      <c r="S36" s="46"/>
      <c r="T36" s="46"/>
      <c r="U36" s="46"/>
      <c r="V36" s="46"/>
      <c r="W36" s="46"/>
    </row>
    <row r="37">
      <c r="A37" s="52" t="s">
        <v>3370</v>
      </c>
      <c r="B37" s="212" t="str">
        <f>IFERROR(__xludf.DUMMYFUNCTION("GOOGLETRANSLATE(A37,""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7" s="52" t="s">
        <v>3371</v>
      </c>
      <c r="D37" s="212"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7" s="213" t="str">
        <f>IFERROR(__xludf.DUMMYFUNCTION("GOOGLETRANSLATE(A37,""zh-tw"",""KO"")"),"&lt;42&gt;는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7" s="55" t="str">
        <f>IFERROR(__xludf.DUMMYFUNCTION("GOOGLETRANSLATE(A37,""zh-tw"",""ru"")"),"&lt;42&gt;,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7" s="212" t="s">
        <v>3372</v>
      </c>
      <c r="I37" s="160" t="s">
        <v>3373</v>
      </c>
      <c r="J37" s="46"/>
      <c r="K37" s="46"/>
      <c r="L37" s="46"/>
      <c r="M37" s="46"/>
      <c r="N37" s="46"/>
      <c r="O37" s="46"/>
      <c r="P37" s="46"/>
      <c r="Q37" s="46"/>
      <c r="R37" s="46"/>
      <c r="S37" s="46"/>
      <c r="T37" s="46"/>
      <c r="U37" s="46"/>
      <c r="V37" s="46"/>
      <c r="W37" s="46"/>
    </row>
    <row r="38">
      <c r="A38" s="52" t="s">
        <v>3374</v>
      </c>
      <c r="B38" s="212" t="str">
        <f>IFERROR(__xludf.DUMMYFUNCTION("GOOGLETRANSLATE(A38,""zh-tw"",""ja"")"),"モンスタースライム 1 個は、スライムスライム 2 個とほぼ同等です。")</f>
        <v>モンスタースライム 1 個は、スライムスライム 2 個とほぼ同等です。</v>
      </c>
      <c r="C38" s="52" t="s">
        <v>3375</v>
      </c>
      <c r="D38" s="212"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3"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lo hace es más fuerte. También se puede usar la carta del Tarot ""El Mundo"".")</f>
        <v>El jefe del Abismo reaparece cada siete días, y cada vez que lo hace es más fuerte. También se puede usar la carta del Tarot "El Mundo".</v>
      </c>
      <c r="F39" s="213"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каждый раз он становится сильнее. Также можно использовать карту Таро «Мир».")</f>
        <v>Босс Бездны возрождается каждые семь дней, и каждый раз он становится сильнее. Также можно использовать карту Таро «Мир».</v>
      </c>
      <c r="H39" s="212" t="s">
        <v>3381</v>
      </c>
      <c r="I39" s="183" t="s">
        <v>3382</v>
      </c>
      <c r="J39" s="46"/>
      <c r="K39" s="46"/>
      <c r="L39" s="46"/>
      <c r="M39" s="46"/>
      <c r="N39" s="46"/>
      <c r="O39" s="46"/>
      <c r="P39" s="46"/>
      <c r="Q39" s="46"/>
      <c r="R39" s="46"/>
      <c r="S39" s="46"/>
      <c r="T39" s="46"/>
      <c r="U39" s="46"/>
      <c r="V39" s="46"/>
      <c r="W39" s="46"/>
    </row>
    <row r="40">
      <c r="A40" s="52" t="s">
        <v>3383</v>
      </c>
      <c r="B40" s="212" t="s">
        <v>3384</v>
      </c>
      <c r="C40" s="52" t="s">
        <v>3385</v>
      </c>
      <c r="D40" s="212" t="s">
        <v>3386</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3"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2" t="s">
        <v>3387</v>
      </c>
      <c r="I40" s="183" t="s">
        <v>3388</v>
      </c>
      <c r="J40" s="46"/>
      <c r="K40" s="46"/>
      <c r="L40" s="46"/>
      <c r="M40" s="46"/>
      <c r="N40" s="46"/>
      <c r="O40" s="46"/>
      <c r="P40" s="46"/>
      <c r="Q40" s="46"/>
      <c r="R40" s="46"/>
      <c r="S40" s="46"/>
      <c r="T40" s="46"/>
      <c r="U40" s="46"/>
      <c r="V40" s="46"/>
      <c r="W40" s="46"/>
    </row>
    <row r="41">
      <c r="A41" s="52" t="s">
        <v>3389</v>
      </c>
      <c r="B41" s="212" t="s">
        <v>3390</v>
      </c>
      <c r="C41" s="52" t="s">
        <v>3391</v>
      </c>
      <c r="D41" s="212"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3"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3"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3" t="s">
        <v>3392</v>
      </c>
      <c r="J41" s="46"/>
      <c r="K41" s="46"/>
      <c r="L41" s="46"/>
      <c r="M41" s="46"/>
      <c r="N41" s="46"/>
      <c r="O41" s="46"/>
      <c r="P41" s="46"/>
      <c r="Q41" s="46"/>
      <c r="R41" s="46"/>
      <c r="S41" s="46"/>
      <c r="T41" s="46"/>
      <c r="U41" s="46"/>
      <c r="V41" s="46"/>
      <c r="W41" s="46"/>
    </row>
    <row r="42">
      <c r="A42" s="52" t="s">
        <v>3393</v>
      </c>
      <c r="B42" s="212"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3394</v>
      </c>
      <c r="D42" s="212"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3"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3"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3" t="s">
        <v>3395</v>
      </c>
      <c r="J42" s="46"/>
      <c r="K42" s="46"/>
      <c r="L42" s="46"/>
      <c r="M42" s="46"/>
      <c r="N42" s="46"/>
      <c r="O42" s="46"/>
      <c r="P42" s="46"/>
      <c r="Q42" s="46"/>
      <c r="R42" s="46"/>
      <c r="S42" s="46"/>
      <c r="T42" s="46"/>
      <c r="U42" s="46"/>
      <c r="V42" s="46"/>
      <c r="W42" s="46"/>
    </row>
    <row r="43">
      <c r="A43" s="52" t="s">
        <v>3396</v>
      </c>
      <c r="B43" s="212" t="s">
        <v>3397</v>
      </c>
      <c r="C43" s="52" t="s">
        <v>3398</v>
      </c>
      <c r="D43" s="212"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3"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3"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3" t="s">
        <v>3399</v>
      </c>
      <c r="J43" s="46"/>
      <c r="K43" s="46"/>
      <c r="L43" s="46"/>
      <c r="M43" s="46"/>
      <c r="N43" s="46"/>
      <c r="O43" s="46"/>
      <c r="P43" s="46"/>
      <c r="Q43" s="46"/>
      <c r="R43" s="46"/>
      <c r="S43" s="46"/>
      <c r="T43" s="46"/>
      <c r="U43" s="46"/>
      <c r="V43" s="46"/>
      <c r="W43" s="46"/>
    </row>
    <row r="44">
      <c r="A44" s="52" t="s">
        <v>3400</v>
      </c>
      <c r="B44" s="212" t="s">
        <v>3401</v>
      </c>
      <c r="C44" s="52" t="s">
        <v>3402</v>
      </c>
      <c r="D44" s="212"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3"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3" t="str">
        <f>IFERROR(__xludf.DUMMYFUNCTION("GOOGLETRANSLATE(A44,""zh-tw"",""de"")"),"Mithilfe von Gegenständen kann man nicht nur mit Monstern, sondern auch mit NPCs die Position tauschen.")</f>
        <v>Mithilfe von Gegenständen kann man nicht nur mit Monstern, sondern auch mit NPCs die Position tauschen.</v>
      </c>
      <c r="I44" s="183" t="s">
        <v>3403</v>
      </c>
      <c r="J44" s="46"/>
      <c r="K44" s="46"/>
      <c r="L44" s="46"/>
      <c r="M44" s="46"/>
      <c r="N44" s="46"/>
      <c r="O44" s="46"/>
      <c r="P44" s="46"/>
      <c r="Q44" s="46"/>
      <c r="R44" s="46"/>
      <c r="S44" s="46"/>
      <c r="T44" s="46"/>
      <c r="U44" s="46"/>
      <c r="V44" s="46"/>
      <c r="W44" s="46"/>
    </row>
    <row r="45">
      <c r="A45" s="52" t="s">
        <v>3404</v>
      </c>
      <c r="B45" s="212" t="s">
        <v>3405</v>
      </c>
      <c r="C45" s="52" t="s">
        <v>3406</v>
      </c>
      <c r="D45" s="212"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un olor desagradable.")</f>
        <v>Los monstruos también tienen sentido del olfato, y algunos huyen de un olor desagradable.</v>
      </c>
      <c r="F45" s="213"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3" t="str">
        <f>IFERROR(__xludf.DUMMYFUNCTION("GOOGLETRANSLATE(A45,""zh-tw"",""de"")"),"Auch Monster besitzen einen Geruchssinn, und manche Monster fliehen vor einem üblen Geruch.")</f>
        <v>Auch Monster besitzen einen Geruchssinn, und manche Monster fliehen vor einem üblen Geruch.</v>
      </c>
      <c r="I45" s="183" t="s">
        <v>3407</v>
      </c>
      <c r="J45" s="46"/>
      <c r="K45" s="46"/>
      <c r="L45" s="46"/>
      <c r="M45" s="46"/>
      <c r="N45" s="46"/>
      <c r="O45" s="46"/>
      <c r="P45" s="46"/>
      <c r="Q45" s="46"/>
      <c r="R45" s="46"/>
      <c r="S45" s="46"/>
      <c r="T45" s="46"/>
      <c r="U45" s="46"/>
      <c r="V45" s="46"/>
      <c r="W45" s="46"/>
    </row>
    <row r="46">
      <c r="A46" s="52" t="s">
        <v>3408</v>
      </c>
      <c r="B46" s="212" t="s">
        <v>3409</v>
      </c>
      <c r="C46" s="52" t="s">
        <v>3410</v>
      </c>
      <c r="D46" s="212"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IFERROR(__xludf.DUMMYFUNCTION("GOOGLETRANSLATE(A46,""zh-tw"",""es-MX"")"),"Existe la posibilidad de que la hermana menor irrumpa mientras el hermano mayor se está bañando solo; cuanto menor sea su salud, mayor será la probabilidad de que esto ocurra. (Bloqueado temporalmente en la versión 0.55)")</f>
        <v>Existe la posibilidad de que la hermana menor irrumpa mientras el hermano mayor se está bañando solo; cuanto menor sea su salud, mayor será la probabilidad de que esto ocurra. (Bloqueado temporalmente en la versión 0.55)</v>
      </c>
      <c r="F46" s="213" t="str">
        <f>IFERROR(__xludf.DUMMYFUNCTION("GOOGLETRANSLATE(A46,""zh-tw"",""KO"")"),"오빠가 혼자 목욕을 하는 동안 여동생이 불쑥 끼어들 가능성이 있습니다. 오빠의 체력이 낮을수록 이 현상이 발생할 확률이 높아집니다. (0.55 버전에서 일시적으로 차단됨)")</f>
        <v>오빠가 혼자 목욕을 하는 동안 여동생이 불쑥 끼어들 가능성이 있습니다. 오빠의 체력이 낮을수록 이 현상이 발생할 확률이 높아집니다. (0.55 버전에서 일시적으로 차단됨)</v>
      </c>
      <c r="G46" s="55" t="str">
        <f>IFERROR(__xludf.DUMMYFUNCTION("GOOGLETRANSLATE(A46,""zh-tw"",""ru"")"),"Есть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f>
        <v>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v>
      </c>
      <c r="H46" s="213" t="str">
        <f>IFERROR(__xludf.DUMMYFUNCTION("GOOGLETRANSLATE(A46,""zh-tw"",""de"")"),"Es besteht die Möglichkeit, dass die jüngere Schwester hereinplatzt, während der ältere Bruder allein badet; je niedriger sein Gesundheitszustand ist, desto wahrscheinlicher tritt dieses Ereignis ein. (Vorübergehend in Version 0.55 gesperrt)")</f>
        <v>Es besteht die Möglichkeit, dass die jüngere Schwester hereinplatzt, während der ältere Bruder allein badet; je niedriger sein Gesundheitszustand ist, desto wahrscheinlicher tritt dieses Ereignis ein. (Vorübergehend in Version 0.55 gesperrt)</v>
      </c>
      <c r="I46" s="183" t="s">
        <v>3411</v>
      </c>
      <c r="J46" s="46"/>
      <c r="K46" s="46"/>
      <c r="L46" s="46"/>
      <c r="M46" s="46"/>
      <c r="N46" s="46"/>
      <c r="O46" s="46"/>
      <c r="P46" s="46"/>
      <c r="Q46" s="46"/>
      <c r="R46" s="46"/>
      <c r="S46" s="46"/>
      <c r="T46" s="46"/>
      <c r="U46" s="46"/>
      <c r="V46" s="46"/>
      <c r="W46" s="46"/>
    </row>
    <row r="47">
      <c r="A47" s="52" t="s">
        <v>3412</v>
      </c>
      <c r="B47" s="212" t="s">
        <v>3413</v>
      </c>
      <c r="C47" s="52" t="s">
        <v>3414</v>
      </c>
      <c r="D47" s="212"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3"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7" s="213"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3" t="s">
        <v>3415</v>
      </c>
      <c r="J47" s="46"/>
      <c r="K47" s="46"/>
      <c r="L47" s="46"/>
      <c r="M47" s="46"/>
      <c r="N47" s="46"/>
      <c r="O47" s="46"/>
      <c r="P47" s="46"/>
      <c r="Q47" s="46"/>
      <c r="R47" s="46"/>
      <c r="S47" s="46"/>
      <c r="T47" s="46"/>
      <c r="U47" s="46"/>
      <c r="V47" s="46"/>
      <c r="W47" s="46"/>
    </row>
    <row r="48">
      <c r="A48" s="52" t="s">
        <v>3416</v>
      </c>
      <c r="B48" s="212" t="s">
        <v>3417</v>
      </c>
      <c r="C48" s="52" t="s">
        <v>3418</v>
      </c>
      <c r="D48" s="212"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3"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3"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3" t="s">
        <v>3419</v>
      </c>
      <c r="J48" s="46"/>
      <c r="K48" s="46"/>
      <c r="L48" s="46"/>
      <c r="M48" s="46"/>
      <c r="N48" s="46"/>
      <c r="O48" s="46"/>
      <c r="P48" s="46"/>
      <c r="Q48" s="46"/>
      <c r="R48" s="46"/>
      <c r="S48" s="46"/>
      <c r="T48" s="46"/>
      <c r="U48" s="46"/>
      <c r="V48" s="46"/>
      <c r="W48" s="46"/>
    </row>
    <row r="49">
      <c r="A49" s="52" t="s">
        <v>3420</v>
      </c>
      <c r="B49" s="212" t="s">
        <v>3421</v>
      </c>
      <c r="C49" s="52" t="s">
        <v>3422</v>
      </c>
      <c r="D49" s="212"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3"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3"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3" t="s">
        <v>3423</v>
      </c>
      <c r="J49" s="46"/>
      <c r="K49" s="46"/>
      <c r="L49" s="46"/>
      <c r="M49" s="46"/>
      <c r="N49" s="46"/>
      <c r="O49" s="46"/>
      <c r="P49" s="46"/>
      <c r="Q49" s="46"/>
      <c r="R49" s="46"/>
      <c r="S49" s="46"/>
      <c r="T49" s="46"/>
      <c r="U49" s="46"/>
      <c r="V49" s="46"/>
      <c r="W49" s="46"/>
    </row>
    <row r="50">
      <c r="A50" s="52" t="s">
        <v>3424</v>
      </c>
      <c r="B50" s="212" t="s">
        <v>3425</v>
      </c>
      <c r="C50" s="52" t="s">
        <v>3426</v>
      </c>
      <c r="D50" s="212"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3"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3"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3" t="s">
        <v>3427</v>
      </c>
      <c r="J50" s="46"/>
      <c r="K50" s="46"/>
      <c r="L50" s="46"/>
      <c r="M50" s="46"/>
      <c r="N50" s="46"/>
      <c r="O50" s="46"/>
      <c r="P50" s="46"/>
      <c r="Q50" s="46"/>
      <c r="R50" s="46"/>
      <c r="S50" s="46"/>
      <c r="T50" s="46"/>
      <c r="U50" s="46"/>
      <c r="V50" s="46"/>
      <c r="W50" s="46"/>
    </row>
    <row r="51">
      <c r="A51" s="52" t="s">
        <v>3428</v>
      </c>
      <c r="B51" s="212" t="s">
        <v>3429</v>
      </c>
      <c r="C51" s="55" t="s">
        <v>3430</v>
      </c>
      <c r="D51" s="212"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3"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3" t="str">
        <f>IFERROR(__xludf.DUMMYFUNCTION("GOOGLETRANSLATE(A51,""zh-tw"",""de"")"),"Die Ehwaz-Rune tauscht nach dem Werfen mit jedem Gegner, den sie berührt, die Position.")</f>
        <v>Die Ehwaz-Rune tauscht nach dem Werfen mit jedem Gegner, den sie berührt, die Position.</v>
      </c>
      <c r="I51" s="183" t="s">
        <v>3431</v>
      </c>
      <c r="J51" s="46"/>
      <c r="K51" s="46"/>
      <c r="L51" s="46"/>
      <c r="M51" s="46"/>
      <c r="N51" s="46"/>
      <c r="O51" s="46"/>
      <c r="P51" s="46"/>
      <c r="Q51" s="46"/>
      <c r="R51" s="46"/>
      <c r="S51" s="46"/>
      <c r="T51" s="46"/>
      <c r="U51" s="46"/>
      <c r="V51" s="46"/>
      <c r="W51" s="46"/>
    </row>
    <row r="52">
      <c r="A52" s="52" t="s">
        <v>3432</v>
      </c>
      <c r="B52" s="212" t="s">
        <v>3433</v>
      </c>
      <c r="C52" s="52" t="s">
        <v>3434</v>
      </c>
      <c r="D52" s="212" t="s">
        <v>3435</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3"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3"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3" t="s">
        <v>3436</v>
      </c>
      <c r="J52" s="46"/>
      <c r="K52" s="46"/>
      <c r="L52" s="46"/>
      <c r="M52" s="46"/>
      <c r="N52" s="46"/>
      <c r="O52" s="46"/>
      <c r="P52" s="46"/>
      <c r="Q52" s="46"/>
      <c r="R52" s="46"/>
      <c r="S52" s="46"/>
      <c r="T52" s="46"/>
      <c r="U52" s="46"/>
      <c r="V52" s="46"/>
      <c r="W52" s="46"/>
    </row>
    <row r="53">
      <c r="A53" s="52" t="s">
        <v>3437</v>
      </c>
      <c r="B53" s="212" t="str">
        <f>IFERROR(__xludf.DUMMYFUNCTION("GOOGLETRANSLATE(A53,""zh-tw"",""ja"")"),"ジェラ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3" s="52" t="s">
        <v>3438</v>
      </c>
      <c r="D53" s="212"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3"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3"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3" t="s">
        <v>3439</v>
      </c>
      <c r="J53" s="46"/>
      <c r="K53" s="46"/>
      <c r="L53" s="46"/>
      <c r="M53" s="46"/>
      <c r="N53" s="46"/>
      <c r="O53" s="46"/>
      <c r="P53" s="46"/>
      <c r="Q53" s="46"/>
      <c r="R53" s="46"/>
      <c r="S53" s="46"/>
      <c r="T53" s="46"/>
      <c r="U53" s="46"/>
      <c r="V53" s="46"/>
      <c r="W53" s="46"/>
    </row>
    <row r="54">
      <c r="A54" s="52" t="s">
        <v>3440</v>
      </c>
      <c r="B54" s="212" t="str">
        <f>IFERROR(__xludf.DUMMYFUNCTION("GOOGLETRANSLATE(A54,""zh-tw"",""ja"")"),"パース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4" s="52" t="s">
        <v>3441</v>
      </c>
      <c r="D54" s="212"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4" s="213" t="str">
        <f>IFERROR(__xludf.DUMMYFUNCTION("GOOGLETRANSLATE(A54,""zh-tw"",""KO"")"),"퍼스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4" s="55" t="str">
        <f>IFERROR(__xludf.DUMMYFUNCTION("GOOGLETRANSLATE(A54,""zh-tw"",""ru"")"),"При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4" s="213" t="str">
        <f>IFERROR(__xludf.DUMMYFUNCTION("GOOGLETRANSLATE(A54,""zh-tw"",""de"")"),"Die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4" s="183" t="s">
        <v>3442</v>
      </c>
      <c r="J54" s="46"/>
      <c r="K54" s="46"/>
      <c r="L54" s="46"/>
      <c r="M54" s="46"/>
      <c r="N54" s="46"/>
      <c r="O54" s="46"/>
      <c r="P54" s="46"/>
      <c r="Q54" s="46"/>
      <c r="R54" s="46"/>
      <c r="S54" s="46"/>
      <c r="T54" s="46"/>
      <c r="U54" s="46"/>
      <c r="V54" s="46"/>
      <c r="W54" s="46"/>
    </row>
    <row r="55">
      <c r="A55" s="52" t="s">
        <v>3443</v>
      </c>
      <c r="B55" s="212" t="s">
        <v>3444</v>
      </c>
      <c r="C55" s="52" t="s">
        <v>3445</v>
      </c>
      <c r="D55" s="212"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3"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IFERROR(__xludf.DUMMYFUNCTION("GOOGLETRANSLATE(A55,""zh-tw"",""ru"")"),"Большой меч «Рожок мороженого» кормит монстров; каждая атака имеет шанс накопить определённое количество еды. При достижении определённого количества еды монстр насыщается и погибает. (Не тестировалось на боссах.)")</f>
        <v>Большой меч «Рожок мороженого» кормит монстров; каждая атака имеет шанс накопить определённое количество еды. При достижении определённого количества еды монстр насыщается и погибает. (Не тестировалось на боссах.)</v>
      </c>
      <c r="H55" s="213"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3" t="s">
        <v>3446</v>
      </c>
      <c r="J55" s="46"/>
      <c r="K55" s="46"/>
      <c r="L55" s="46"/>
      <c r="M55" s="46"/>
      <c r="N55" s="46"/>
      <c r="O55" s="46"/>
      <c r="P55" s="46"/>
      <c r="Q55" s="46"/>
      <c r="R55" s="46"/>
      <c r="S55" s="46"/>
      <c r="T55" s="46"/>
      <c r="U55" s="46"/>
      <c r="V55" s="46"/>
      <c r="W55" s="46"/>
    </row>
    <row r="56">
      <c r="A56" s="52" t="s">
        <v>3447</v>
      </c>
      <c r="B56" s="212" t="str">
        <f>IFERROR(__xludf.DUMMYFUNCTION("GOOGLETRANSLATE(A56,""zh-tw"",""ja"")"),"ガシャポンが騎士の足元に落ちた場合は、騎士が拾ってくれます。")</f>
        <v>ガシャポンが騎士の足元に落ちた場合は、騎士が拾ってくれます。</v>
      </c>
      <c r="C56" s="52" t="s">
        <v>3448</v>
      </c>
      <c r="D56" s="212"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3"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3" t="str">
        <f>IFERROR(__xludf.DUMMYFUNCTION("GOOGLETRANSLATE(A56,""zh-tw"",""de"")"),"Wenn der Gashapon in die Nähe der Füße des Ritters fällt, wird er ihn für dich aufheben.")</f>
        <v>Wenn der Gashapon in die Nähe der Füße des Ritters fällt, wird er ihn für dich aufheben.</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3" t="str">
        <f>IFERROR(__xludf.DUMMYFUNCTION("GOOGLETRANSLATE(A57,""zh-tw"",""KO"")"),"모든 무기의 기본 최대 내구도는 114514이며, 이는 &lt;한여름 밤의 꿈&gt;에서 따온 것입니다.")</f>
        <v>모든 무기의 기본 최대 내구도는 114514이며, 이는 &lt;한여름 밤의 꿈&gt;에서 따온 것입니다.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3"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3"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3"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elimina la agresividad y puede pers"&amp;"eguir enemigos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elimina la agresividad y puede perseguir enemigos por todo el mapa.
(Algunos efectos aún no están implementados).</v>
      </c>
      <c r="F59" s="213"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3"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3"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3"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3" t="s">
        <v>3467</v>
      </c>
      <c r="J60" s="46"/>
      <c r="K60" s="46"/>
      <c r="L60" s="46"/>
      <c r="M60" s="46"/>
      <c r="N60" s="46"/>
      <c r="O60" s="46"/>
      <c r="P60" s="46"/>
      <c r="Q60" s="46"/>
      <c r="R60" s="46"/>
      <c r="S60" s="46"/>
      <c r="T60" s="46"/>
      <c r="U60" s="46"/>
      <c r="V60" s="46"/>
      <c r="W60" s="46"/>
    </row>
    <row r="61">
      <c r="A61" s="52" t="s">
        <v>3468</v>
      </c>
      <c r="B61" s="212" t="s">
        <v>3469</v>
      </c>
      <c r="C61" s="52" t="s">
        <v>3470</v>
      </c>
      <c r="D61" s="212" t="s">
        <v>3471</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3"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3"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3" t="s">
        <v>3472</v>
      </c>
      <c r="J61" s="46"/>
      <c r="K61" s="46"/>
      <c r="L61" s="46"/>
      <c r="M61" s="46"/>
      <c r="N61" s="46"/>
      <c r="O61" s="46"/>
      <c r="P61" s="46"/>
      <c r="Q61" s="46"/>
      <c r="R61" s="46"/>
      <c r="S61" s="46"/>
      <c r="T61" s="46"/>
      <c r="U61" s="46"/>
      <c r="V61" s="46"/>
      <c r="W61" s="46"/>
    </row>
    <row r="62">
      <c r="A62" s="52" t="s">
        <v>3473</v>
      </c>
      <c r="B62" s="212" t="s">
        <v>3474</v>
      </c>
      <c r="C62" s="52" t="s">
        <v>3475</v>
      </c>
      <c r="D62" s="212"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3" t="str">
        <f>IFERROR(__xludf.DUMMYFUNCTION("GOOGLETRANSLATE(A62,""zh-tw"",""KO"")"),"100%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3"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3" t="s">
        <v>3476</v>
      </c>
      <c r="J62" s="46"/>
      <c r="K62" s="46"/>
      <c r="L62" s="46"/>
      <c r="M62" s="46"/>
      <c r="N62" s="46"/>
      <c r="O62" s="46"/>
      <c r="P62" s="46"/>
      <c r="Q62" s="46"/>
      <c r="R62" s="46"/>
      <c r="S62" s="46"/>
      <c r="T62" s="46"/>
      <c r="U62" s="46"/>
      <c r="V62" s="46"/>
      <c r="W62" s="46"/>
    </row>
    <row r="63">
      <c r="A63" s="52" t="s">
        <v>3477</v>
      </c>
      <c r="B63" s="212" t="s">
        <v>3478</v>
      </c>
      <c r="C63" s="52" t="s">
        <v>3479</v>
      </c>
      <c r="D63" s="212"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3"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3" t="str">
        <f>IFERROR(__xludf.DUMMYFUNCTION("GOOGLETRANSLATE(A63,""zh-tw"",""de"")"),"Meine Schwester lackiert ihre Nägel je nach Wetterlage in verschiedenen Farben.")</f>
        <v>Meine Schwester lackiert ihre Nägel je nach Wetterlage in verschiedenen Farben.</v>
      </c>
      <c r="I63" s="183" t="s">
        <v>3480</v>
      </c>
      <c r="J63" s="46"/>
      <c r="K63" s="46"/>
      <c r="L63" s="46"/>
      <c r="M63" s="46"/>
      <c r="N63" s="46"/>
      <c r="O63" s="46"/>
      <c r="P63" s="46"/>
      <c r="Q63" s="46"/>
      <c r="R63" s="46"/>
      <c r="S63" s="46"/>
      <c r="T63" s="46"/>
      <c r="U63" s="46"/>
      <c r="V63" s="46"/>
      <c r="W63" s="46"/>
    </row>
    <row r="64">
      <c r="A64" s="52" t="s">
        <v>3481</v>
      </c>
      <c r="B64" s="212" t="s">
        <v>3482</v>
      </c>
      <c r="C64" s="52" t="s">
        <v>3483</v>
      </c>
      <c r="D64" s="212"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las Puertas Estelares no se perderán y pueden usarse como almacenamiento temporal.
Sin embargo, depositar demasiados objetos puede causar ralentizaciones, por lo que no se recomienda hacerl"&amp;"o.
El número máximo de objetos que se pueden depositar es de aproximadamente 200 a 600 (esta función aún no está implementada por completo).")</f>
        <v>En el mapa de la Puerta Estelar, los objetos que se depositen en las Puertas Estelares no se perderán y pueden usarse como almacenamiento temporal.
Sin embargo, depositar demasiados objetos puede causar ralentizaciones, por lo que no se recomienda hacerlo.
El número máximo de objetos que se pueden depositar es de aproximadamente 200 a 600 (esta función aún no está implementada por completo).</v>
      </c>
      <c r="F64" s="213"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3"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3" t="s">
        <v>3484</v>
      </c>
      <c r="J64" s="46"/>
      <c r="K64" s="46"/>
      <c r="L64" s="46"/>
      <c r="M64" s="46"/>
      <c r="N64" s="46"/>
      <c r="O64" s="46"/>
      <c r="P64" s="46"/>
      <c r="Q64" s="46"/>
      <c r="R64" s="46"/>
      <c r="S64" s="46"/>
      <c r="T64" s="46"/>
      <c r="U64" s="46"/>
      <c r="V64" s="46"/>
      <c r="W64" s="46"/>
    </row>
    <row r="65">
      <c r="A65" s="52" t="s">
        <v>3485</v>
      </c>
      <c r="B65" s="212" t="s">
        <v>3486</v>
      </c>
      <c r="C65" s="52" t="s">
        <v>3487</v>
      </c>
      <c r="D65" s="212"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3"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3" t="str">
        <f>IFERROR(__xludf.DUMMYFUNCTION("GOOGLETRANSLATE(A65,""zh-tw"",""de"")"),"Die Stimmungsbewertung (0~100) ist nicht sichtbar, lässt sich aber an der üblichen Haltung der jüngeren Schwester ablesen.")</f>
        <v>Die Stimmungsbewertung (0~100) ist nicht sichtbar, lässt sich aber an der üblichen Haltung der jüngeren Schwester ablesen.</v>
      </c>
      <c r="I65" s="183" t="s">
        <v>3488</v>
      </c>
      <c r="J65" s="46"/>
      <c r="K65" s="46"/>
      <c r="L65" s="46"/>
      <c r="M65" s="46"/>
      <c r="N65" s="46"/>
      <c r="O65" s="46"/>
      <c r="P65" s="46"/>
      <c r="Q65" s="46"/>
      <c r="R65" s="46"/>
      <c r="S65" s="46"/>
      <c r="T65" s="46"/>
      <c r="U65" s="46"/>
      <c r="V65" s="46"/>
      <c r="W65" s="46"/>
    </row>
    <row r="66">
      <c r="A66" s="52" t="s">
        <v>3489</v>
      </c>
      <c r="B66" s="212" t="s">
        <v>3490</v>
      </c>
      <c r="C66" s="52" t="s">
        <v>3491</v>
      </c>
      <c r="D66" s="212"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3"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3"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3" t="s">
        <v>3492</v>
      </c>
      <c r="J66" s="46"/>
      <c r="K66" s="46"/>
      <c r="L66" s="46"/>
      <c r="M66" s="46"/>
      <c r="N66" s="46"/>
      <c r="O66" s="46"/>
      <c r="P66" s="46"/>
      <c r="Q66" s="46"/>
      <c r="R66" s="46"/>
      <c r="S66" s="46"/>
      <c r="T66" s="46"/>
      <c r="U66" s="46"/>
      <c r="V66" s="46"/>
      <c r="W66" s="46"/>
    </row>
    <row r="67">
      <c r="A67" s="52" t="s">
        <v>3493</v>
      </c>
      <c r="B67" s="212" t="s">
        <v>3494</v>
      </c>
      <c r="C67" s="52" t="s">
        <v>3495</v>
      </c>
      <c r="D67" s="212"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3"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3"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0" t="s">
        <v>3496</v>
      </c>
      <c r="J67" s="46"/>
      <c r="K67" s="46"/>
      <c r="L67" s="46"/>
      <c r="M67" s="46"/>
      <c r="N67" s="46"/>
      <c r="O67" s="46"/>
      <c r="P67" s="46"/>
      <c r="Q67" s="46"/>
      <c r="R67" s="46"/>
      <c r="S67" s="46"/>
      <c r="T67" s="46"/>
      <c r="U67" s="46"/>
      <c r="V67" s="46"/>
      <c r="W67" s="46"/>
    </row>
    <row r="68">
      <c r="A68" s="52" t="s">
        <v>3497</v>
      </c>
      <c r="B68" s="212" t="str">
        <f>IFERROR(__xludf.DUMMYFUNCTION("GOOGLETRANSLATE(A68,""zh-tw"",""ja"")"),"Shift キーを押すと、歩行姿勢と走行姿勢を切り替えることができます。")</f>
        <v>Shift キーを押すと、歩行姿勢と走行姿勢を切り替えることができます。</v>
      </c>
      <c r="C68" s="52" t="s">
        <v>3498</v>
      </c>
      <c r="D68" s="212"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3"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3" t="str">
        <f>IFERROR(__xludf.DUMMYFUNCTION("GOOGLETRANSLATE(A68,""zh-tw"",""de"")"),"Mit der Shift-Taste kann zwischen Geh- und Laufhaltung umgeschaltet werden.")</f>
        <v>Mit der Shift-Taste kann zwischen Geh- und Laufhaltung umgeschaltet werden.</v>
      </c>
      <c r="I68" s="183" t="s">
        <v>3499</v>
      </c>
      <c r="J68" s="46"/>
      <c r="K68" s="46"/>
      <c r="L68" s="46"/>
      <c r="M68" s="46"/>
      <c r="N68" s="46"/>
      <c r="O68" s="46"/>
      <c r="P68" s="46"/>
      <c r="Q68" s="46"/>
      <c r="R68" s="46"/>
      <c r="S68" s="46"/>
      <c r="T68" s="46"/>
      <c r="U68" s="46"/>
      <c r="V68" s="46"/>
      <c r="W68" s="46"/>
    </row>
    <row r="69">
      <c r="A69" s="52" t="s">
        <v>3500</v>
      </c>
      <c r="B69" s="212" t="s">
        <v>3501</v>
      </c>
      <c r="C69" s="52" t="s">
        <v>3502</v>
      </c>
      <c r="D69" s="212"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como las dagas, cambiarán tras aprender habilidades ninja.
Cuando no haya enemigos a corta distancia, el ataque cambiará automáticamente a un ataque arrojadizo de largo alcance y marcará al enemigo.
«Corte Torbellino» se ha reemplazado po"&amp;"r «Asalto», que permite al usuario teletransportarse instantáneamente tras un enemigo marcado y potenciar el daño de los ataques por la espalda.
La habilidad «Paso Relámpago Katana» activa un breve periodo de sigilo; el primer ataque durante este estado "&amp;"infligirá un daño adicional por la espalda.
*Las dagas aún no están implementadas.*")</f>
        <v>Algunas armas, como las dagas, cambiarán tras aprender habilidades ninja.
Cuando no haya enemigos a corta distancia, el ataque cambiará automáticamente a un ataque arrojadizo de largo alcance y marcará al enemigo.
«Corte Torbellino» se ha reemplazado por «Asalto», que permite al usuario teletransportarse instantáneamente tras un enemigo marcado y potenciar el daño de los ataques por la espalda.
La habilidad «Paso Relámpago Katana» activa un breve periodo de sigilo; el primer ataque durante este estado infligirá un daño adicional por la espalda.
*Las dagas aún no están implementadas.*</v>
      </c>
      <c r="F69" s="213"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3"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3" t="s">
        <v>3503</v>
      </c>
      <c r="J69" s="46"/>
      <c r="K69" s="46"/>
      <c r="L69" s="46"/>
      <c r="M69" s="46"/>
      <c r="N69" s="46"/>
      <c r="O69" s="46"/>
      <c r="P69" s="46"/>
      <c r="Q69" s="46"/>
      <c r="R69" s="46"/>
      <c r="S69" s="46"/>
      <c r="T69" s="46"/>
      <c r="U69" s="46"/>
      <c r="V69" s="46"/>
      <c r="W69" s="46"/>
    </row>
    <row r="70">
      <c r="A70" s="52" t="s">
        <v>3504</v>
      </c>
      <c r="B70" s="212" t="s">
        <v>3505</v>
      </c>
      <c r="C70" s="52" t="s">
        <v>3506</v>
      </c>
      <c r="D70" s="212"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3"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3"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3" t="s">
        <v>3507</v>
      </c>
      <c r="J70" s="46"/>
      <c r="K70" s="46"/>
      <c r="L70" s="46"/>
      <c r="M70" s="46"/>
      <c r="N70" s="46"/>
      <c r="O70" s="46"/>
      <c r="P70" s="46"/>
      <c r="Q70" s="46"/>
      <c r="R70" s="46"/>
      <c r="S70" s="46"/>
      <c r="T70" s="46"/>
      <c r="U70" s="46"/>
      <c r="V70" s="46"/>
      <c r="W70" s="46"/>
    </row>
    <row r="71">
      <c r="A71" s="52" t="s">
        <v>3508</v>
      </c>
      <c r="B71" s="212" t="s">
        <v>3509</v>
      </c>
      <c r="C71" s="52" t="s">
        <v>3510</v>
      </c>
      <c r="D71" s="212"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3"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3" t="str">
        <f>IFERROR(__xludf.DUMMYFUNCTION("GOOGLETRANSLATE(A71,""zh-tw"",""de"")"),"Fertigkeitsanforderungen für jede Phase eines Attentats von hinten: 5.27.60.120.256.530.960.1587.2452.3600")</f>
        <v>Fertigkeitsanforderungen für jede Phase eines Attentats von hinten: 5.27.60.120.256.530.960.1587.2452.3600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3"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3"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3" t="s">
        <v>3515</v>
      </c>
      <c r="J72" s="46"/>
      <c r="K72" s="46"/>
      <c r="L72" s="46"/>
      <c r="M72" s="46"/>
      <c r="N72" s="46"/>
      <c r="O72" s="46"/>
      <c r="P72" s="46"/>
      <c r="Q72" s="46"/>
      <c r="R72" s="46"/>
      <c r="S72" s="46"/>
      <c r="T72" s="46"/>
      <c r="U72" s="46"/>
      <c r="V72" s="46"/>
      <c r="W72" s="46"/>
    </row>
    <row r="73">
      <c r="A73" s="52" t="s">
        <v>3516</v>
      </c>
      <c r="B73" s="212" t="s">
        <v>3517</v>
      </c>
      <c r="C73" s="52" t="s">
        <v>3518</v>
      </c>
      <c r="D73" s="212"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«Eliminación de Olores» se puede dominar acercándose sigilosamente a los enemigos o bailando en el baño. El nivel de maestría no se muestra; consulta el nivel de la habilidad directamente.")</f>
        <v>La habilidad «Eliminación de Olores» se puede dominar acercándose sigilosamente a los enemigos o bailando en el baño. El nivel de maestría no se muestra; consulta el nivel de la habilidad directamente.</v>
      </c>
      <c r="F73" s="213" t="str">
        <f>IFERROR(__xludf.DUMMYFUNCTION("GOOGLETRANSLATE(A73,""zh-tw"",""KO"")"),"""냄새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3" s="55" t="str">
        <f>IFERROR(__xludf.DUMMYFUNCTION("GOOGLETRANSLATE(A73,""zh-tw"",""ru"")"),"Навык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3" s="212" t="s">
        <v>3519</v>
      </c>
      <c r="I73" s="183" t="s">
        <v>3520</v>
      </c>
      <c r="J73" s="46"/>
      <c r="K73" s="46"/>
      <c r="L73" s="46"/>
      <c r="M73" s="46"/>
      <c r="N73" s="46"/>
      <c r="O73" s="46"/>
      <c r="P73" s="46"/>
      <c r="Q73" s="46"/>
      <c r="R73" s="46"/>
      <c r="S73" s="46"/>
      <c r="T73" s="46"/>
      <c r="U73" s="46"/>
      <c r="V73" s="46"/>
      <c r="W73" s="46"/>
    </row>
    <row r="74">
      <c r="A74" s="52" t="s">
        <v>3521</v>
      </c>
      <c r="B74" s="212" t="s">
        <v>3522</v>
      </c>
      <c r="C74" s="52" t="s">
        <v>3523</v>
      </c>
      <c r="D74" s="212"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3"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2" t="s">
        <v>3524</v>
      </c>
      <c r="I74" s="183" t="s">
        <v>3525</v>
      </c>
      <c r="J74" s="46"/>
      <c r="K74" s="46"/>
      <c r="L74" s="46"/>
      <c r="M74" s="46"/>
      <c r="N74" s="46"/>
      <c r="O74" s="46"/>
      <c r="P74" s="46"/>
      <c r="Q74" s="46"/>
      <c r="R74" s="46"/>
      <c r="S74" s="46"/>
      <c r="T74" s="46"/>
      <c r="U74" s="46"/>
      <c r="V74" s="46"/>
      <c r="W74" s="46"/>
    </row>
    <row r="75">
      <c r="A75" s="52" t="s">
        <v>3526</v>
      </c>
      <c r="B75" s="212" t="s">
        <v>3527</v>
      </c>
      <c r="C75" s="52" t="s">
        <v>3528</v>
      </c>
      <c r="D75" s="212"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3" t="str">
        <f>IFERROR(__xludf.DUMMYFUNCTION("GOOGLETRANSLATE(A75,""zh-tw"",""KO"")"),"마찬가지로, 엘리트 음료 자동판매기도 등장할 수 있습니다.")</f>
        <v>마찬가지로, 엘리트 음료 자동판매기도 등장할 수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2" t="s">
        <v>3529</v>
      </c>
      <c r="I75" s="183" t="s">
        <v>3530</v>
      </c>
      <c r="J75" s="46"/>
      <c r="K75" s="46"/>
      <c r="L75" s="46"/>
      <c r="M75" s="46"/>
      <c r="N75" s="46"/>
      <c r="O75" s="46"/>
      <c r="P75" s="46"/>
      <c r="Q75" s="46"/>
      <c r="R75" s="46"/>
      <c r="S75" s="46"/>
      <c r="T75" s="46"/>
      <c r="U75" s="46"/>
      <c r="V75" s="46"/>
      <c r="W75" s="46"/>
    </row>
    <row r="76">
      <c r="A76" s="52" t="s">
        <v>3531</v>
      </c>
      <c r="B76" s="212" t="s">
        <v>3532</v>
      </c>
      <c r="C76" s="52" t="s">
        <v>3533</v>
      </c>
      <c r="D76" s="212"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3"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2" t="s">
        <v>3534</v>
      </c>
      <c r="I76" s="183" t="s">
        <v>3535</v>
      </c>
      <c r="J76" s="46"/>
      <c r="K76" s="46"/>
      <c r="L76" s="46"/>
      <c r="M76" s="46"/>
      <c r="N76" s="46"/>
      <c r="O76" s="46"/>
      <c r="P76" s="46"/>
      <c r="Q76" s="46"/>
      <c r="R76" s="46"/>
      <c r="S76" s="46"/>
      <c r="T76" s="46"/>
      <c r="U76" s="46"/>
      <c r="V76" s="46"/>
      <c r="W76" s="46"/>
    </row>
    <row r="77">
      <c r="A77" s="52" t="s">
        <v>3536</v>
      </c>
      <c r="B77" s="212"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3537</v>
      </c>
      <c r="D77" s="212"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3"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2" t="s">
        <v>3538</v>
      </c>
      <c r="I77" s="183" t="s">
        <v>3539</v>
      </c>
      <c r="J77" s="46"/>
      <c r="K77" s="46"/>
      <c r="L77" s="46"/>
      <c r="M77" s="46"/>
      <c r="N77" s="46"/>
      <c r="O77" s="46"/>
      <c r="P77" s="46"/>
      <c r="Q77" s="46"/>
      <c r="R77" s="46"/>
      <c r="S77" s="46"/>
      <c r="T77" s="46"/>
      <c r="U77" s="46"/>
      <c r="V77" s="46"/>
      <c r="W77" s="46"/>
    </row>
    <row r="78">
      <c r="A78" s="52" t="s">
        <v>3540</v>
      </c>
      <c r="B78" s="212"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3541</v>
      </c>
      <c r="D78" s="212"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IFERROR(__xludf.DUMMYFUNCTION("GOOGLETRANSLATE(A78,""zh-tw"",""es-MX"")"),"Contacto íntimo (puede haber diferentes prácticas después del baño, con distintas prendas de ropa, estados de ánimo y mientras se disfrutan postres). Las partes del cuerpo incluyen: el remolino, la cabeza, el pecho, los genitales, las orejas, la clavícula"&amp;", los pezones y el vientre. Elementos especiales para arrastrar: el remolino, el pecho y los pezones.")</f>
        <v>Contacto íntimo (puede haber diferentes prácticas después del baño, con distintas prendas de ropa, estados de ánimo y mientras se disfrutan postres). Las partes del cuerpo incluyen: el remolino, la cabeza, el pecho, los genitales, las orejas, la clavícula, los pezones y el vientre. Elementos especiales para arrastrar: el remolino, el pecho y los pezones.</v>
      </c>
      <c r="F78" s="213"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8" s="212" t="s">
        <v>3542</v>
      </c>
      <c r="I78" s="183" t="s">
        <v>3543</v>
      </c>
      <c r="J78" s="46"/>
      <c r="K78" s="46"/>
      <c r="L78" s="46"/>
      <c r="M78" s="46"/>
      <c r="N78" s="46"/>
      <c r="O78" s="46"/>
      <c r="P78" s="46"/>
      <c r="Q78" s="46"/>
      <c r="R78" s="46"/>
      <c r="S78" s="46"/>
      <c r="T78" s="46"/>
      <c r="U78" s="46"/>
      <c r="V78" s="46"/>
      <c r="W78" s="46"/>
    </row>
    <row r="79">
      <c r="A79" s="52" t="s">
        <v>3544</v>
      </c>
      <c r="B79" s="212" t="str">
        <f>IFERROR(__xludf.DUMMYFUNCTION("GOOGLETRANSLATE(A79,""zh-tw"",""ja"")"),"素手で背後からの攻撃をすると、隠しスキル「千年死」が発動し、対象の敵を空中に吹き飛ばします。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3545</v>
      </c>
      <c r="D79" s="212"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3"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3"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3" t="s">
        <v>3546</v>
      </c>
      <c r="J79" s="46"/>
      <c r="K79" s="46"/>
      <c r="L79" s="46"/>
      <c r="M79" s="46"/>
      <c r="N79" s="46"/>
      <c r="O79" s="46"/>
      <c r="P79" s="46"/>
      <c r="Q79" s="46"/>
      <c r="R79" s="46"/>
      <c r="S79" s="46"/>
      <c r="T79" s="46"/>
      <c r="U79" s="46"/>
      <c r="V79" s="46"/>
      <c r="W79" s="46"/>
    </row>
    <row r="80">
      <c r="A80" s="55" t="s">
        <v>3547</v>
      </c>
      <c r="B80" s="213" t="s">
        <v>3548</v>
      </c>
      <c r="C80" s="55" t="s">
        <v>3549</v>
      </c>
      <c r="D80" s="212" t="str">
        <f>IFERROR(__xludf.DUMMYFUNCTION("GOOGLETRANSLATE(A80,""zh-tw"",""zh"")"),"牛奶是最好的解辣饮品，能大幅缩短解除辣哭了的持续时间")</f>
        <v>牛奶是最好的解辣饮品，能大幅缩短解除辣哭了的持续时间</v>
      </c>
      <c r="E80" s="101" t="s">
        <v>3550</v>
      </c>
      <c r="F80" s="213"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3" t="s">
        <v>3551</v>
      </c>
      <c r="I80" s="183" t="s">
        <v>3552</v>
      </c>
      <c r="J80" s="46"/>
      <c r="K80" s="46"/>
      <c r="L80" s="46"/>
      <c r="M80" s="46"/>
      <c r="N80" s="46"/>
      <c r="O80" s="46"/>
      <c r="P80" s="46"/>
      <c r="Q80" s="46"/>
      <c r="R80" s="46"/>
      <c r="S80" s="46"/>
      <c r="T80" s="46"/>
      <c r="U80" s="46"/>
      <c r="V80" s="46"/>
      <c r="W80" s="46"/>
    </row>
    <row r="81">
      <c r="A81" s="55" t="s">
        <v>3553</v>
      </c>
      <c r="B81" s="213" t="s">
        <v>3554</v>
      </c>
      <c r="C81" s="55" t="s">
        <v>3555</v>
      </c>
      <c r="D81" s="212"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3556</v>
      </c>
      <c r="F81" s="213" t="str">
        <f>IFERROR(__xludf.DUMMYFUNCTION("GOOGLETRANSLATE(A81,""zh-tw"",""KO"")"),"거실의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81" s="213" t="s">
        <v>3557</v>
      </c>
      <c r="I81" s="216" t="s">
        <v>3558</v>
      </c>
      <c r="J81" s="46"/>
      <c r="K81" s="46"/>
      <c r="L81" s="46"/>
      <c r="M81" s="46"/>
      <c r="N81" s="46"/>
      <c r="O81" s="46"/>
      <c r="P81" s="46"/>
      <c r="Q81" s="46"/>
      <c r="R81" s="46"/>
      <c r="S81" s="46"/>
      <c r="T81" s="46"/>
      <c r="U81" s="46"/>
      <c r="V81" s="46"/>
      <c r="W81" s="46"/>
    </row>
    <row r="82">
      <c r="A82" s="55" t="s">
        <v>3559</v>
      </c>
      <c r="B82" s="213" t="s">
        <v>3560</v>
      </c>
      <c r="C82" s="55" t="s">
        <v>3561</v>
      </c>
      <c r="D82" s="212" t="str">
        <f>IFERROR(__xludf.DUMMYFUNCTION("GOOGLETRANSLATE(A82,""zh-tw"",""zh"")"),"ASABA通常会出现在路边的草莓丛中")</f>
        <v>ASABA通常会出现在路边的草莓丛中</v>
      </c>
      <c r="E82" s="101" t="s">
        <v>3562</v>
      </c>
      <c r="F82" s="213"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3" t="s">
        <v>3563</v>
      </c>
      <c r="I82" s="183" t="s">
        <v>3564</v>
      </c>
      <c r="J82" s="46"/>
      <c r="K82" s="46"/>
      <c r="L82" s="46"/>
      <c r="M82" s="46"/>
      <c r="N82" s="46"/>
      <c r="O82" s="46"/>
      <c r="P82" s="46"/>
      <c r="Q82" s="46"/>
      <c r="R82" s="46"/>
      <c r="S82" s="46"/>
      <c r="T82" s="46"/>
      <c r="U82" s="46"/>
      <c r="V82" s="46"/>
      <c r="W82" s="46"/>
    </row>
    <row r="83">
      <c r="A83" s="55" t="s">
        <v>3565</v>
      </c>
      <c r="B83" s="213" t="s">
        <v>3566</v>
      </c>
      <c r="C83" s="55" t="s">
        <v>3567</v>
      </c>
      <c r="D83" s="212" t="str">
        <f>IFERROR(__xludf.DUMMYFUNCTION("GOOGLETRANSLATE(A83,""zh-tw"",""zh"")"),"""草莓""食材，目前无实际用途，等待未来更新")</f>
        <v>"草莓"食材，目前无实际用途，等待未来更新</v>
      </c>
      <c r="E83" s="101" t="s">
        <v>3568</v>
      </c>
      <c r="F83" s="213" t="str">
        <f>IFERROR(__xludf.DUMMYFUNCTION("GOOGLETRANSLATE(A83,""zh-tw"",""KO"")"),"현재 ""딸기""라는 성분은 실질적으로 사용되지 않습니다. 자세한 내용은 추후 업데이트될 예정입니다.")</f>
        <v>현재 "딸기"라는 성분은 실질적으로 사용되지 않습니다. 자세한 내용은 추후 업데이트될 예정입니다.</v>
      </c>
      <c r="G83" s="55" t="str">
        <f>IFERROR(__xludf.DUMMYFUNCTION("GOOGLETRANSLATE(A83,""zh-tw"",""ru"")"),"Ингредиент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3" s="213" t="s">
        <v>3569</v>
      </c>
      <c r="I83" s="216" t="s">
        <v>3570</v>
      </c>
      <c r="J83" s="46"/>
      <c r="K83" s="46"/>
      <c r="L83" s="46"/>
      <c r="M83" s="46"/>
      <c r="N83" s="46"/>
      <c r="O83" s="46"/>
      <c r="P83" s="46"/>
      <c r="Q83" s="46"/>
      <c r="R83" s="46"/>
      <c r="S83" s="46"/>
      <c r="T83" s="46"/>
      <c r="U83" s="46"/>
      <c r="V83" s="46"/>
      <c r="W83" s="46"/>
    </row>
    <row r="84">
      <c r="A84" s="52" t="s">
        <v>3571</v>
      </c>
      <c r="B84" s="212" t="s">
        <v>3572</v>
      </c>
      <c r="C84" s="52" t="s">
        <v>3573</v>
      </c>
      <c r="D84" s="212" t="str">
        <f>IFERROR(__xludf.DUMMYFUNCTION("GOOGLETRANSLATE(A84,""zh-tw"",""zh"")"),"关于稻草人，目前版本开发出来的击杀方式有：死神塔罗牌与复活术、破颜拳套+猫爪手套、毒刀不断的累积伤害")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4" s="101" t="s">
        <v>3574</v>
      </c>
      <c r="F84" s="213" t="str">
        <f>IFERROR(__xludf.DUMMYFUNCTION("GOOGLETRANSLATE(A84,""zh-tw"",""KO"")"),"허수아비를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4" s="55" t="str">
        <f>IFERROR(__xludf.DUMMYFUNCTION("GOOGLETRANSLATE(A84,""zh-tw"",""ru"")"),"Что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4" s="213" t="s">
        <v>3575</v>
      </c>
      <c r="I84" s="160" t="s">
        <v>3576</v>
      </c>
      <c r="J84" s="46"/>
      <c r="K84" s="46"/>
      <c r="L84" s="46"/>
      <c r="M84" s="46"/>
      <c r="N84" s="46"/>
      <c r="O84" s="46"/>
      <c r="P84" s="46"/>
      <c r="Q84" s="46"/>
      <c r="R84" s="46"/>
      <c r="S84" s="46"/>
      <c r="T84" s="46"/>
      <c r="U84" s="46"/>
      <c r="V84" s="46"/>
      <c r="W84" s="46"/>
    </row>
    <row r="85">
      <c r="A85" s="52" t="s">
        <v>3577</v>
      </c>
      <c r="B85" s="212" t="s">
        <v>3578</v>
      </c>
      <c r="C85" s="52" t="s">
        <v>3579</v>
      </c>
      <c r="D85" s="21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3580</v>
      </c>
      <c r="F85" s="213" t="str">
        <f>IFERROR(__xludf.DUMMYFUNCTION("GOOGLETRANSLATE(A85,""zh-tw"",""KO"")"),"치트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2" t="s">
        <v>3581</v>
      </c>
      <c r="I85" s="160" t="s">
        <v>3582</v>
      </c>
      <c r="J85" s="46"/>
      <c r="K85" s="46"/>
      <c r="L85" s="46"/>
      <c r="M85" s="46"/>
      <c r="N85" s="46"/>
      <c r="O85" s="46"/>
      <c r="P85" s="46"/>
      <c r="Q85" s="46"/>
      <c r="R85" s="46"/>
      <c r="S85" s="46"/>
      <c r="T85" s="46"/>
      <c r="U85" s="46"/>
      <c r="V85" s="46"/>
      <c r="W85" s="46"/>
    </row>
    <row r="86" ht="53.25" customHeight="1">
      <c r="A86" s="55" t="s">
        <v>3583</v>
      </c>
      <c r="B86" s="212"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3584</v>
      </c>
      <c r="D86" s="212"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3"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3" t="s">
        <v>3585</v>
      </c>
      <c r="I86" s="183" t="s">
        <v>3586</v>
      </c>
      <c r="J86" s="46"/>
      <c r="K86" s="46"/>
      <c r="L86" s="46"/>
      <c r="M86" s="46"/>
      <c r="N86" s="46"/>
      <c r="O86" s="46"/>
      <c r="P86" s="46"/>
      <c r="Q86" s="46"/>
      <c r="R86" s="46"/>
      <c r="S86" s="46"/>
      <c r="T86" s="46"/>
      <c r="U86" s="46"/>
      <c r="V86" s="46"/>
      <c r="W86" s="46"/>
    </row>
    <row r="87">
      <c r="A87" s="52" t="s">
        <v>3587</v>
      </c>
      <c r="B87" s="212"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3588</v>
      </c>
      <c r="D87" s="212"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3"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2" t="s">
        <v>3589</v>
      </c>
      <c r="I87" s="183" t="s">
        <v>3590</v>
      </c>
      <c r="J87" s="46"/>
      <c r="K87" s="46"/>
      <c r="L87" s="46"/>
      <c r="M87" s="46"/>
      <c r="N87" s="46"/>
      <c r="O87" s="46"/>
      <c r="P87" s="46"/>
      <c r="Q87" s="46"/>
      <c r="R87" s="46"/>
      <c r="S87" s="46"/>
      <c r="T87" s="46"/>
      <c r="U87" s="46"/>
      <c r="V87" s="46"/>
      <c r="W87" s="46"/>
    </row>
    <row r="88">
      <c r="A88" s="55" t="s">
        <v>3591</v>
      </c>
      <c r="B88" s="212"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3592</v>
      </c>
      <c r="D88" s="212"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3"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3" t="s">
        <v>3593</v>
      </c>
      <c r="I88" s="183" t="s">
        <v>3594</v>
      </c>
      <c r="J88" s="46"/>
      <c r="K88" s="46"/>
      <c r="L88" s="46"/>
      <c r="M88" s="46"/>
      <c r="N88" s="46"/>
      <c r="O88" s="46"/>
      <c r="P88" s="46"/>
      <c r="Q88" s="46"/>
      <c r="R88" s="46"/>
      <c r="S88" s="46"/>
      <c r="T88" s="46"/>
      <c r="U88" s="46"/>
      <c r="V88" s="46"/>
      <c r="W88" s="46"/>
    </row>
    <row r="89">
      <c r="A89" s="55" t="s">
        <v>3595</v>
      </c>
      <c r="B89" s="213" t="s">
        <v>3596</v>
      </c>
      <c r="C89" s="55" t="s">
        <v>3597</v>
      </c>
      <c r="D89" s="212"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3598</v>
      </c>
      <c r="F89" s="213" t="str">
        <f>IFERROR(__xludf.DUMMYFUNCTION("GOOGLETRANSLATE(A89,""zh-tw"",""KO"")"),"뇌물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условия."&amp;" Особые условия, например, течка, будут оцениваться отдельно.")</f>
        <v>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3" t="s">
        <v>3599</v>
      </c>
      <c r="I89" s="183" t="s">
        <v>3600</v>
      </c>
      <c r="J89" s="46"/>
      <c r="K89" s="46"/>
      <c r="L89" s="46"/>
      <c r="M89" s="46"/>
      <c r="N89" s="46"/>
      <c r="O89" s="46"/>
      <c r="P89" s="46"/>
      <c r="Q89" s="46"/>
      <c r="R89" s="46"/>
      <c r="S89" s="46"/>
      <c r="T89" s="46"/>
      <c r="U89" s="46"/>
      <c r="V89" s="46"/>
      <c r="W89" s="46"/>
    </row>
    <row r="90">
      <c r="A90" s="52" t="s">
        <v>3601</v>
      </c>
      <c r="B90" s="212" t="str">
        <f>IFERROR(__xludf.DUMMYFUNCTION("GOOGLETRANSLATE(A90,""zh-tw"",""ja"")"),"「冒険の道：石碑」マップでは、石碑に今までに倒された回数が表示されます。")</f>
        <v>「冒険の道：石碑」マップでは、石碑に今までに倒された回数が表示されます。</v>
      </c>
      <c r="C90" s="52" t="s">
        <v>3602</v>
      </c>
      <c r="D90" s="212"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3"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7" t="s">
        <v>3603</v>
      </c>
      <c r="I90" s="183" t="s">
        <v>3604</v>
      </c>
      <c r="J90" s="46"/>
      <c r="K90" s="46"/>
      <c r="L90" s="46"/>
      <c r="M90" s="46"/>
      <c r="N90" s="46"/>
      <c r="O90" s="46"/>
      <c r="P90" s="46"/>
      <c r="Q90" s="46"/>
      <c r="R90" s="46"/>
      <c r="S90" s="46"/>
      <c r="T90" s="46"/>
      <c r="U90" s="46"/>
      <c r="V90" s="46"/>
      <c r="W90" s="46"/>
    </row>
    <row r="91">
      <c r="A91" s="55" t="s">
        <v>3605</v>
      </c>
      <c r="B91" s="213" t="s">
        <v>3606</v>
      </c>
      <c r="C91" s="55" t="s">
        <v>3607</v>
      </c>
      <c r="D91" s="212"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3"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3" t="s">
        <v>3608</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3"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3"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3" s="213"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3" t="s">
        <v>3618</v>
      </c>
      <c r="J93" s="46"/>
      <c r="K93" s="46"/>
      <c r="L93" s="46"/>
      <c r="M93" s="46"/>
      <c r="N93" s="46"/>
      <c r="O93" s="46"/>
      <c r="P93" s="46"/>
      <c r="Q93" s="46"/>
      <c r="R93" s="46"/>
      <c r="S93" s="46"/>
      <c r="T93" s="46"/>
      <c r="U93" s="46"/>
      <c r="V93" s="46"/>
      <c r="W93" s="46"/>
    </row>
    <row r="94">
      <c r="A94" s="55" t="s">
        <v>3619</v>
      </c>
      <c r="B94" s="213" t="s">
        <v>3620</v>
      </c>
      <c r="C94" s="55" t="s">
        <v>3621</v>
      </c>
      <c r="D94" s="212"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3"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3" t="s">
        <v>3622</v>
      </c>
      <c r="I94" s="183" t="s">
        <v>3623</v>
      </c>
      <c r="J94" s="46"/>
      <c r="K94" s="46"/>
      <c r="L94" s="46"/>
      <c r="M94" s="46"/>
      <c r="N94" s="46"/>
      <c r="O94" s="46"/>
      <c r="P94" s="46"/>
      <c r="Q94" s="46"/>
      <c r="R94" s="46"/>
      <c r="S94" s="46"/>
      <c r="T94" s="46"/>
      <c r="U94" s="46"/>
      <c r="V94" s="46"/>
      <c r="W94" s="46"/>
    </row>
    <row r="95">
      <c r="A95" s="52" t="s">
        <v>3624</v>
      </c>
      <c r="B95" s="212" t="s">
        <v>3625</v>
      </c>
      <c r="C95" s="52" t="s">
        <v>3626</v>
      </c>
      <c r="D95" s="212"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3"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2" t="s">
        <v>3627</v>
      </c>
      <c r="I95" s="183" t="s">
        <v>3628</v>
      </c>
      <c r="J95" s="46"/>
      <c r="K95" s="46"/>
      <c r="L95" s="46"/>
      <c r="M95" s="46"/>
      <c r="N95" s="46"/>
      <c r="O95" s="46"/>
      <c r="P95" s="46"/>
      <c r="Q95" s="46"/>
      <c r="R95" s="46"/>
      <c r="S95" s="46"/>
      <c r="T95" s="46"/>
      <c r="U95" s="46"/>
      <c r="V95" s="46"/>
      <c r="W95" s="46"/>
    </row>
    <row r="96">
      <c r="A96" s="55" t="s">
        <v>3629</v>
      </c>
      <c r="B96" s="212" t="s">
        <v>3630</v>
      </c>
      <c r="C96" s="55" t="s">
        <v>3631</v>
      </c>
      <c r="D96" s="212"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3"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3" t="s">
        <v>3632</v>
      </c>
      <c r="I96" s="183" t="s">
        <v>3633</v>
      </c>
      <c r="J96" s="46"/>
      <c r="K96" s="46"/>
      <c r="L96" s="46"/>
      <c r="M96" s="46"/>
      <c r="N96" s="46"/>
      <c r="O96" s="46"/>
      <c r="P96" s="46"/>
      <c r="Q96" s="46"/>
      <c r="R96" s="46"/>
      <c r="S96" s="46"/>
      <c r="T96" s="46"/>
      <c r="U96" s="46"/>
      <c r="V96" s="46"/>
      <c r="W96" s="46"/>
    </row>
    <row r="97">
      <c r="A97" s="55" t="s">
        <v>3634</v>
      </c>
      <c r="B97" s="213" t="s">
        <v>3635</v>
      </c>
      <c r="C97" s="55" t="s">
        <v>3636</v>
      </c>
      <c r="D97" s="212"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3"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3" t="s">
        <v>3637</v>
      </c>
      <c r="I97" s="183" t="s">
        <v>3638</v>
      </c>
      <c r="J97" s="46"/>
      <c r="K97" s="46"/>
      <c r="L97" s="46"/>
      <c r="M97" s="46"/>
      <c r="N97" s="46"/>
      <c r="O97" s="46"/>
      <c r="P97" s="46"/>
      <c r="Q97" s="46"/>
      <c r="R97" s="46"/>
      <c r="S97" s="46"/>
      <c r="T97" s="46"/>
      <c r="U97" s="46"/>
      <c r="V97" s="46"/>
      <c r="W97" s="46"/>
    </row>
    <row r="98">
      <c r="A98" s="55" t="s">
        <v>3639</v>
      </c>
      <c r="B98" s="213" t="s">
        <v>3640</v>
      </c>
      <c r="C98" s="55" t="s">
        <v>3641</v>
      </c>
      <c r="D98" s="212"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3"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8" s="213" t="s">
        <v>3642</v>
      </c>
      <c r="I98" s="183" t="s">
        <v>3643</v>
      </c>
      <c r="J98" s="46"/>
      <c r="K98" s="46"/>
      <c r="L98" s="46"/>
      <c r="M98" s="46"/>
      <c r="N98" s="46"/>
      <c r="O98" s="46"/>
      <c r="P98" s="46"/>
      <c r="Q98" s="46"/>
      <c r="R98" s="46"/>
      <c r="S98" s="46"/>
      <c r="T98" s="46"/>
      <c r="U98" s="46"/>
      <c r="V98" s="46"/>
      <c r="W98" s="46"/>
    </row>
    <row r="99">
      <c r="A99" s="52" t="s">
        <v>3644</v>
      </c>
      <c r="B99" s="213" t="s">
        <v>3645</v>
      </c>
      <c r="C99" s="55" t="s">
        <v>3646</v>
      </c>
      <c r="D99" s="212"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3" t="str">
        <f>IFERROR(__xludf.DUMMYFUNCTION("GOOGLETRANSLATE(A99,""zh-tw"",""KO"")"),"당근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9" s="213" t="s">
        <v>3647</v>
      </c>
      <c r="I99" s="183" t="s">
        <v>3648</v>
      </c>
      <c r="J99" s="46"/>
      <c r="K99" s="46"/>
      <c r="L99" s="46"/>
      <c r="M99" s="46"/>
      <c r="N99" s="46"/>
      <c r="O99" s="46"/>
      <c r="P99" s="46"/>
      <c r="Q99" s="46"/>
      <c r="R99" s="46"/>
      <c r="S99" s="46"/>
      <c r="T99" s="46"/>
      <c r="U99" s="46"/>
      <c r="V99" s="46"/>
      <c r="W99" s="46"/>
    </row>
    <row r="100">
      <c r="A100" s="52" t="s">
        <v>3649</v>
      </c>
      <c r="B100" s="213" t="s">
        <v>3650</v>
      </c>
      <c r="C100" s="55" t="s">
        <v>3651</v>
      </c>
      <c r="D100" s="212"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3"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3" t="s">
        <v>3652</v>
      </c>
      <c r="I100" s="183" t="s">
        <v>3653</v>
      </c>
      <c r="J100" s="46"/>
      <c r="K100" s="46"/>
      <c r="L100" s="46"/>
      <c r="M100" s="46"/>
      <c r="N100" s="46"/>
      <c r="O100" s="46"/>
      <c r="P100" s="46"/>
      <c r="Q100" s="46"/>
      <c r="R100" s="46"/>
      <c r="S100" s="46"/>
      <c r="T100" s="46"/>
      <c r="U100" s="46"/>
      <c r="V100" s="46"/>
      <c r="W100" s="46"/>
    </row>
    <row r="101">
      <c r="A101" s="52" t="s">
        <v>3654</v>
      </c>
      <c r="B101" s="213" t="s">
        <v>3655</v>
      </c>
      <c r="C101" s="55" t="s">
        <v>3656</v>
      </c>
      <c r="D101" s="212"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3"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3" t="s">
        <v>3657</v>
      </c>
      <c r="I101" s="183" t="s">
        <v>3658</v>
      </c>
      <c r="J101" s="46"/>
      <c r="K101" s="46"/>
      <c r="L101" s="46"/>
      <c r="M101" s="46"/>
      <c r="N101" s="46"/>
      <c r="O101" s="46"/>
      <c r="P101" s="46"/>
      <c r="Q101" s="46"/>
      <c r="R101" s="46"/>
      <c r="S101" s="46"/>
      <c r="T101" s="46"/>
      <c r="U101" s="46"/>
      <c r="V101" s="46"/>
      <c r="W101" s="46"/>
    </row>
    <row r="102">
      <c r="A102" s="52" t="s">
        <v>3659</v>
      </c>
      <c r="B102" s="212" t="s">
        <v>3660</v>
      </c>
      <c r="C102" s="52" t="s">
        <v>3661</v>
      </c>
      <c r="D102" s="212"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esquivará todos los ataques. Al girar, desviará la mayoría de los proyectiles. Buscará la oportunidad de embestir y desatar un ataque devastador que matará al jugador al instante. Si ASA"&amp;"BA te muerde, consumirá tus reservas de comida para recuperar salud; si come comida venenosa, se envenenará.")</f>
        <v>Respecto a "ASABA Desenfrenada": Al saltar de izquierda a derecha, esquivará todos los ataques. Al girar, desviará la mayoría de los proyectiles. Buscará la oportunidad de embestir y desatar un ataque devastador que matará al jugador al instante. Si ASABA te muerde, consumirá tus reservas de comida para recuperar salud; si come comida venenosa, se envenenará.</v>
      </c>
      <c r="F102" s="213" t="str">
        <f>IFERROR(__xludf.DUMMYFUNCTION("GOOGLETRANSLATE(A102,""zh-tw"",""KO"")"),"""난폭한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2" t="s">
        <v>3662</v>
      </c>
      <c r="I102" s="160" t="s">
        <v>3663</v>
      </c>
      <c r="J102" s="46"/>
      <c r="K102" s="46"/>
      <c r="L102" s="46"/>
      <c r="M102" s="46"/>
      <c r="N102" s="46"/>
      <c r="O102" s="46"/>
      <c r="P102" s="46"/>
      <c r="Q102" s="46"/>
      <c r="R102" s="46"/>
      <c r="S102" s="46"/>
      <c r="T102" s="46"/>
      <c r="U102" s="46"/>
      <c r="V102" s="46"/>
      <c r="W102" s="46"/>
    </row>
    <row r="103">
      <c r="A103" s="52" t="s">
        <v>3664</v>
      </c>
      <c r="B103" s="212" t="s">
        <v>3665</v>
      </c>
      <c r="C103" s="52" t="s">
        <v>3666</v>
      </c>
      <c r="D103" s="212"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al guardar el yunque.
3. Atacar el yunque se considera forjar. Cada golpe aumenta la temperatura del arma. Cuanto mayor sea la temperatura del arma, mayor será la probabili"&amp;"dad y el valor de la bonificación de durabilidad obtenida por golpe.
4. Cuando haya enemigos cerca del yunque, se otorgará una bonificación adicional.
5. Cuando el arma se sobrecaliente, humeará. Forjar en este momento no otorgará ningún beneficio; solo"&amp;" puedes esperar a que se enfríe naturalmente.
6. La durabilidad de la forja no superará la durabilidad inicial original del arma. Limitado a:
7. La forja solo se puede usar en tierra.
8. Durante la forja, el arma se recuperará al morir el protagonista;"&amp;" si el jugador se desplaza a otro mapa, deberá regresar al anterior; el arma no se recuperará inmediatamente al resucitar.
9. Actualmente, no hay previsto crear varios Gólems de Hierro.
10. Cuando un arma alcanza altas temperaturas, recuperarla y reforj"&amp;"arla inmediatamente ignora el tiempo de reutilización de la temperatura roja.
11. El martillo de forja se puede usar con bonificaciones de armas como Garra de Gato y Amplificación de Arma para potenciar los efectos de la forja.
12. Cuanto mayor sea el p"&amp;"oder de ataque del personaje, mejor será el efecto de la forja.
13. No se puede invocar un Gólem de Hierro si el personaje está desarmado.
14. En el futuro, se podrá pulir el arma para mejorar sus efectos o añadir otros objetos. ¡Estad atentos!")</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otorgará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desplaza a otro mapa, deberá regresar al anterior; el arma no se recuperará inmediatamente al resucitar.
9. Actualmente, no hay previsto crear varios Gólems de Hierro.
10. Cuando un arma alcanza altas temperaturas, recuperarla y reforjarla inmediatamente ignora el tiempo de reutilización de la temperatura roja.
11. El martillo de forja se puede usar con bonificaciones de armas como Garra de Gato y Amplificación de Arma para potenciar los efectos de la forja.
12. Cuanto mayor sea el poder de ataque del personaje, mejor será el efecto de la forja.
13. No se puede invocar un Gólem de Hierro si el personaje está desarmado.
14. En el futuro, se podrá pulir el arma para mejorar sus efectos o añadir otros objetos. ¡Estad atentos!</v>
      </c>
      <c r="F103" s="213"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"&amp;"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"&amp;"무기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3" s="55" t="str">
        <f>IFERROR(__xludf.DUMMYFUNCTION("GOOGLETRANSLATE(A103,""zh-tw"",""ru"")"),"Объяснение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возвращено после смерти главного героя; если игрок переместится на другую карту, он должен будет вернуться на неё; оружие не будет"&amp;" немедленно возвращено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возвращение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гол"&amp;"ема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возвращено после смерти главного героя; если игрок переместится на другую карту, он должен будет вернуться на неё; оружие не будет немедленно возвращено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возвращение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3" s="213"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3" s="160" t="s">
        <v>3667</v>
      </c>
      <c r="J103" s="46"/>
      <c r="K103" s="46"/>
      <c r="L103" s="46"/>
      <c r="M103" s="46"/>
      <c r="N103" s="46"/>
      <c r="O103" s="46"/>
      <c r="P103" s="46"/>
      <c r="Q103" s="46"/>
      <c r="R103" s="46"/>
      <c r="S103" s="46"/>
      <c r="T103" s="46"/>
      <c r="U103" s="46"/>
      <c r="V103" s="46"/>
      <c r="W103" s="46"/>
    </row>
    <row r="104">
      <c r="A104" s="52" t="s">
        <v>3668</v>
      </c>
      <c r="B104" s="212"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3669</v>
      </c>
      <c r="D104" s="212"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3"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3"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3" t="s">
        <v>3670</v>
      </c>
      <c r="J104" s="46"/>
      <c r="K104" s="46"/>
      <c r="L104" s="46"/>
      <c r="M104" s="46"/>
      <c r="N104" s="46"/>
      <c r="O104" s="46"/>
      <c r="P104" s="46"/>
      <c r="Q104" s="46"/>
      <c r="R104" s="46"/>
      <c r="S104" s="46"/>
      <c r="T104" s="46"/>
      <c r="U104" s="46"/>
      <c r="V104" s="46"/>
      <c r="W104" s="46"/>
    </row>
    <row r="105">
      <c r="A105" s="52" t="s">
        <v>3671</v>
      </c>
      <c r="B105" s="212" t="s">
        <v>3672</v>
      </c>
      <c r="C105" s="52" t="s">
        <v>3673</v>
      </c>
      <c r="D105" s="212"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3"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2" t="s">
        <v>3674</v>
      </c>
      <c r="I105" s="183" t="s">
        <v>3675</v>
      </c>
      <c r="J105" s="46"/>
      <c r="K105" s="46"/>
      <c r="L105" s="46"/>
      <c r="M105" s="46"/>
      <c r="N105" s="46"/>
      <c r="O105" s="46"/>
      <c r="P105" s="46"/>
      <c r="Q105" s="46"/>
      <c r="R105" s="46"/>
      <c r="S105" s="46"/>
      <c r="T105" s="46"/>
      <c r="U105" s="46"/>
      <c r="V105" s="46"/>
      <c r="W105" s="46"/>
    </row>
    <row r="106">
      <c r="A106" s="52" t="s">
        <v>3676</v>
      </c>
      <c r="B106" s="212" t="s">
        <v>3677</v>
      </c>
      <c r="C106" s="52" t="s">
        <v>3678</v>
      </c>
      <c r="D106" s="212"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3"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6" s="212" t="s">
        <v>3679</v>
      </c>
      <c r="I106" s="183" t="s">
        <v>3680</v>
      </c>
      <c r="J106" s="46"/>
      <c r="K106" s="46"/>
      <c r="L106" s="46"/>
      <c r="M106" s="46"/>
      <c r="N106" s="46"/>
      <c r="O106" s="46"/>
      <c r="P106" s="46"/>
      <c r="Q106" s="46"/>
      <c r="R106" s="46"/>
      <c r="S106" s="46"/>
      <c r="T106" s="46"/>
      <c r="U106" s="46"/>
      <c r="V106" s="46"/>
      <c r="W106" s="46"/>
    </row>
    <row r="107">
      <c r="A107" s="52" t="s">
        <v>3681</v>
      </c>
      <c r="B107" s="212" t="s">
        <v>3682</v>
      </c>
      <c r="C107" s="52" t="s">
        <v>3683</v>
      </c>
      <c r="D107" s="212"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3"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2" t="s">
        <v>3684</v>
      </c>
      <c r="I107" s="183" t="s">
        <v>3685</v>
      </c>
      <c r="J107" s="46"/>
      <c r="K107" s="46"/>
      <c r="L107" s="46"/>
      <c r="M107" s="46"/>
      <c r="N107" s="46"/>
      <c r="O107" s="46"/>
      <c r="P107" s="46"/>
      <c r="Q107" s="46"/>
      <c r="R107" s="46"/>
      <c r="S107" s="46"/>
      <c r="T107" s="46"/>
      <c r="U107" s="46"/>
      <c r="V107" s="46"/>
      <c r="W107" s="46"/>
    </row>
    <row r="108">
      <c r="A108" s="52" t="s">
        <v>3686</v>
      </c>
      <c r="B108" s="212" t="s">
        <v>3687</v>
      </c>
      <c r="C108" s="52" t="s">
        <v>3688</v>
      </c>
      <c r="D108" s="212"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obtienen otros objetos además de pece"&amp;"s.
5. Burbujas: Indican la presencia de algo. Atacarlas con bombas o bastones de agua las activará y generará objetos. Tienen mayor probabilidad de generar enemigos o equipo en el agua, y menor probabilidad de generar peces.
6. Atacar directamente la su"&amp;"perficie del río tiene mayor probabilidad de generar objetos solo cuando hay cebo disponible. La variedad de objetos está relativamente equilibrada.
7. Arrojar criaturas vivas al río las convertirá en nutrientes, aumentando la cantidad de objetos que se "&amp;"obtienen, incluyendo tortugas Sakaban liberadas.
8. Pronósticos de TV... Cambiar la variedad de objetos no necesariamente afecta la frecuencia de aparición ni el número de intentos.
9. Todas las bonificaciones de cebo mencionadas son acumulables, y el a"&amp;"lcance de los cebos también se acumula. Si la probabilidad de activación supera el 100%, aparecerán nuevas condiciones para obtener objetos, como el Señor del Río u objetos especiales.
10. Si el área acuática es demasiado pequeña, ciertos tipos de monstr"&amp;"uos (como jefes) no aparecerán. Si la zona de pesca es demasiado pequeña, el jefe huirá inmediatamente.
En resumen: Días lluviosos + mucha suerte + varias máquinas de gashapon con gran cantidad de gotas de agua + río grande + suficiente terreno cerca del"&amp;"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obtienen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alcance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3"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2" t="s">
        <v>3689</v>
      </c>
      <c r="I108" s="160" t="s">
        <v>3690</v>
      </c>
      <c r="J108" s="46"/>
      <c r="K108" s="46"/>
      <c r="L108" s="46"/>
      <c r="M108" s="46"/>
      <c r="N108" s="46"/>
      <c r="O108" s="46"/>
      <c r="P108" s="46"/>
      <c r="Q108" s="46"/>
      <c r="R108" s="46"/>
      <c r="S108" s="46"/>
      <c r="T108" s="46"/>
      <c r="U108" s="46"/>
      <c r="V108" s="46"/>
      <c r="W108" s="46"/>
    </row>
    <row r="109">
      <c r="A109" s="52" t="s">
        <v>3691</v>
      </c>
      <c r="B109" s="212" t="s">
        <v>3692</v>
      </c>
      <c r="C109" s="52" t="s">
        <v>3693</v>
      </c>
      <c r="D109" s="212"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3"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9" s="212" t="s">
        <v>3694</v>
      </c>
      <c r="I109" s="183" t="s">
        <v>3695</v>
      </c>
      <c r="J109" s="46"/>
      <c r="K109" s="46"/>
      <c r="L109" s="46"/>
      <c r="M109" s="46"/>
      <c r="N109" s="46"/>
      <c r="O109" s="46"/>
      <c r="P109" s="46"/>
      <c r="Q109" s="46"/>
      <c r="R109" s="46"/>
      <c r="S109" s="46"/>
      <c r="T109" s="46"/>
      <c r="U109" s="46"/>
      <c r="V109" s="46"/>
      <c r="W109" s="46"/>
    </row>
    <row r="110">
      <c r="A110" s="52" t="s">
        <v>3696</v>
      </c>
      <c r="B110" s="212" t="s">
        <v>3697</v>
      </c>
      <c r="C110" s="52" t="s">
        <v>3698</v>
      </c>
      <c r="D110" s="212"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provocar una explosión de polvo.")</f>
        <v>Cuando la niebla venenosa se encuentra con un ataque de atributo fuego, puede provocar una explosión de polvo.</v>
      </c>
      <c r="F110" s="213" t="str">
        <f>IFERROR(__xludf.DUMMYFUNCTION("GOOGLETRANSLATE(A110,""zh-tw"",""KO"")"),"독성 안개가 화염 속성의 공격을 받으면 먼지 폭발이 발생할 수 있습니다.")</f>
        <v>독성 안개가 화염 속성의 공격을 받으면 먼지 폭발이 발생할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2" t="s">
        <v>3699</v>
      </c>
      <c r="I110" s="183" t="s">
        <v>3700</v>
      </c>
      <c r="J110" s="46"/>
      <c r="K110" s="46"/>
      <c r="L110" s="46"/>
      <c r="M110" s="46"/>
      <c r="N110" s="46"/>
      <c r="O110" s="46"/>
      <c r="P110" s="46"/>
      <c r="Q110" s="46"/>
      <c r="R110" s="46"/>
      <c r="S110" s="46"/>
      <c r="T110" s="46"/>
      <c r="U110" s="46"/>
      <c r="V110" s="46"/>
      <c r="W110" s="46"/>
    </row>
    <row r="111">
      <c r="A111" s="52" t="s">
        <v>3701</v>
      </c>
      <c r="B111" s="212" t="s">
        <v>3702</v>
      </c>
      <c r="C111" s="52" t="s">
        <v>3703</v>
      </c>
      <c r="D111" s="212"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3"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2" t="s">
        <v>3704</v>
      </c>
      <c r="I111" s="183" t="s">
        <v>3705</v>
      </c>
      <c r="J111" s="46"/>
      <c r="K111" s="46"/>
      <c r="L111" s="46"/>
      <c r="M111" s="46"/>
      <c r="N111" s="46"/>
      <c r="O111" s="46"/>
      <c r="P111" s="46"/>
      <c r="Q111" s="46"/>
      <c r="R111" s="46"/>
      <c r="S111" s="46"/>
      <c r="T111" s="46"/>
      <c r="U111" s="46"/>
      <c r="V111" s="46"/>
      <c r="W111" s="46"/>
    </row>
    <row r="112">
      <c r="A112" s="52" t="s">
        <v>3706</v>
      </c>
      <c r="B112" s="212" t="s">
        <v>3707</v>
      </c>
      <c r="C112" s="52" t="s">
        <v>3708</v>
      </c>
      <c r="D112" s="212"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3" t="str">
        <f>IFERROR(__xludf.DUMMYFUNCTION("GOOGLETRANSLATE(A112,""zh-tw"",""KO"")"),"비가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2" t="s">
        <v>3709</v>
      </c>
      <c r="I112" s="183" t="s">
        <v>3710</v>
      </c>
      <c r="J112" s="46"/>
      <c r="K112" s="46"/>
      <c r="L112" s="46"/>
      <c r="M112" s="46"/>
      <c r="N112" s="46"/>
      <c r="O112" s="46"/>
      <c r="P112" s="46"/>
      <c r="Q112" s="46"/>
      <c r="R112" s="46"/>
      <c r="S112" s="46"/>
      <c r="T112" s="46"/>
      <c r="U112" s="46"/>
      <c r="V112" s="46"/>
      <c r="W112" s="46"/>
    </row>
    <row r="113">
      <c r="A113" s="52" t="s">
        <v>3711</v>
      </c>
      <c r="B113" s="212" t="s">
        <v>3712</v>
      </c>
      <c r="C113" s="52" t="s">
        <v>3713</v>
      </c>
      <c r="D113" s="212"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3"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3" s="212"/>
      <c r="I113" s="101" t="s">
        <v>3714</v>
      </c>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219"/>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219"/>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122"/>
      <c r="F1031" s="218"/>
      <c r="G1031" s="122"/>
      <c r="H1031" s="213"/>
      <c r="I1031" s="122"/>
      <c r="J1031" s="46"/>
      <c r="K1031" s="46"/>
      <c r="L1031" s="46"/>
      <c r="M1031" s="46"/>
      <c r="N1031" s="46"/>
      <c r="O1031" s="46"/>
      <c r="P1031" s="46"/>
      <c r="Q1031" s="46"/>
      <c r="R1031" s="46"/>
      <c r="S1031" s="46"/>
      <c r="T1031" s="46"/>
      <c r="U1031" s="46"/>
      <c r="V1031" s="46"/>
      <c r="W1031" s="46"/>
    </row>
    <row r="1032">
      <c r="A1032" s="55"/>
      <c r="B1032" s="213"/>
      <c r="C1032" s="55"/>
      <c r="D1032" s="213"/>
      <c r="E1032" s="122"/>
      <c r="F1032" s="218"/>
      <c r="G1032" s="122"/>
      <c r="H1032" s="213"/>
      <c r="I1032" s="122"/>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3"/>
      <c r="C1035" s="55"/>
      <c r="D1035" s="213"/>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3"/>
      <c r="C1036" s="55"/>
      <c r="D1036" s="213"/>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3715</v>
      </c>
      <c r="B1" s="221"/>
      <c r="C1" s="221"/>
      <c r="D1" s="221"/>
      <c r="E1" s="222"/>
      <c r="F1" s="220"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3716</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3717</v>
      </c>
      <c r="I3" s="229"/>
      <c r="J3" s="228" t="s">
        <v>3718</v>
      </c>
      <c r="M3" s="229"/>
      <c r="N3" s="228" t="s">
        <v>3719</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3720</v>
      </c>
      <c r="B5" s="232"/>
      <c r="C5" s="232"/>
      <c r="D5" s="232"/>
      <c r="E5" s="233"/>
      <c r="F5" s="231" t="str">
        <f>IFERROR(__xludf.DUMMYFUNCTION("GOOGLETRANSLATE(A5,""zh-tw"",""ja"")"),"荒野地域")</f>
        <v>荒野地域</v>
      </c>
      <c r="G5" s="232"/>
      <c r="H5" s="232"/>
      <c r="I5" s="233"/>
      <c r="J5" s="231" t="s">
        <v>3721</v>
      </c>
      <c r="K5" s="232"/>
      <c r="L5" s="232"/>
      <c r="M5" s="233"/>
      <c r="N5" s="234" t="s">
        <v>3722</v>
      </c>
      <c r="O5" s="232"/>
      <c r="P5" s="232"/>
      <c r="Q5" s="232"/>
      <c r="R5" s="233"/>
      <c r="S5" s="235"/>
      <c r="T5" s="232"/>
      <c r="U5" s="232"/>
      <c r="V5" s="233"/>
      <c r="W5" s="236"/>
      <c r="X5" s="236"/>
      <c r="Y5" s="236"/>
      <c r="Z5" s="236"/>
      <c r="AA5" s="236"/>
      <c r="AB5" s="236"/>
    </row>
    <row r="6" ht="53.25" customHeight="1">
      <c r="A6" s="237" t="s">
        <v>723</v>
      </c>
      <c r="B6" s="237" t="s">
        <v>723</v>
      </c>
      <c r="C6" s="237" t="s">
        <v>723</v>
      </c>
      <c r="D6" s="237" t="s">
        <v>723</v>
      </c>
      <c r="E6" s="238" t="s">
        <v>3723</v>
      </c>
      <c r="F6" s="239" t="s">
        <v>723</v>
      </c>
      <c r="G6" s="240" t="s">
        <v>723</v>
      </c>
      <c r="H6" s="241" t="s">
        <v>3724</v>
      </c>
      <c r="I6" s="239" t="s">
        <v>723</v>
      </c>
      <c r="J6" s="242" t="s">
        <v>723</v>
      </c>
      <c r="K6" s="243" t="s">
        <v>723</v>
      </c>
      <c r="L6" s="242" t="s">
        <v>723</v>
      </c>
      <c r="M6" s="244" t="s">
        <v>3725</v>
      </c>
      <c r="N6" s="245" t="s">
        <v>723</v>
      </c>
      <c r="O6" s="245" t="s">
        <v>723</v>
      </c>
      <c r="P6" s="246" t="s">
        <v>723</v>
      </c>
      <c r="Q6" s="246" t="s">
        <v>723</v>
      </c>
      <c r="R6" s="247" t="s">
        <v>3726</v>
      </c>
      <c r="S6" s="248"/>
      <c r="T6" s="249"/>
      <c r="U6" s="249"/>
      <c r="V6" s="250"/>
      <c r="W6" s="251"/>
      <c r="X6" s="251"/>
      <c r="Y6" s="251"/>
      <c r="Z6" s="251"/>
      <c r="AA6" s="251"/>
    </row>
    <row r="7" ht="75.0" customHeight="1">
      <c r="A7" s="237" t="s">
        <v>723</v>
      </c>
      <c r="B7" s="237" t="s">
        <v>723</v>
      </c>
      <c r="C7" s="237" t="s">
        <v>3727</v>
      </c>
      <c r="D7" s="252" t="s">
        <v>3728</v>
      </c>
      <c r="E7" s="253" t="s">
        <v>3729</v>
      </c>
      <c r="F7" s="239" t="str">
        <f>IFERROR(__xludf.DUMMYFUNCTION("GOOGLETRANSLATE(B7,""zh-tw"",""ja"")"),"-")</f>
        <v>-</v>
      </c>
      <c r="G7" s="240" t="s">
        <v>3730</v>
      </c>
      <c r="H7" s="254" t="s">
        <v>3731</v>
      </c>
      <c r="I7" s="239" t="str">
        <f>IFERROR(__xludf.DUMMYFUNCTION("GOOGLETRANSLATE(#REF!,""zh-tw"",""ja"")"),"#REF!")</f>
        <v>#REF!</v>
      </c>
      <c r="J7" s="242" t="str">
        <f>IFERROR(__xludf.DUMMYFUNCTION("GOOGLETRANSLATE(B7,""zh-tw"",""en"")"),"-")</f>
        <v>-</v>
      </c>
      <c r="K7" s="243" t="s">
        <v>3732</v>
      </c>
      <c r="L7" s="242" t="str">
        <f>IFERROR(__xludf.DUMMYFUNCTION("GOOGLETRANSLATE(D7,""zh-tw"",""en"")"),"Development Zone (Mine Pit) -2")</f>
        <v>Development Zone (Mine Pit) -2</v>
      </c>
      <c r="M7" s="255" t="s">
        <v>3733</v>
      </c>
      <c r="N7" s="245" t="s">
        <v>723</v>
      </c>
      <c r="O7" s="245" t="str">
        <f>IFERROR(__xludf.DUMMYFUNCTION("GOOGLETRANSLATE(B7,""zh-tw"",""zh"")"),"-")</f>
        <v>-</v>
      </c>
      <c r="P7" s="246" t="s">
        <v>3734</v>
      </c>
      <c r="Q7" s="256" t="s">
        <v>723</v>
      </c>
      <c r="R7" s="257" t="s">
        <v>3735</v>
      </c>
      <c r="S7" s="248"/>
      <c r="T7" s="249"/>
      <c r="U7" s="249"/>
      <c r="V7" s="258"/>
      <c r="W7" s="251"/>
      <c r="X7" s="251"/>
      <c r="Y7" s="251"/>
      <c r="Z7" s="251"/>
      <c r="AA7" s="251"/>
    </row>
    <row r="8">
      <c r="A8" s="237" t="s">
        <v>723</v>
      </c>
      <c r="B8" s="238" t="s">
        <v>3736</v>
      </c>
      <c r="C8" s="238" t="s">
        <v>3737</v>
      </c>
      <c r="D8" s="238" t="s">
        <v>3738</v>
      </c>
      <c r="E8" s="237" t="s">
        <v>3739</v>
      </c>
      <c r="F8" s="241" t="s">
        <v>3740</v>
      </c>
      <c r="G8" s="241" t="s">
        <v>3741</v>
      </c>
      <c r="H8" s="239" t="s">
        <v>3742</v>
      </c>
      <c r="I8" s="239" t="str">
        <f>IFERROR(__xludf.DUMMYFUNCTION("GOOGLETRANSLATE(#REF!,""zh-tw"",""ja"")"),"#REF!")</f>
        <v>#REF!</v>
      </c>
      <c r="J8" s="244" t="s">
        <v>3743</v>
      </c>
      <c r="K8" s="244" t="s">
        <v>3744</v>
      </c>
      <c r="L8" s="242" t="s">
        <v>3745</v>
      </c>
      <c r="M8" s="242" t="s">
        <v>3745</v>
      </c>
      <c r="N8" s="245" t="s">
        <v>723</v>
      </c>
      <c r="O8" s="247" t="s">
        <v>3746</v>
      </c>
      <c r="P8" s="247" t="s">
        <v>3747</v>
      </c>
      <c r="Q8" s="247" t="s">
        <v>3748</v>
      </c>
      <c r="R8" s="245" t="s">
        <v>3749</v>
      </c>
      <c r="S8" s="259"/>
      <c r="T8" s="249"/>
      <c r="U8" s="249"/>
      <c r="V8" s="249"/>
      <c r="W8" s="251"/>
      <c r="X8" s="251"/>
      <c r="Y8" s="251"/>
      <c r="Z8" s="251"/>
      <c r="AA8" s="251"/>
    </row>
    <row r="9">
      <c r="A9" s="237" t="s">
        <v>723</v>
      </c>
      <c r="B9" s="238" t="s">
        <v>3750</v>
      </c>
      <c r="C9" s="238" t="s">
        <v>3751</v>
      </c>
      <c r="D9" s="252" t="s">
        <v>723</v>
      </c>
      <c r="E9" s="260" t="s">
        <v>3752</v>
      </c>
      <c r="F9" s="241" t="s">
        <v>3753</v>
      </c>
      <c r="G9" s="241" t="s">
        <v>3754</v>
      </c>
      <c r="H9" s="241" t="s">
        <v>3755</v>
      </c>
      <c r="I9" s="239" t="s">
        <v>723</v>
      </c>
      <c r="J9" s="244" t="s">
        <v>3756</v>
      </c>
      <c r="K9" s="244" t="s">
        <v>3757</v>
      </c>
      <c r="L9" s="243" t="s">
        <v>723</v>
      </c>
      <c r="M9" s="244" t="s">
        <v>3758</v>
      </c>
      <c r="N9" s="245" t="s">
        <v>723</v>
      </c>
      <c r="O9" s="247" t="s">
        <v>3759</v>
      </c>
      <c r="P9" s="247" t="s">
        <v>3760</v>
      </c>
      <c r="Q9" s="246" t="s">
        <v>723</v>
      </c>
      <c r="R9" s="247" t="s">
        <v>3761</v>
      </c>
      <c r="S9" s="248"/>
      <c r="T9" s="249"/>
      <c r="U9" s="249"/>
      <c r="V9" s="249"/>
      <c r="W9" s="251"/>
      <c r="X9" s="251"/>
      <c r="Y9" s="251"/>
      <c r="Z9" s="251"/>
      <c r="AA9" s="251"/>
    </row>
    <row r="10" ht="60.0" customHeight="1">
      <c r="A10" s="237" t="s">
        <v>723</v>
      </c>
      <c r="B10" s="238" t="s">
        <v>3762</v>
      </c>
      <c r="C10" s="261" t="s">
        <v>3763</v>
      </c>
      <c r="D10" s="238" t="s">
        <v>3764</v>
      </c>
      <c r="E10" s="238" t="s">
        <v>3765</v>
      </c>
      <c r="F10" s="241" t="s">
        <v>3766</v>
      </c>
      <c r="G10" s="262" t="s">
        <v>3767</v>
      </c>
      <c r="H10" s="241" t="s">
        <v>3768</v>
      </c>
      <c r="I10" s="240" t="s">
        <v>723</v>
      </c>
      <c r="J10" s="244" t="s">
        <v>3769</v>
      </c>
      <c r="K10" s="263" t="s">
        <v>3770</v>
      </c>
      <c r="L10" s="244" t="s">
        <v>3771</v>
      </c>
      <c r="M10" s="244" t="s">
        <v>3772</v>
      </c>
      <c r="N10" s="245" t="s">
        <v>723</v>
      </c>
      <c r="O10" s="264" t="s">
        <v>3773</v>
      </c>
      <c r="P10" s="265" t="s">
        <v>3774</v>
      </c>
      <c r="Q10" s="247" t="s">
        <v>3775</v>
      </c>
      <c r="R10" s="266" t="s">
        <v>3776</v>
      </c>
      <c r="S10" s="248"/>
      <c r="T10" s="249"/>
      <c r="U10" s="249"/>
      <c r="V10" s="249"/>
      <c r="W10" s="267"/>
      <c r="X10" s="267"/>
      <c r="Y10" s="267"/>
      <c r="Z10" s="267"/>
      <c r="AA10" s="267"/>
    </row>
    <row r="11" ht="65.25" customHeight="1">
      <c r="A11" s="237" t="s">
        <v>723</v>
      </c>
      <c r="B11" s="238" t="s">
        <v>3777</v>
      </c>
      <c r="C11" s="268"/>
      <c r="D11" s="253" t="s">
        <v>3778</v>
      </c>
      <c r="E11" s="253" t="s">
        <v>3779</v>
      </c>
      <c r="F11" s="241" t="s">
        <v>3780</v>
      </c>
      <c r="G11" s="268"/>
      <c r="H11" s="241" t="s">
        <v>3781</v>
      </c>
      <c r="I11" s="241" t="s">
        <v>3782</v>
      </c>
      <c r="J11" s="244" t="s">
        <v>3783</v>
      </c>
      <c r="K11" s="268"/>
      <c r="L11" s="244" t="s">
        <v>3784</v>
      </c>
      <c r="M11" s="244" t="s">
        <v>3785</v>
      </c>
      <c r="N11" s="245" t="s">
        <v>723</v>
      </c>
      <c r="O11" s="247" t="s">
        <v>3786</v>
      </c>
      <c r="P11" s="268"/>
      <c r="Q11" s="247" t="s">
        <v>3787</v>
      </c>
      <c r="R11" s="247" t="s">
        <v>3788</v>
      </c>
      <c r="S11" s="248"/>
      <c r="T11" s="249"/>
      <c r="U11" s="249"/>
      <c r="V11" s="249"/>
      <c r="W11" s="269"/>
      <c r="X11" s="269"/>
      <c r="Y11" s="269"/>
      <c r="Z11" s="269"/>
      <c r="AA11" s="269"/>
    </row>
    <row r="12">
      <c r="A12" s="237" t="s">
        <v>723</v>
      </c>
      <c r="B12" s="238" t="s">
        <v>3789</v>
      </c>
      <c r="C12" s="237" t="s">
        <v>3790</v>
      </c>
      <c r="D12" s="238" t="s">
        <v>3791</v>
      </c>
      <c r="E12" s="253" t="s">
        <v>3792</v>
      </c>
      <c r="F12" s="241" t="s">
        <v>3793</v>
      </c>
      <c r="G12" s="239" t="s">
        <v>3794</v>
      </c>
      <c r="H12" s="239" t="str">
        <f>IFERROR(__xludf.DUMMYFUNCTION("GOOGLETRANSLATE(D12,""zh-tw"",""ja"")"),"▲ ハンターズロッジ R69
▼")</f>
        <v>▲ ハンターズロッジ R69
▼</v>
      </c>
      <c r="I12" s="239" t="str">
        <f>IFERROR(__xludf.DUMMYFUNCTION("GOOGLETRANSLATE(#REF!,""zh-tw"",""ja"")"),"#REF!")</f>
        <v>#REF!</v>
      </c>
      <c r="J12" s="244" t="s">
        <v>3795</v>
      </c>
      <c r="K12" s="242" t="s">
        <v>3796</v>
      </c>
      <c r="L12" s="242" t="s">
        <v>3797</v>
      </c>
      <c r="M12" s="244" t="s">
        <v>3798</v>
      </c>
      <c r="N12" s="245" t="s">
        <v>723</v>
      </c>
      <c r="O12" s="247" t="s">
        <v>3799</v>
      </c>
      <c r="P12" s="245" t="str">
        <f>IFERROR(__xludf.DUMMYFUNCTION("GOOGLETRANSLATE(C12,""zh-tw"",""zh"")"),"提前回家
R1")</f>
        <v>提前回家
R1</v>
      </c>
      <c r="Q12" s="247" t="s">
        <v>3800</v>
      </c>
      <c r="R12" s="247" t="s">
        <v>3801</v>
      </c>
      <c r="S12" s="248"/>
      <c r="T12" s="249"/>
      <c r="U12" s="249"/>
      <c r="V12" s="249"/>
      <c r="W12" s="251"/>
      <c r="X12" s="251"/>
      <c r="Y12" s="251"/>
      <c r="Z12" s="251"/>
      <c r="AA12" s="251"/>
    </row>
    <row r="13">
      <c r="A13" s="237" t="s">
        <v>723</v>
      </c>
      <c r="B13" s="238" t="s">
        <v>3802</v>
      </c>
      <c r="C13" s="237" t="s">
        <v>3803</v>
      </c>
      <c r="D13" s="238" t="s">
        <v>3804</v>
      </c>
      <c r="E13" s="237" t="s">
        <v>723</v>
      </c>
      <c r="F13" s="240"/>
      <c r="G13" s="239"/>
      <c r="H13" s="239"/>
      <c r="I13" s="239"/>
      <c r="J13" s="244" t="s">
        <v>3805</v>
      </c>
      <c r="K13" s="242" t="s">
        <v>3806</v>
      </c>
      <c r="L13" s="242" t="s">
        <v>3807</v>
      </c>
      <c r="M13" s="242"/>
      <c r="N13" s="245" t="s">
        <v>723</v>
      </c>
      <c r="O13" s="247" t="s">
        <v>3808</v>
      </c>
      <c r="P13" s="245" t="s">
        <v>3809</v>
      </c>
      <c r="Q13" s="247" t="s">
        <v>3810</v>
      </c>
      <c r="R13" s="245" t="s">
        <v>723</v>
      </c>
      <c r="S13" s="248"/>
      <c r="T13" s="249"/>
      <c r="U13" s="249"/>
      <c r="V13" s="270"/>
      <c r="W13" s="251"/>
      <c r="X13" s="251"/>
      <c r="Y13" s="251"/>
      <c r="Z13" s="251"/>
      <c r="AA13" s="251"/>
    </row>
    <row r="14">
      <c r="A14" s="237" t="s">
        <v>723</v>
      </c>
      <c r="B14" s="238" t="s">
        <v>3811</v>
      </c>
      <c r="C14" s="237" t="s">
        <v>2744</v>
      </c>
      <c r="D14" s="237" t="s">
        <v>723</v>
      </c>
      <c r="E14" s="237" t="s">
        <v>723</v>
      </c>
      <c r="F14" s="240"/>
      <c r="G14" s="239"/>
      <c r="H14" s="239"/>
      <c r="I14" s="239"/>
      <c r="J14" s="244" t="s">
        <v>3812</v>
      </c>
      <c r="K14" s="242" t="s">
        <v>2750</v>
      </c>
      <c r="L14" s="242"/>
      <c r="M14" s="242"/>
      <c r="N14" s="245" t="s">
        <v>723</v>
      </c>
      <c r="O14" s="247" t="s">
        <v>3813</v>
      </c>
      <c r="P14" s="245" t="s">
        <v>3814</v>
      </c>
      <c r="Q14" s="245" t="s">
        <v>723</v>
      </c>
      <c r="R14" s="245" t="s">
        <v>723</v>
      </c>
      <c r="S14" s="271"/>
      <c r="T14" s="249"/>
      <c r="U14" s="270"/>
      <c r="V14" s="270"/>
      <c r="W14" s="251"/>
      <c r="X14" s="251"/>
      <c r="Y14" s="251"/>
      <c r="Z14" s="251"/>
      <c r="AA14" s="251"/>
    </row>
    <row r="15">
      <c r="A15" s="237" t="s">
        <v>3815</v>
      </c>
      <c r="B15" s="238" t="s">
        <v>3816</v>
      </c>
      <c r="C15" s="237" t="s">
        <v>3817</v>
      </c>
      <c r="D15" s="237" t="s">
        <v>723</v>
      </c>
      <c r="E15" s="237" t="s">
        <v>723</v>
      </c>
      <c r="F15" s="240"/>
      <c r="G15" s="239"/>
      <c r="H15" s="239"/>
      <c r="I15" s="239"/>
      <c r="J15" s="244" t="s">
        <v>3818</v>
      </c>
      <c r="K15" s="242" t="s">
        <v>3819</v>
      </c>
      <c r="L15" s="242"/>
      <c r="M15" s="242"/>
      <c r="N15" s="245" t="s">
        <v>3820</v>
      </c>
      <c r="O15" s="247" t="s">
        <v>3821</v>
      </c>
      <c r="P15" s="245" t="s">
        <v>3820</v>
      </c>
      <c r="Q15" s="245" t="s">
        <v>723</v>
      </c>
      <c r="R15" s="245" t="s">
        <v>723</v>
      </c>
      <c r="S15" s="248"/>
      <c r="T15" s="249"/>
      <c r="U15" s="270"/>
      <c r="V15" s="270"/>
      <c r="W15" s="251"/>
      <c r="X15" s="251"/>
      <c r="Y15" s="251"/>
      <c r="Z15" s="251"/>
      <c r="AA15" s="251"/>
    </row>
    <row r="16">
      <c r="A16" s="231" t="s">
        <v>3727</v>
      </c>
      <c r="B16" s="232"/>
      <c r="C16" s="232"/>
      <c r="D16" s="232"/>
      <c r="E16" s="233"/>
      <c r="F16" s="231" t="str">
        <f>IFERROR(__xludf.DUMMYFUNCTION("GOOGLETRANSLATE(A16,""zh-tw"",""ja"")"),"遺跡エリア")</f>
        <v>遺跡エリア</v>
      </c>
      <c r="G16" s="232"/>
      <c r="H16" s="232"/>
      <c r="I16" s="233"/>
      <c r="J16" s="231" t="s">
        <v>3822</v>
      </c>
      <c r="K16" s="232"/>
      <c r="L16" s="232"/>
      <c r="M16" s="233"/>
      <c r="N16" s="231" t="s">
        <v>3734</v>
      </c>
      <c r="O16" s="232"/>
      <c r="P16" s="232"/>
      <c r="Q16" s="232"/>
      <c r="R16" s="233"/>
      <c r="S16" s="272"/>
      <c r="T16" s="226"/>
      <c r="U16" s="226"/>
      <c r="V16" s="227"/>
      <c r="W16" s="273"/>
      <c r="X16" s="273"/>
      <c r="Y16" s="273"/>
      <c r="Z16" s="273"/>
      <c r="AA16" s="273"/>
      <c r="AB16" s="273"/>
    </row>
    <row r="17">
      <c r="A17" s="237" t="s">
        <v>723</v>
      </c>
      <c r="B17" s="237" t="s">
        <v>723</v>
      </c>
      <c r="C17" s="238" t="s">
        <v>3823</v>
      </c>
      <c r="D17" s="237" t="s">
        <v>723</v>
      </c>
      <c r="E17" s="237" t="s">
        <v>723</v>
      </c>
      <c r="F17" s="239"/>
      <c r="G17" s="274" t="s">
        <v>3824</v>
      </c>
      <c r="H17" s="275"/>
      <c r="I17" s="275"/>
      <c r="J17" s="276"/>
      <c r="K17" s="277" t="s">
        <v>3825</v>
      </c>
      <c r="L17" s="276"/>
      <c r="M17" s="276"/>
      <c r="N17" s="278" t="s">
        <v>723</v>
      </c>
      <c r="O17" s="278" t="s">
        <v>723</v>
      </c>
      <c r="P17" s="279" t="s">
        <v>3826</v>
      </c>
      <c r="Q17" s="278" t="s">
        <v>723</v>
      </c>
      <c r="R17" s="278" t="s">
        <v>723</v>
      </c>
      <c r="S17" s="280"/>
      <c r="T17" s="281"/>
      <c r="U17" s="270"/>
      <c r="V17" s="270"/>
      <c r="W17" s="282"/>
      <c r="X17" s="282"/>
      <c r="Y17" s="282"/>
      <c r="Z17" s="282"/>
      <c r="AA17" s="282"/>
      <c r="AB17" s="282"/>
    </row>
    <row r="18">
      <c r="A18" s="237" t="s">
        <v>723</v>
      </c>
      <c r="B18" s="238" t="s">
        <v>3827</v>
      </c>
      <c r="C18" s="238" t="s">
        <v>3828</v>
      </c>
      <c r="D18" s="237" t="s">
        <v>723</v>
      </c>
      <c r="E18" s="237" t="s">
        <v>723</v>
      </c>
      <c r="F18" s="241" t="s">
        <v>3829</v>
      </c>
      <c r="G18" s="241" t="s">
        <v>3830</v>
      </c>
      <c r="H18" s="275"/>
      <c r="I18" s="275"/>
      <c r="J18" s="283" t="s">
        <v>3831</v>
      </c>
      <c r="K18" s="284" t="s">
        <v>3832</v>
      </c>
      <c r="L18" s="276"/>
      <c r="M18" s="276"/>
      <c r="N18" s="278" t="s">
        <v>723</v>
      </c>
      <c r="O18" s="285" t="s">
        <v>3833</v>
      </c>
      <c r="P18" s="285" t="s">
        <v>3834</v>
      </c>
      <c r="Q18" s="278" t="s">
        <v>723</v>
      </c>
      <c r="R18" s="278" t="s">
        <v>723</v>
      </c>
      <c r="S18" s="259"/>
      <c r="T18" s="249"/>
      <c r="U18" s="270"/>
      <c r="V18" s="270"/>
      <c r="W18" s="282"/>
      <c r="X18" s="282"/>
      <c r="Y18" s="282"/>
      <c r="Z18" s="282"/>
      <c r="AA18" s="282"/>
      <c r="AB18" s="282"/>
    </row>
    <row r="19">
      <c r="A19" s="237" t="s">
        <v>723</v>
      </c>
      <c r="B19" s="237" t="s">
        <v>723</v>
      </c>
      <c r="C19" s="286" t="s">
        <v>3835</v>
      </c>
      <c r="D19" s="237" t="s">
        <v>3836</v>
      </c>
      <c r="E19" s="237" t="s">
        <v>723</v>
      </c>
      <c r="F19" s="239"/>
      <c r="G19" s="287" t="s">
        <v>3837</v>
      </c>
      <c r="H19" s="275"/>
      <c r="I19" s="275"/>
      <c r="J19" s="276"/>
      <c r="K19" s="288" t="s">
        <v>3838</v>
      </c>
      <c r="L19" s="276"/>
      <c r="M19" s="276"/>
      <c r="N19" s="278" t="s">
        <v>723</v>
      </c>
      <c r="O19" s="278" t="s">
        <v>723</v>
      </c>
      <c r="P19" s="289" t="s">
        <v>3839</v>
      </c>
      <c r="Q19" s="278" t="s">
        <v>3840</v>
      </c>
      <c r="R19" s="278" t="s">
        <v>723</v>
      </c>
      <c r="S19" s="280"/>
      <c r="T19" s="258"/>
      <c r="U19" s="270"/>
      <c r="V19" s="270"/>
      <c r="W19" s="282"/>
      <c r="X19" s="282"/>
      <c r="Y19" s="282"/>
      <c r="Z19" s="282"/>
      <c r="AA19" s="282"/>
      <c r="AB19" s="282"/>
    </row>
    <row r="20">
      <c r="A20" s="237" t="s">
        <v>723</v>
      </c>
      <c r="B20" s="237" t="s">
        <v>723</v>
      </c>
      <c r="C20" s="286" t="s">
        <v>3841</v>
      </c>
      <c r="D20" s="238" t="s">
        <v>3842</v>
      </c>
      <c r="E20" s="237" t="s">
        <v>723</v>
      </c>
      <c r="F20" s="239"/>
      <c r="G20" s="287" t="s">
        <v>3843</v>
      </c>
      <c r="H20" s="241" t="s">
        <v>3844</v>
      </c>
      <c r="I20" s="275"/>
      <c r="J20" s="276"/>
      <c r="K20" s="290" t="s">
        <v>3845</v>
      </c>
      <c r="L20" s="244" t="s">
        <v>3846</v>
      </c>
      <c r="M20" s="276"/>
      <c r="N20" s="278" t="s">
        <v>723</v>
      </c>
      <c r="O20" s="278" t="s">
        <v>723</v>
      </c>
      <c r="P20" s="291" t="s">
        <v>3847</v>
      </c>
      <c r="Q20" s="285" t="s">
        <v>3848</v>
      </c>
      <c r="R20" s="278" t="s">
        <v>723</v>
      </c>
      <c r="S20" s="280"/>
      <c r="T20" s="249"/>
      <c r="U20" s="250"/>
      <c r="V20" s="270"/>
      <c r="W20" s="282"/>
      <c r="X20" s="282"/>
      <c r="Y20" s="282"/>
      <c r="Z20" s="282"/>
      <c r="AA20" s="282"/>
      <c r="AB20" s="282"/>
    </row>
    <row r="21">
      <c r="A21" s="292" t="s">
        <v>723</v>
      </c>
      <c r="B21" s="292" t="s">
        <v>723</v>
      </c>
      <c r="C21" s="238" t="s">
        <v>3849</v>
      </c>
      <c r="D21" s="237" t="s">
        <v>723</v>
      </c>
      <c r="E21" s="237" t="s">
        <v>723</v>
      </c>
      <c r="F21" s="239"/>
      <c r="G21" s="241" t="s">
        <v>3850</v>
      </c>
      <c r="H21" s="275"/>
      <c r="I21" s="275"/>
      <c r="J21" s="276"/>
      <c r="K21" s="284" t="s">
        <v>3851</v>
      </c>
      <c r="L21" s="276"/>
      <c r="M21" s="276"/>
      <c r="N21" s="278" t="s">
        <v>723</v>
      </c>
      <c r="O21" s="278" t="s">
        <v>723</v>
      </c>
      <c r="P21" s="285" t="s">
        <v>3852</v>
      </c>
      <c r="Q21" s="278" t="s">
        <v>723</v>
      </c>
      <c r="R21" s="278" t="s">
        <v>723</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212</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213</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3853</v>
      </c>
      <c r="AB1" s="300"/>
      <c r="AC1" s="300"/>
      <c r="AD1" s="300"/>
      <c r="AE1" s="300"/>
    </row>
    <row r="2" ht="41.25" customHeight="1">
      <c r="AB2" s="300"/>
      <c r="AC2" s="300"/>
      <c r="AD2" s="300"/>
      <c r="AE2" s="300"/>
    </row>
    <row r="3" ht="88.5" customHeight="1">
      <c r="A3" s="70" t="s">
        <v>3854</v>
      </c>
      <c r="B3" s="301" t="s">
        <v>3855</v>
      </c>
      <c r="C3" s="302" t="s">
        <v>3856</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3857</v>
      </c>
      <c r="H3" s="301" t="s">
        <v>3858</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3859</v>
      </c>
      <c r="W3" s="14" t="s">
        <v>3860</v>
      </c>
      <c r="X3" s="309" t="s">
        <v>3861</v>
      </c>
      <c r="Y3" s="145" t="s">
        <v>3862</v>
      </c>
      <c r="Z3" s="310" t="s">
        <v>3863</v>
      </c>
      <c r="AA3" s="311" t="s">
        <v>3864</v>
      </c>
      <c r="AB3" s="312"/>
      <c r="AC3" s="312"/>
      <c r="AD3" s="312"/>
      <c r="AE3" s="312"/>
    </row>
    <row r="4">
      <c r="A4" s="148" t="s">
        <v>3865</v>
      </c>
      <c r="B4" s="161" t="s">
        <v>3866</v>
      </c>
      <c r="C4" s="313" t="s">
        <v>723</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3867</v>
      </c>
      <c r="H4" s="317" t="s">
        <v>3868</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3869</v>
      </c>
      <c r="W4" s="317" t="s">
        <v>3870</v>
      </c>
      <c r="X4" s="319" t="s">
        <v>3871</v>
      </c>
      <c r="Y4" s="154" t="s">
        <v>3872</v>
      </c>
      <c r="Z4" s="164" t="s">
        <v>3873</v>
      </c>
      <c r="AA4" s="320" t="s">
        <v>723</v>
      </c>
      <c r="AB4" s="17"/>
      <c r="AC4" s="17"/>
      <c r="AD4" s="17"/>
      <c r="AE4" s="17"/>
    </row>
    <row r="5">
      <c r="A5" s="148" t="s">
        <v>3874</v>
      </c>
      <c r="B5" s="161" t="s">
        <v>3875</v>
      </c>
      <c r="C5" s="313" t="s">
        <v>723</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3876</v>
      </c>
      <c r="H5" s="317" t="s">
        <v>3877</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3878</v>
      </c>
      <c r="Q5" s="161" t="s">
        <v>3879</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3880</v>
      </c>
      <c r="W5" s="317" t="s">
        <v>3881</v>
      </c>
      <c r="X5" s="319" t="s">
        <v>3871</v>
      </c>
      <c r="Y5" s="154" t="s">
        <v>3882</v>
      </c>
      <c r="Z5" s="164" t="s">
        <v>3883</v>
      </c>
      <c r="AA5" s="320" t="s">
        <v>723</v>
      </c>
      <c r="AB5" s="17"/>
      <c r="AC5" s="17"/>
      <c r="AD5" s="17"/>
      <c r="AE5" s="17"/>
    </row>
    <row r="6">
      <c r="A6" s="148" t="s">
        <v>3884</v>
      </c>
      <c r="B6" s="161" t="s">
        <v>3885</v>
      </c>
      <c r="C6" s="313" t="s">
        <v>723</v>
      </c>
      <c r="D6" s="314" t="str">
        <f>IFERROR(__xludf.DUMMYFUNCTION("GOOGLETRANSLATE(A6,""zh-tw"",""ja"")"),"猫スライム")</f>
        <v>猫スライム</v>
      </c>
      <c r="E6" s="317" t="s">
        <v>3886</v>
      </c>
      <c r="F6" s="316" t="str">
        <f>IFERROR(__xludf.DUMMYFUNCTION("GOOGLETRANSLATE(C6,""zh-tw"",""ja"")"),"-")</f>
        <v>-</v>
      </c>
      <c r="G6" s="174" t="s">
        <v>3887</v>
      </c>
      <c r="H6" s="317" t="s">
        <v>3888</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IFERROR(__xludf.DUMMYFUNCTION("GOOGLETRANSLATE(B6,""zh-tw"",""es-MX"")"),"Baba baba / Pata de gato prestada / Gato de la suerte")</f>
        <v>Baba baba / Pata de gato prestada / Gato de la suerte</v>
      </c>
      <c r="O6" s="318" t="str">
        <f>IFERROR(__xludf.DUMMYFUNCTION("GOOGLETRANSLATE(C6,""zh-tw"",""es-MX"")"),"-")</f>
        <v>-</v>
      </c>
      <c r="P6" s="149" t="str">
        <f>IFERROR(__xludf.DUMMYFUNCTION("GOOGLETRANSLATE(A6,""zh-tw"",""KO"")"),"고양이 슬라임")</f>
        <v>고양이 슬라임</v>
      </c>
      <c r="Q6" s="161" t="s">
        <v>3889</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3890</v>
      </c>
      <c r="W6" s="317" t="s">
        <v>3891</v>
      </c>
      <c r="X6" s="319" t="s">
        <v>3871</v>
      </c>
      <c r="Y6" s="154" t="s">
        <v>3892</v>
      </c>
      <c r="Z6" s="164" t="s">
        <v>3893</v>
      </c>
      <c r="AA6" s="320" t="s">
        <v>723</v>
      </c>
      <c r="AB6" s="17"/>
      <c r="AC6" s="17"/>
      <c r="AD6" s="17"/>
      <c r="AE6" s="17"/>
    </row>
    <row r="7">
      <c r="A7" s="148" t="s">
        <v>3894</v>
      </c>
      <c r="B7" s="161" t="s">
        <v>3895</v>
      </c>
      <c r="C7" s="313" t="s">
        <v>723</v>
      </c>
      <c r="D7" s="314" t="str">
        <f>IFERROR(__xludf.DUMMYFUNCTION("GOOGLETRANSLATE(A7,""zh-tw"",""ja"")"),"草食スライム")</f>
        <v>草食スライム</v>
      </c>
      <c r="E7" s="317" t="s">
        <v>3896</v>
      </c>
      <c r="F7" s="316" t="str">
        <f>IFERROR(__xludf.DUMMYFUNCTION("GOOGLETRANSLATE(C7,""zh-tw"",""ja"")"),"-")</f>
        <v>-</v>
      </c>
      <c r="G7" s="174" t="s">
        <v>3897</v>
      </c>
      <c r="H7" s="317" t="s">
        <v>3898</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8" t="str">
        <f>IFERROR(__xludf.DUMMYFUNCTION("GOOGLETRANSLATE(C7,""zh-tw"",""es-MX"")"),"-")</f>
        <v>-</v>
      </c>
      <c r="P7" s="148" t="s">
        <v>3899</v>
      </c>
      <c r="Q7" s="161" t="s">
        <v>3900</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3901</v>
      </c>
      <c r="W7" s="317" t="s">
        <v>3902</v>
      </c>
      <c r="X7" s="319" t="s">
        <v>3871</v>
      </c>
      <c r="Y7" s="154" t="s">
        <v>3903</v>
      </c>
      <c r="Z7" s="164" t="s">
        <v>3904</v>
      </c>
      <c r="AA7" s="320" t="s">
        <v>723</v>
      </c>
      <c r="AB7" s="17"/>
      <c r="AC7" s="17"/>
      <c r="AD7" s="17"/>
      <c r="AE7" s="17"/>
    </row>
    <row r="8">
      <c r="A8" s="148" t="s">
        <v>3905</v>
      </c>
      <c r="B8" s="161" t="s">
        <v>3906</v>
      </c>
      <c r="C8" s="313" t="s">
        <v>723</v>
      </c>
      <c r="D8" s="174" t="s">
        <v>3907</v>
      </c>
      <c r="E8" s="317" t="s">
        <v>3908</v>
      </c>
      <c r="F8" s="316" t="str">
        <f>IFERROR(__xludf.DUMMYFUNCTION("GOOGLETRANSLATE(C8,""zh-tw"",""ja"")"),"-")</f>
        <v>-</v>
      </c>
      <c r="G8" s="174" t="s">
        <v>3909</v>
      </c>
      <c r="H8" s="317" t="s">
        <v>3910</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IFERROR(__xludf.DUMMYFUNCTION("GOOGLETRANSLATE(A8,""zh-tw"",""es-MX"")"),"Limo congelado")</f>
        <v>Limo congelado</v>
      </c>
      <c r="N8" s="162"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18" t="str">
        <f>IFERROR(__xludf.DUMMYFUNCTION("GOOGLETRANSLATE(C8,""zh-tw"",""es-MX"")"),"-")</f>
        <v>-</v>
      </c>
      <c r="P8" s="148" t="s">
        <v>3911</v>
      </c>
      <c r="Q8" s="161" t="s">
        <v>3912</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3913</v>
      </c>
      <c r="W8" s="317" t="s">
        <v>3914</v>
      </c>
      <c r="X8" s="319" t="s">
        <v>3871</v>
      </c>
      <c r="Y8" s="154" t="s">
        <v>3915</v>
      </c>
      <c r="Z8" s="164" t="s">
        <v>3916</v>
      </c>
      <c r="AA8" s="320" t="s">
        <v>723</v>
      </c>
      <c r="AB8" s="17"/>
      <c r="AC8" s="17"/>
      <c r="AD8" s="17"/>
      <c r="AE8" s="17"/>
    </row>
    <row r="9">
      <c r="A9" s="148" t="s">
        <v>3917</v>
      </c>
      <c r="B9" s="161" t="s">
        <v>3918</v>
      </c>
      <c r="C9" s="313" t="s">
        <v>723</v>
      </c>
      <c r="D9" s="314" t="str">
        <f>IFERROR(__xludf.DUMMYFUNCTION("GOOGLETRANSLATE(A9,""zh-tw"",""ja"")"),"ジャックスライム")</f>
        <v>ジャックスライム</v>
      </c>
      <c r="E9" s="317" t="s">
        <v>3919</v>
      </c>
      <c r="F9" s="316" t="str">
        <f>IFERROR(__xludf.DUMMYFUNCTION("GOOGLETRANSLATE(C9,""zh-tw"",""ja"")"),"-")</f>
        <v>-</v>
      </c>
      <c r="G9" s="174" t="s">
        <v>3920</v>
      </c>
      <c r="H9" s="317" t="s">
        <v>3921</v>
      </c>
      <c r="I9" s="319" t="s">
        <v>723</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La Baba de Slime / El Alma del Bombardero")</f>
        <v>Jack la Bomba / La Baba de Slime / El Alma del Bombardero</v>
      </c>
      <c r="O9" s="318" t="str">
        <f>IFERROR(__xludf.DUMMYFUNCTION("GOOGLETRANSLATE(C9,""zh-tw"",""es-MX"")"),"-")</f>
        <v>-</v>
      </c>
      <c r="P9" s="149" t="str">
        <f>IFERROR(__xludf.DUMMYFUNCTION("GOOGLETRANSLATE(A9,""zh-tw"",""KO"")"),"잭 슬라임")</f>
        <v>잭 슬라임</v>
      </c>
      <c r="Q9" s="161" t="s">
        <v>3922</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Слизня / Душа Бомбардира")</f>
        <v>Джек Бомба / Слизь Слизня / Душа Бомбардира</v>
      </c>
      <c r="U9" s="316" t="str">
        <f>IFERROR(__xludf.DUMMYFUNCTION("GOOGLETRANSLATE(C9,""zh-tw"",""ru"")"),"-")</f>
        <v>-</v>
      </c>
      <c r="V9" s="174" t="s">
        <v>3923</v>
      </c>
      <c r="W9" s="317" t="s">
        <v>3924</v>
      </c>
      <c r="X9" s="319" t="s">
        <v>3871</v>
      </c>
      <c r="Y9" s="154" t="s">
        <v>3925</v>
      </c>
      <c r="Z9" s="164" t="s">
        <v>3926</v>
      </c>
      <c r="AA9" s="320" t="s">
        <v>723</v>
      </c>
      <c r="AB9" s="17"/>
      <c r="AC9" s="17"/>
      <c r="AD9" s="17"/>
      <c r="AE9" s="17"/>
    </row>
    <row r="10" ht="41.25" customHeight="1">
      <c r="A10" s="148" t="s">
        <v>3927</v>
      </c>
      <c r="B10" s="161" t="s">
        <v>3928</v>
      </c>
      <c r="C10" s="313" t="s">
        <v>723</v>
      </c>
      <c r="D10" s="174" t="s">
        <v>3929</v>
      </c>
      <c r="E10" s="317" t="s">
        <v>3930</v>
      </c>
      <c r="F10" s="316" t="str">
        <f>IFERROR(__xludf.DUMMYFUNCTION("GOOGLETRANSLATE(C10,""zh-tw"",""ja"")"),"-")</f>
        <v>-</v>
      </c>
      <c r="G10" s="174" t="s">
        <v>3931</v>
      </c>
      <c r="H10" s="317" t="s">
        <v>3932</v>
      </c>
      <c r="I10" s="319" t="s">
        <v>723</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8" t="str">
        <f>IFERROR(__xludf.DUMMYFUNCTION("GOOGLETRANSLATE(C10,""zh-tw"",""es-MX"")"),"-")</f>
        <v>-</v>
      </c>
      <c r="P10" s="148" t="s">
        <v>3933</v>
      </c>
      <c r="Q10" s="161" t="s">
        <v>3934</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3935</v>
      </c>
      <c r="W10" s="317" t="s">
        <v>3936</v>
      </c>
      <c r="X10" s="319" t="s">
        <v>3871</v>
      </c>
      <c r="Y10" s="154" t="s">
        <v>3937</v>
      </c>
      <c r="Z10" s="164" t="s">
        <v>3938</v>
      </c>
      <c r="AA10" s="320" t="s">
        <v>723</v>
      </c>
      <c r="AB10" s="17"/>
      <c r="AC10" s="17"/>
      <c r="AD10" s="17"/>
      <c r="AE10" s="17"/>
    </row>
    <row r="11">
      <c r="A11" s="148" t="s">
        <v>3939</v>
      </c>
      <c r="B11" s="161" t="s">
        <v>3940</v>
      </c>
      <c r="C11" s="313" t="s">
        <v>723</v>
      </c>
      <c r="D11" s="314" t="str">
        <f>IFERROR(__xludf.DUMMYFUNCTION("GOOGLETRANSLATE(A11,""zh-tw"",""ja"")"),"ビリビリスライム")</f>
        <v>ビリビリスライム</v>
      </c>
      <c r="E11" s="317" t="s">
        <v>3941</v>
      </c>
      <c r="F11" s="316" t="str">
        <f>IFERROR(__xludf.DUMMYFUNCTION("GOOGLETRANSLATE(C11,""zh-tw"",""ja"")"),"-")</f>
        <v>-</v>
      </c>
      <c r="G11" s="174" t="s">
        <v>3942</v>
      </c>
      <c r="H11" s="317" t="s">
        <v>3943</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8" t="str">
        <f>IFERROR(__xludf.DUMMYFUNCTION("GOOGLETRANSLATE(C11,""zh-tw"",""es-MX"")"),"-")</f>
        <v>-</v>
      </c>
      <c r="P11" s="148" t="s">
        <v>3944</v>
      </c>
      <c r="Q11" s="161" t="s">
        <v>3945</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3946</v>
      </c>
      <c r="W11" s="317" t="s">
        <v>3947</v>
      </c>
      <c r="X11" s="319" t="s">
        <v>3871</v>
      </c>
      <c r="Y11" s="154" t="s">
        <v>3948</v>
      </c>
      <c r="Z11" s="164" t="s">
        <v>3949</v>
      </c>
      <c r="AA11" s="320" t="s">
        <v>723</v>
      </c>
      <c r="AB11" s="17"/>
      <c r="AC11" s="17"/>
      <c r="AD11" s="17"/>
      <c r="AE11" s="17"/>
    </row>
    <row r="12">
      <c r="A12" s="148" t="s">
        <v>3950</v>
      </c>
      <c r="B12" s="161" t="s">
        <v>3951</v>
      </c>
      <c r="C12" s="313" t="s">
        <v>723</v>
      </c>
      <c r="D12" s="174" t="s">
        <v>3952</v>
      </c>
      <c r="E12" s="317" t="s">
        <v>3953</v>
      </c>
      <c r="F12" s="316" t="str">
        <f>IFERROR(__xludf.DUMMYFUNCTION("GOOGLETRANSLATE(C12,""zh-tw"",""ja"")"),"-")</f>
        <v>-</v>
      </c>
      <c r="G12" s="174" t="s">
        <v>3954</v>
      </c>
      <c r="H12" s="317" t="s">
        <v>3955</v>
      </c>
      <c r="I12" s="316" t="str">
        <f>IFERROR(__xludf.DUMMYFUNCTION("GOOGLETRANSLATE(C12,""zh-tw"",""en"")"),"-")</f>
        <v>-</v>
      </c>
      <c r="J12" s="314" t="str">
        <f>IFERROR(__xludf.DUMMYFUNCTION("GOOGLETRANSLATE(A12,""zh-tw"",""zh"")"),"初级兽人")</f>
        <v>初级兽人</v>
      </c>
      <c r="K12" s="317" t="s">
        <v>3956</v>
      </c>
      <c r="L12" s="316"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Cacerola de hueso de orco")</f>
        <v>Carne de animales pequeños / Carne de animales grandes / Cacerola de hueso de orco</v>
      </c>
      <c r="O12" s="318" t="str">
        <f>IFERROR(__xludf.DUMMYFUNCTION("GOOGLETRANSLATE(C12,""zh-tw"",""es-MX"")"),"-")</f>
        <v>-</v>
      </c>
      <c r="P12" s="174" t="s">
        <v>3957</v>
      </c>
      <c r="Q12" s="161" t="s">
        <v>3958</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3959</v>
      </c>
      <c r="W12" s="317" t="s">
        <v>3960</v>
      </c>
      <c r="X12" s="319" t="s">
        <v>3871</v>
      </c>
      <c r="Y12" s="154" t="s">
        <v>3961</v>
      </c>
      <c r="Z12" s="164" t="s">
        <v>3962</v>
      </c>
      <c r="AA12" s="320" t="s">
        <v>723</v>
      </c>
      <c r="AB12" s="17"/>
      <c r="AC12" s="17"/>
      <c r="AD12" s="17"/>
      <c r="AE12" s="17"/>
    </row>
    <row r="13">
      <c r="A13" s="148" t="s">
        <v>3963</v>
      </c>
      <c r="B13" s="161" t="s">
        <v>3964</v>
      </c>
      <c r="C13" s="313" t="s">
        <v>723</v>
      </c>
      <c r="D13" s="174" t="s">
        <v>3963</v>
      </c>
      <c r="E13" s="317" t="s">
        <v>3965</v>
      </c>
      <c r="F13" s="316" t="str">
        <f>IFERROR(__xludf.DUMMYFUNCTION("GOOGLETRANSLATE(C13,""zh-tw"",""ja"")"),"-")</f>
        <v>-</v>
      </c>
      <c r="G13" s="174" t="s">
        <v>3966</v>
      </c>
      <c r="H13" s="317" t="s">
        <v>3967</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ave extrañas")</f>
        <v>Muslo de pollo/Plumas de ave extrañas</v>
      </c>
      <c r="O13" s="318" t="str">
        <f>IFERROR(__xludf.DUMMYFUNCTION("GOOGLETRANSLATE(C13,""zh-tw"",""es-MX"")"),"-")</f>
        <v>-</v>
      </c>
      <c r="P13" s="148" t="s">
        <v>3968</v>
      </c>
      <c r="Q13" s="161" t="s">
        <v>3969</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ножка/Странные птичьи перья")</f>
        <v>Куриная ножка/Странные птичьи перья</v>
      </c>
      <c r="U13" s="316" t="str">
        <f>IFERROR(__xludf.DUMMYFUNCTION("GOOGLETRANSLATE(C13,""zh-tw"",""ru"")"),"-")</f>
        <v>-</v>
      </c>
      <c r="V13" s="174" t="s">
        <v>3970</v>
      </c>
      <c r="W13" s="317" t="s">
        <v>3971</v>
      </c>
      <c r="X13" s="319" t="s">
        <v>3871</v>
      </c>
      <c r="Y13" s="154" t="s">
        <v>3972</v>
      </c>
      <c r="Z13" s="164" t="s">
        <v>3973</v>
      </c>
      <c r="AA13" s="320" t="s">
        <v>723</v>
      </c>
      <c r="AB13" s="17"/>
      <c r="AC13" s="17"/>
      <c r="AD13" s="17"/>
      <c r="AE13" s="17"/>
    </row>
    <row r="14">
      <c r="A14" s="148" t="s">
        <v>3974</v>
      </c>
      <c r="B14" s="161" t="s">
        <v>3975</v>
      </c>
      <c r="C14" s="313" t="s">
        <v>723</v>
      </c>
      <c r="D14" s="174" t="s">
        <v>3976</v>
      </c>
      <c r="E14" s="317" t="s">
        <v>3977</v>
      </c>
      <c r="F14" s="316" t="str">
        <f>IFERROR(__xludf.DUMMYFUNCTION("GOOGLETRANSLATE(C14,""zh-tw"",""ja"")"),"-")</f>
        <v>-</v>
      </c>
      <c r="G14" s="174" t="s">
        <v>3978</v>
      </c>
      <c r="H14" s="317" t="s">
        <v>3979</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caminante")</f>
        <v>Hongo caminante</v>
      </c>
      <c r="N14" s="162" t="str">
        <f>IFERROR(__xludf.DUMMYFUNCTION("GOOGLETRANSLATE(B14,""zh-tw"",""es-MX"")"),"seta caminante/aguja de esporas venenosas")</f>
        <v>seta caminante/aguja de esporas venenosas</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гриб/игла с ядовитыми спорами")</f>
        <v>Ходячий гриб/игла с ядовитыми спорами</v>
      </c>
      <c r="U14" s="316" t="str">
        <f>IFERROR(__xludf.DUMMYFUNCTION("GOOGLETRANSLATE(C14,""zh-tw"",""ru"")"),"-")</f>
        <v>-</v>
      </c>
      <c r="V14" s="174" t="s">
        <v>3980</v>
      </c>
      <c r="W14" s="317" t="s">
        <v>3981</v>
      </c>
      <c r="X14" s="319" t="s">
        <v>3871</v>
      </c>
      <c r="Y14" s="154" t="s">
        <v>3982</v>
      </c>
      <c r="Z14" s="164" t="s">
        <v>3983</v>
      </c>
      <c r="AA14" s="320" t="s">
        <v>723</v>
      </c>
      <c r="AB14" s="17"/>
      <c r="AC14" s="17"/>
      <c r="AD14" s="17"/>
      <c r="AE14" s="17"/>
    </row>
    <row r="15">
      <c r="A15" s="148" t="s">
        <v>3984</v>
      </c>
      <c r="B15" s="161" t="s">
        <v>3985</v>
      </c>
      <c r="C15" s="313" t="s">
        <v>723</v>
      </c>
      <c r="D15" s="174" t="s">
        <v>3984</v>
      </c>
      <c r="E15" s="317" t="s">
        <v>3986</v>
      </c>
      <c r="F15" s="316" t="str">
        <f>IFERROR(__xludf.DUMMYFUNCTION("GOOGLETRANSLATE(C15,""zh-tw"",""ja"")"),"-")</f>
        <v>-</v>
      </c>
      <c r="G15" s="174" t="s">
        <v>3987</v>
      </c>
      <c r="H15" s="317" t="s">
        <v>3988</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18" t="str">
        <f>IFERROR(__xludf.DUMMYFUNCTION("GOOGLETRANSLATE(C15,""zh-tw"",""es-MX"")"),"-")</f>
        <v>-</v>
      </c>
      <c r="P15" s="148" t="s">
        <v>3989</v>
      </c>
      <c r="Q15" s="161" t="s">
        <v>3990</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3991</v>
      </c>
      <c r="W15" s="317" t="s">
        <v>3992</v>
      </c>
      <c r="X15" s="319" t="s">
        <v>3871</v>
      </c>
      <c r="Y15" s="154" t="s">
        <v>3993</v>
      </c>
      <c r="Z15" s="164" t="s">
        <v>3994</v>
      </c>
      <c r="AA15" s="320" t="s">
        <v>723</v>
      </c>
      <c r="AB15" s="17"/>
      <c r="AC15" s="17"/>
      <c r="AD15" s="17"/>
      <c r="AE15" s="17"/>
    </row>
    <row r="16">
      <c r="A16" s="148" t="s">
        <v>3995</v>
      </c>
      <c r="B16" s="161" t="s">
        <v>3996</v>
      </c>
      <c r="C16" s="313" t="s">
        <v>723</v>
      </c>
      <c r="D16" s="174" t="s">
        <v>3997</v>
      </c>
      <c r="E16" s="317" t="s">
        <v>3998</v>
      </c>
      <c r="F16" s="316" t="str">
        <f>IFERROR(__xludf.DUMMYFUNCTION("GOOGLETRANSLATE(C16,""zh-tw"",""ja"")"),"-")</f>
        <v>-</v>
      </c>
      <c r="G16" s="174" t="s">
        <v>3999</v>
      </c>
      <c r="H16" s="317" t="s">
        <v>4000</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IFERROR(__xludf.DUMMYFUNCTION("GOOGLETRANSLATE(A16,""zh-tw"",""es-MX"")"),"Monstruito Rojo")</f>
        <v>Monstruito Rojo</v>
      </c>
      <c r="N16" s="162" t="str">
        <f>IFERROR(__xludf.DUMMYFUNCTION("GOOGLETRANSLATE(B16,""zh-tw"",""es-MX"")"),"Del infierno/Feto maldito/Cartas del tarot")</f>
        <v>Del infierno/Feto maldito/Cartas del tarot</v>
      </c>
      <c r="O16" s="318" t="str">
        <f>IFERROR(__xludf.DUMMYFUNCTION("GOOGLETRANSLATE(C16,""zh-tw"",""es-MX"")"),"-")</f>
        <v>-</v>
      </c>
      <c r="P16" s="148" t="s">
        <v>4001</v>
      </c>
      <c r="Q16" s="317" t="s">
        <v>4002</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4003</v>
      </c>
      <c r="W16" s="317" t="s">
        <v>4004</v>
      </c>
      <c r="X16" s="319" t="s">
        <v>3871</v>
      </c>
      <c r="Y16" s="154" t="s">
        <v>4005</v>
      </c>
      <c r="Z16" s="164" t="s">
        <v>4006</v>
      </c>
      <c r="AA16" s="320" t="s">
        <v>723</v>
      </c>
      <c r="AB16" s="17"/>
      <c r="AC16" s="17"/>
      <c r="AD16" s="17"/>
      <c r="AE16" s="17"/>
    </row>
    <row r="17">
      <c r="A17" s="148" t="s">
        <v>4007</v>
      </c>
      <c r="B17" s="161" t="s">
        <v>4008</v>
      </c>
      <c r="C17" s="313" t="s">
        <v>723</v>
      </c>
      <c r="D17" s="174" t="s">
        <v>4009</v>
      </c>
      <c r="E17" s="315" t="str">
        <f>IFERROR(__xludf.DUMMYFUNCTION("GOOGLETRANSLATE(B17,""zh-tw"",""ja"")"),"騎士の剣")</f>
        <v>騎士の剣</v>
      </c>
      <c r="F17" s="316" t="str">
        <f>IFERROR(__xludf.DUMMYFUNCTION("GOOGLETRANSLATE(C17,""zh-tw"",""ja"")"),"-")</f>
        <v>-</v>
      </c>
      <c r="G17" s="174" t="s">
        <v>4010</v>
      </c>
      <c r="H17" s="317" t="s">
        <v>4011</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8" t="str">
        <f>IFERROR(__xludf.DUMMYFUNCTION("GOOGLETRANSLATE(C17,""zh-tw"",""es-MX"")"),"-")</f>
        <v>-</v>
      </c>
      <c r="P17" s="148" t="s">
        <v>4012</v>
      </c>
      <c r="Q17" s="161" t="s">
        <v>4013</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4014</v>
      </c>
      <c r="W17" s="317" t="s">
        <v>4015</v>
      </c>
      <c r="X17" s="319" t="s">
        <v>4016</v>
      </c>
      <c r="Y17" s="154" t="s">
        <v>4017</v>
      </c>
      <c r="Z17" s="164" t="s">
        <v>4018</v>
      </c>
      <c r="AA17" s="320" t="s">
        <v>723</v>
      </c>
      <c r="AB17" s="17"/>
      <c r="AC17" s="17"/>
      <c r="AD17" s="17"/>
      <c r="AE17" s="17"/>
    </row>
    <row r="18">
      <c r="A18" s="148" t="s">
        <v>4019</v>
      </c>
      <c r="B18" s="161" t="s">
        <v>4019</v>
      </c>
      <c r="C18" s="313" t="s">
        <v>4020</v>
      </c>
      <c r="D18" s="314" t="str">
        <f>IFERROR(__xludf.DUMMYFUNCTION("GOOGLETRANSLATE(A18,""zh-tw"",""ja"")"),"とても大きな卵")</f>
        <v>とても大きな卵</v>
      </c>
      <c r="E18" s="315" t="str">
        <f>IFERROR(__xludf.DUMMYFUNCTION("GOOGLETRANSLATE(B18,""zh-tw"",""ja"")"),"とても大きな卵")</f>
        <v>とても大きな卵</v>
      </c>
      <c r="F18" s="319" t="s">
        <v>4021</v>
      </c>
      <c r="G18" s="174" t="s">
        <v>4022</v>
      </c>
      <c r="H18" s="317" t="s">
        <v>4022</v>
      </c>
      <c r="I18" s="319" t="s">
        <v>4023</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8" t="str">
        <f>IFERROR(__xludf.DUMMYFUNCTION("GOOGLETRANSLATE(C18,""zh-tw"",""es-MX"")"),"Recógelo del fondo de las ruinas (no lo rompas).")</f>
        <v>Recógelo del fondo de las ruinas (no lo rompas).</v>
      </c>
      <c r="P18" s="148" t="s">
        <v>4024</v>
      </c>
      <c r="Q18" s="161" t="s">
        <v>4024</v>
      </c>
      <c r="R18" s="313" t="s">
        <v>4025</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сломайте).")</f>
        <v>Поднимите его со дна руин (не сломайте).</v>
      </c>
      <c r="V18" s="174" t="s">
        <v>4026</v>
      </c>
      <c r="W18" s="317" t="s">
        <v>4027</v>
      </c>
      <c r="X18" s="319" t="s">
        <v>4028</v>
      </c>
      <c r="Y18" s="154" t="s">
        <v>4029</v>
      </c>
      <c r="Z18" s="164" t="s">
        <v>4029</v>
      </c>
      <c r="AA18" s="320" t="s">
        <v>4030</v>
      </c>
      <c r="AB18" s="17"/>
      <c r="AC18" s="17"/>
      <c r="AD18" s="17"/>
      <c r="AE18" s="17"/>
    </row>
    <row r="19">
      <c r="A19" s="148" t="s">
        <v>4031</v>
      </c>
      <c r="B19" s="161" t="s">
        <v>4032</v>
      </c>
      <c r="C19" s="313" t="s">
        <v>4033</v>
      </c>
      <c r="D19" s="174" t="s">
        <v>4034</v>
      </c>
      <c r="E19" s="315" t="str">
        <f>IFERROR(__xludf.DUMMYFUNCTION("GOOGLETRANSLATE(B19,""zh-tw"",""ja"")"),"キノコ")</f>
        <v>キノコ</v>
      </c>
      <c r="F19" s="319" t="s">
        <v>4035</v>
      </c>
      <c r="G19" s="174" t="s">
        <v>4036</v>
      </c>
      <c r="H19" s="317" t="s">
        <v>4037</v>
      </c>
      <c r="I19" s="319" t="s">
        <v>4038</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que lleva al Bosque Brumoso.")</f>
        <v>Recógelo en el pasaje que lleva al Bosque Brumoso.</v>
      </c>
      <c r="P19" s="148" t="s">
        <v>4039</v>
      </c>
      <c r="Q19" s="162" t="str">
        <f>IFERROR(__xludf.DUMMYFUNCTION("GOOGLETRANSLATE(B19,""zh-tw"",""KO"")"),"버섯")</f>
        <v>버섯</v>
      </c>
      <c r="R19" s="313" t="s">
        <v>4040</v>
      </c>
      <c r="S19" s="314" t="str">
        <f>IFERROR(__xludf.DUMMYFUNCTION("GOOGLETRANSLATE(A19,""zh-tw"",""ru"")"),"Грибы туманного леса")</f>
        <v>Грибы туманного леса</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4041</v>
      </c>
      <c r="W19" s="317" t="s">
        <v>4042</v>
      </c>
      <c r="X19" s="319" t="s">
        <v>4043</v>
      </c>
      <c r="Y19" s="154" t="s">
        <v>4044</v>
      </c>
      <c r="Z19" s="164" t="s">
        <v>4045</v>
      </c>
      <c r="AA19" s="320" t="s">
        <v>4046</v>
      </c>
      <c r="AB19" s="17"/>
      <c r="AC19" s="17"/>
      <c r="AD19" s="17"/>
      <c r="AE19" s="17"/>
    </row>
    <row r="20">
      <c r="A20" s="148" t="s">
        <v>4047</v>
      </c>
      <c r="B20" s="161" t="s">
        <v>4048</v>
      </c>
      <c r="C20" s="313" t="s">
        <v>4049</v>
      </c>
      <c r="D20" s="174" t="s">
        <v>4050</v>
      </c>
      <c r="E20" s="315" t="str">
        <f>IFERROR(__xludf.DUMMYFUNCTION("GOOGLETRANSLATE(B20,""zh-tw"",""ja"")"),"椎茸 / ヒラタケ / カニタケ / キノコ")</f>
        <v>椎茸 / ヒラタケ / カニタケ / キノコ</v>
      </c>
      <c r="F20" s="319" t="s">
        <v>4051</v>
      </c>
      <c r="G20" s="174" t="s">
        <v>4052</v>
      </c>
      <c r="H20" s="317" t="s">
        <v>4053</v>
      </c>
      <c r="I20" s="319" t="s">
        <v>4054</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IFERROR(__xludf.DUMMYFUNCTION("GOOGLETRANSLATE(B20,""zh-tw"",""es-MX"")"),"Champiñones shiitake / Champiñones ostra / Champiñones cangrejo / Champiñones")</f>
        <v>Champiñones shiitake / Champiñones ostra / Champiñones cangrejo / Champiñones</v>
      </c>
      <c r="O20" s="318" t="str">
        <f>IFERROR(__xludf.DUMMYFUNCTION("GOOGLETRANSLATE(C20,""zh-tw"",""es-MX"")"),"Golpea las setas que hay en el suelo de las ruinas")</f>
        <v>Golpea las setas que hay en el suelo de las ruinas</v>
      </c>
      <c r="P20" s="148" t="s">
        <v>4055</v>
      </c>
      <c r="Q20" s="161" t="s">
        <v>4056</v>
      </c>
      <c r="R20" s="313" t="s">
        <v>4057</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4058</v>
      </c>
      <c r="W20" s="317" t="s">
        <v>4059</v>
      </c>
      <c r="X20" s="319" t="s">
        <v>4060</v>
      </c>
      <c r="Y20" s="154" t="s">
        <v>4061</v>
      </c>
      <c r="Z20" s="164" t="s">
        <v>4062</v>
      </c>
      <c r="AA20" s="320" t="s">
        <v>4063</v>
      </c>
      <c r="AB20" s="17"/>
      <c r="AC20" s="17"/>
      <c r="AD20" s="17"/>
      <c r="AE20" s="17"/>
    </row>
    <row r="21">
      <c r="A21" s="148" t="s">
        <v>4064</v>
      </c>
      <c r="B21" s="161" t="s">
        <v>4065</v>
      </c>
      <c r="C21" s="313" t="s">
        <v>4066</v>
      </c>
      <c r="D21" s="174" t="s">
        <v>4067</v>
      </c>
      <c r="E21" s="315" t="str">
        <f>IFERROR(__xludf.DUMMYFUNCTION("GOOGLETRANSLATE(B21,""zh-tw"",""ja"")"),"火の鳥の羽")</f>
        <v>火の鳥の羽</v>
      </c>
      <c r="F21" s="319" t="s">
        <v>4068</v>
      </c>
      <c r="G21" s="174" t="s">
        <v>4069</v>
      </c>
      <c r="H21" s="317" t="s">
        <v>4070</v>
      </c>
      <c r="I21" s="319" t="s">
        <v>4071</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ave fénix")</f>
        <v>plumas de ave fénix</v>
      </c>
      <c r="O21" s="318" t="str">
        <f>IFERROR(__xludf.DUMMYFUNCTION("GOOGLETRANSLATE(C21,""zh-tw"",""es-MX"")"),"Flores rojas en el suelo junto a las ruinas")</f>
        <v>Flores rojas en el suelo junto a las ruinas</v>
      </c>
      <c r="P21" s="148" t="s">
        <v>4072</v>
      </c>
      <c r="Q21" s="161" t="s">
        <v>4073</v>
      </c>
      <c r="R21" s="313" t="s">
        <v>4074</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4075</v>
      </c>
      <c r="W21" s="317" t="s">
        <v>4076</v>
      </c>
      <c r="X21" s="319" t="s">
        <v>4077</v>
      </c>
      <c r="Y21" s="154" t="s">
        <v>4078</v>
      </c>
      <c r="Z21" s="164" t="s">
        <v>4079</v>
      </c>
      <c r="AA21" s="320" t="s">
        <v>4080</v>
      </c>
      <c r="AB21" s="17"/>
      <c r="AC21" s="17"/>
      <c r="AD21" s="17"/>
      <c r="AE21" s="17"/>
    </row>
    <row r="22">
      <c r="A22" s="148" t="s">
        <v>4081</v>
      </c>
      <c r="B22" s="161" t="s">
        <v>4082</v>
      </c>
      <c r="C22" s="313" t="s">
        <v>4083</v>
      </c>
      <c r="D22" s="174" t="s">
        <v>4084</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4085</v>
      </c>
      <c r="H22" s="317" t="s">
        <v>4086</v>
      </c>
      <c r="I22" s="319" t="s">
        <v>4087</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IFERROR(__xludf.DUMMYFUNCTION("GOOGLETRANSLATE(B22,""zh-tw"",""es-MX"")"),"Equipos de calidad blanca / Equipos de calidad azul / Cartas del tarot / Artículos de uso general")</f>
        <v>Equipos de calidad blanca / Equipos de calidad azul / Cartas del tarot / Artículos de uso general</v>
      </c>
      <c r="O22" s="318" t="str">
        <f>IFERROR(__xludf.DUMMYFUNCTION("GOOGLETRANSLATE(C22,""zh-tw"",""es-MX"")"),"Entre los restos se incluyen botellas de cerámica, barriles de madera, lápidas y losas de piedra.")</f>
        <v>Entre los restos se incluyen botellas de cerámica, barriles de madera, lápidas y losas de piedra.</v>
      </c>
      <c r="P22" s="148" t="s">
        <v>4088</v>
      </c>
      <c r="Q22" s="161" t="s">
        <v>4089</v>
      </c>
      <c r="R22" s="313" t="s">
        <v>4090</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 керамические бутылки, деревянные бочки, надгробия и каменные плиты.")</f>
        <v>Среди находок — керамические бутылки, деревянные бочки, надгробия и каменные плиты.</v>
      </c>
      <c r="V22" s="174" t="s">
        <v>4091</v>
      </c>
      <c r="W22" s="317" t="s">
        <v>4092</v>
      </c>
      <c r="X22" s="319" t="s">
        <v>4093</v>
      </c>
      <c r="Y22" s="154" t="s">
        <v>4094</v>
      </c>
      <c r="Z22" s="164" t="s">
        <v>4095</v>
      </c>
      <c r="AA22" s="320" t="s">
        <v>4096</v>
      </c>
      <c r="AB22" s="17"/>
      <c r="AC22" s="17"/>
      <c r="AD22" s="17"/>
      <c r="AE22" s="17"/>
    </row>
    <row r="23">
      <c r="A23" s="148" t="s">
        <v>4097</v>
      </c>
      <c r="B23" s="161" t="s">
        <v>4098</v>
      </c>
      <c r="C23" s="313" t="s">
        <v>4099</v>
      </c>
      <c r="D23" s="174" t="s">
        <v>4100</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4101</v>
      </c>
      <c r="G23" s="174" t="s">
        <v>4102</v>
      </c>
      <c r="H23" s="317" t="s">
        <v>4103</v>
      </c>
      <c r="I23" s="319" t="s">
        <v>4104</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3" s="318" t="str">
        <f>IFERROR(__xludf.DUMMYFUNCTION("GOOGLETRANSLATE(C23,""zh-tw"",""es-MX"")"),"Usa bombas para hacer estallar la superficie del agua.
(Máximo un conjunto de objetos)
(Actualmente no hay criaturas enemigas ni jefes)")</f>
        <v>Usa bombas para hacer estallar la superficie del agua.
(Máximo un conjunto de objetos)
(Actualmente no hay criaturas enemigas ni jefes)</v>
      </c>
      <c r="P23" s="148" t="s">
        <v>4105</v>
      </c>
      <c r="Q23" s="161" t="s">
        <v>4106</v>
      </c>
      <c r="R23" s="313" t="s">
        <v>4107</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4108</v>
      </c>
      <c r="W23" s="317" t="s">
        <v>4109</v>
      </c>
      <c r="X23" s="319" t="s">
        <v>4110</v>
      </c>
      <c r="Y23" s="158" t="s">
        <v>4111</v>
      </c>
      <c r="Z23" s="186" t="s">
        <v>4112</v>
      </c>
      <c r="AA23" s="321" t="s">
        <v>4113</v>
      </c>
      <c r="AB23" s="17"/>
      <c r="AC23" s="17"/>
      <c r="AD23" s="17"/>
      <c r="AE23" s="17"/>
    </row>
    <row r="24">
      <c r="A24" s="148" t="s">
        <v>4114</v>
      </c>
      <c r="B24" s="161" t="s">
        <v>4098</v>
      </c>
      <c r="C24" s="313" t="s">
        <v>4115</v>
      </c>
      <c r="D24" s="148" t="s">
        <v>4114</v>
      </c>
      <c r="E24" s="317" t="s">
        <v>4116</v>
      </c>
      <c r="F24" s="319" t="s">
        <v>4117</v>
      </c>
      <c r="G24" s="174" t="s">
        <v>4118</v>
      </c>
      <c r="H24" s="317" t="s">
        <v>4103</v>
      </c>
      <c r="I24" s="319" t="s">
        <v>4119</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4" s="318" t="str">
        <f>IFERROR(__xludf.DUMMYFUNCTION("GOOGLETRANSLATE(C24,""zh-tw"",""es-MX"")"),"Usa bombas para hacer estallar la superficie del agua.
(Máximo tres conjuntos de botín)
(Posibilidad creativa de que aparezcan criaturas enemigas o el jefe Señor del Río)")</f>
        <v>Usa bombas para hacer estallar la superficie del agua.
(Máximo tres conjuntos de botín)
(Posibilidad creativa de que aparezcan criaturas enemigas o el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소환할 수 있는 창의적인 확률)")</f>
        <v>폭탄을 사용하여 수면을 폭파하세요.
(최대 3세트의 전리품 획득)
(적 생물이나 강의 군주 보스를 소환할 수 있는 창의적인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(Творческий шанс вызвать вражеских существ или босса, Повелителя реки)")</f>
        <v>Используйте бомбы, чтобы взорвать поверхность воды.
(Максимум три комплекта добычи)
(Творческий шанс вызвать вражеских существ или босса, Повелителя реки)</v>
      </c>
      <c r="V24" s="174"/>
      <c r="W24" s="317"/>
      <c r="X24" s="319"/>
      <c r="Y24" s="158" t="s">
        <v>4120</v>
      </c>
      <c r="Z24" s="186" t="s">
        <v>4121</v>
      </c>
      <c r="AA24" s="321" t="s">
        <v>4122</v>
      </c>
      <c r="AB24" s="17"/>
      <c r="AC24" s="17"/>
      <c r="AD24" s="17"/>
      <c r="AE24" s="17"/>
    </row>
    <row r="25">
      <c r="A25" s="148" t="s">
        <v>4123</v>
      </c>
      <c r="B25" s="161" t="s">
        <v>4124</v>
      </c>
      <c r="C25" s="313" t="s">
        <v>4125</v>
      </c>
      <c r="D25" s="148" t="s">
        <v>4123</v>
      </c>
      <c r="E25" s="317" t="s">
        <v>4126</v>
      </c>
      <c r="F25" s="319" t="s">
        <v>4127</v>
      </c>
      <c r="G25" s="174" t="s">
        <v>4128</v>
      </c>
      <c r="H25" s="317" t="s">
        <v>4129</v>
      </c>
      <c r="I25" s="319" t="s">
        <v>4130</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rayado/Patata/Dorada/Salmón/Salmón real")</f>
        <v>Atún/Pez roca rayado/Patata/Dorada/Salmón/Salmón real</v>
      </c>
      <c r="O25" s="318" t="str">
        <f>IFERROR(__xludf.DUMMYFUNCTION("GOOGLETRANSLATE(C25,""zh-tw"",""es-MX"")"),"Utiliza ataques o el tacto para capturar (solo aparecerán ingredientes).")</f>
        <v>Utiliza ataques o el tacto para capturar (solo aparecerán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4131</v>
      </c>
      <c r="Z25" s="186" t="s">
        <v>4132</v>
      </c>
      <c r="AA25" s="321" t="s">
        <v>4133</v>
      </c>
      <c r="AB25" s="17"/>
      <c r="AC25" s="17"/>
      <c r="AD25" s="17"/>
      <c r="AE25" s="17"/>
    </row>
    <row r="26">
      <c r="A26" s="148" t="s">
        <v>4134</v>
      </c>
      <c r="B26" s="161" t="s">
        <v>4135</v>
      </c>
      <c r="C26" s="313" t="s">
        <v>723</v>
      </c>
      <c r="D26" s="174" t="s">
        <v>4136</v>
      </c>
      <c r="E26" s="315" t="str">
        <f>IFERROR(__xludf.DUMMYFUNCTION("GOOGLETRANSLATE(B26,""zh-tw"",""ja"")"),"星月夜/招き猫/タロットカード")</f>
        <v>星月夜/招き猫/タロットカード</v>
      </c>
      <c r="F26" s="316" t="str">
        <f>IFERROR(__xludf.DUMMYFUNCTION("GOOGLETRANSLATE(C26,""zh-tw"",""ja"")"),"-")</f>
        <v>-</v>
      </c>
      <c r="G26" s="174" t="s">
        <v>4137</v>
      </c>
      <c r="H26" s="317" t="s">
        <v>4138</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4139</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4140</v>
      </c>
      <c r="W26" s="317" t="s">
        <v>4141</v>
      </c>
      <c r="X26" s="319" t="s">
        <v>3871</v>
      </c>
      <c r="Y26" s="154" t="s">
        <v>4142</v>
      </c>
      <c r="Z26" s="164" t="s">
        <v>4143</v>
      </c>
      <c r="AA26" s="320" t="s">
        <v>723</v>
      </c>
      <c r="AB26" s="17"/>
      <c r="AC26" s="17"/>
      <c r="AD26" s="17"/>
      <c r="AE26" s="17"/>
    </row>
    <row r="27">
      <c r="A27" s="148" t="s">
        <v>4144</v>
      </c>
      <c r="B27" s="161" t="s">
        <v>4145</v>
      </c>
      <c r="C27" s="313" t="s">
        <v>723</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4146</v>
      </c>
      <c r="H27" s="317" t="s">
        <v>4147</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4148</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4149</v>
      </c>
      <c r="W27" s="317" t="s">
        <v>4150</v>
      </c>
      <c r="X27" s="319" t="s">
        <v>3871</v>
      </c>
      <c r="Y27" s="154" t="s">
        <v>4151</v>
      </c>
      <c r="Z27" s="164" t="s">
        <v>4152</v>
      </c>
      <c r="AA27" s="321" t="s">
        <v>723</v>
      </c>
      <c r="AB27" s="17"/>
      <c r="AC27" s="17"/>
      <c r="AD27" s="17"/>
      <c r="AE27" s="17"/>
    </row>
    <row r="28">
      <c r="A28" s="148" t="s">
        <v>4153</v>
      </c>
      <c r="B28" s="161" t="s">
        <v>4154</v>
      </c>
      <c r="C28" s="313" t="s">
        <v>723</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4155</v>
      </c>
      <c r="H28" s="317" t="s">
        <v>4156</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4157</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4158</v>
      </c>
      <c r="W28" s="317" t="s">
        <v>4159</v>
      </c>
      <c r="X28" s="319" t="s">
        <v>3871</v>
      </c>
      <c r="Y28" s="154" t="s">
        <v>4155</v>
      </c>
      <c r="Z28" s="164" t="s">
        <v>4160</v>
      </c>
      <c r="AA28" s="320" t="s">
        <v>723</v>
      </c>
      <c r="AB28" s="17"/>
      <c r="AC28" s="17"/>
      <c r="AD28" s="17"/>
      <c r="AE28" s="17"/>
    </row>
    <row r="29">
      <c r="A29" s="148" t="s">
        <v>4161</v>
      </c>
      <c r="B29" s="161" t="s">
        <v>4162</v>
      </c>
      <c r="C29" s="313" t="s">
        <v>723</v>
      </c>
      <c r="D29" s="174" t="s">
        <v>4163</v>
      </c>
      <c r="E29" s="317" t="s">
        <v>4164</v>
      </c>
      <c r="F29" s="316" t="str">
        <f>IFERROR(__xludf.DUMMYFUNCTION("GOOGLETRANSLATE(C29,""zh-tw"",""ja"")"),"-")</f>
        <v>-</v>
      </c>
      <c r="G29" s="314" t="str">
        <f>IFERROR(__xludf.DUMMYFUNCTION("GOOGLETRANSLATE(A29,""zh-tw"",""en"")"),"Maid Bunny")</f>
        <v>Maid Bunny</v>
      </c>
      <c r="H29" s="317" t="s">
        <v>4165</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4166</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4167</v>
      </c>
      <c r="W29" s="317" t="s">
        <v>4168</v>
      </c>
      <c r="X29" s="319" t="s">
        <v>4169</v>
      </c>
      <c r="Y29" s="154" t="s">
        <v>4170</v>
      </c>
      <c r="Z29" s="164" t="s">
        <v>4171</v>
      </c>
      <c r="AA29" s="320" t="s">
        <v>723</v>
      </c>
      <c r="AB29" s="17"/>
      <c r="AC29" s="17"/>
      <c r="AD29" s="17"/>
      <c r="AE29" s="17"/>
    </row>
    <row r="30">
      <c r="A30" s="148" t="s">
        <v>4172</v>
      </c>
      <c r="B30" s="161" t="s">
        <v>4173</v>
      </c>
      <c r="C30" s="313" t="s">
        <v>723</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4174</v>
      </c>
      <c r="H30" s="317" t="s">
        <v>4175</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 antiguo")</f>
        <v>Manzana/Palo de madera dura/Espada de madera dura/Lanceta/Restos de árbol antiguo</v>
      </c>
      <c r="O30" s="318" t="str">
        <f>IFERROR(__xludf.DUMMYFUNCTION("GOOGLETRANSLATE(C30,""zh-tw"",""es-MX"")"),"-")</f>
        <v>-</v>
      </c>
      <c r="P30" s="148" t="s">
        <v>4176</v>
      </c>
      <c r="Q30" s="161" t="s">
        <v>4177</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4178</v>
      </c>
      <c r="W30" s="317" t="s">
        <v>4179</v>
      </c>
      <c r="X30" s="319" t="s">
        <v>4180</v>
      </c>
      <c r="Y30" s="154" t="s">
        <v>4181</v>
      </c>
      <c r="Z30" s="164" t="s">
        <v>4182</v>
      </c>
      <c r="AA30" s="320" t="s">
        <v>723</v>
      </c>
      <c r="AB30" s="17"/>
      <c r="AC30" s="17"/>
      <c r="AD30" s="17"/>
      <c r="AE30" s="17"/>
    </row>
    <row r="31">
      <c r="A31" s="148" t="s">
        <v>4183</v>
      </c>
      <c r="B31" s="161" t="s">
        <v>4184</v>
      </c>
      <c r="C31" s="313" t="s">
        <v>723</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4185</v>
      </c>
      <c r="H31" s="317" t="s">
        <v>4186</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8" t="str">
        <f>IFERROR(__xludf.DUMMYFUNCTION("GOOGLETRANSLATE(C31,""zh-tw"",""es-MX"")"),"-")</f>
        <v>-</v>
      </c>
      <c r="P31" s="149" t="str">
        <f>IFERROR(__xludf.DUMMYFUNCTION("GOOGLETRANSLATE(A31,""zh-tw"",""KO"")"),"광석")</f>
        <v>광석</v>
      </c>
      <c r="Q31" s="161" t="s">
        <v>4187</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4188</v>
      </c>
      <c r="W31" s="317" t="s">
        <v>4189</v>
      </c>
      <c r="X31" s="319" t="s">
        <v>4190</v>
      </c>
      <c r="Y31" s="154" t="s">
        <v>4191</v>
      </c>
      <c r="Z31" s="164" t="s">
        <v>4192</v>
      </c>
      <c r="AA31" s="320" t="s">
        <v>723</v>
      </c>
      <c r="AB31" s="17"/>
      <c r="AC31" s="17"/>
      <c r="AD31" s="17"/>
      <c r="AE31" s="17"/>
    </row>
    <row r="32">
      <c r="A32" s="148" t="s">
        <v>4193</v>
      </c>
      <c r="B32" s="161" t="s">
        <v>4194</v>
      </c>
      <c r="C32" s="313" t="s">
        <v>723</v>
      </c>
      <c r="D32" s="314" t="str">
        <f>IFERROR(__xludf.DUMMYFUNCTION("GOOGLETRANSLATE(A32,""zh-tw"",""ja"")"),"鉱石スライム")</f>
        <v>鉱石スライム</v>
      </c>
      <c r="E32" s="315" t="str">
        <f>IFERROR(__xludf.DUMMYFUNCTION("GOOGLETRANSLATE(B32,""zh-tw"",""ja"")"),"深淵の魔水晶群 / スライム / 汎用アイテム")</f>
        <v>深淵の魔水晶群 / スライム / 汎用アイテム</v>
      </c>
      <c r="F32" s="316" t="str">
        <f>IFERROR(__xludf.DUMMYFUNCTION("GOOGLETRANSLATE(C32,""zh-tw"",""ja"")"),"-")</f>
        <v>-</v>
      </c>
      <c r="G32" s="174" t="s">
        <v>4195</v>
      </c>
      <c r="H32" s="317" t="s">
        <v>4196</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IFERROR(__xludf.DUMMYFUNCTION("GOOGLETRANSLATE(B32,""zh-tw"",""es-MX"")"),"Racimo de Cristal Mágico Profundo / Limo Limo / Objeto de Uso General")</f>
        <v>Racimo de Cristal Mágico Profundo / Limo Limo / Objeto de Uso General</v>
      </c>
      <c r="O32" s="318" t="str">
        <f>IFERROR(__xludf.DUMMYFUNCTION("GOOGLETRANSLATE(C32,""zh-tw"",""es-MX"")"),"-")</f>
        <v>-</v>
      </c>
      <c r="P32" s="149" t="str">
        <f>IFERROR(__xludf.DUMMYFUNCTION("GOOGLETRANSLATE(A32,""zh-tw"",""KO"")"),"광석 슬라임")</f>
        <v>광석 슬라임</v>
      </c>
      <c r="Q32" s="161" t="s">
        <v>4197</v>
      </c>
      <c r="R32" s="318" t="str">
        <f>IFERROR(__xludf.DUMMYFUNCTION("GOOGLETRANSLATE(C32,""zh-tw"",""KO"")"),"-")</f>
        <v>-</v>
      </c>
      <c r="S32" s="314" t="str">
        <f>IFERROR(__xludf.DUMMYFUNCTION("GOOGLETRANSLATE(A32,""zh-tw"",""ru"")"),"Рудный слайм")</f>
        <v>Рудный слайм</v>
      </c>
      <c r="T32" s="315"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6" t="str">
        <f>IFERROR(__xludf.DUMMYFUNCTION("GOOGLETRANSLATE(C32,""zh-tw"",""ru"")"),"-")</f>
        <v>-</v>
      </c>
      <c r="V32" s="174" t="s">
        <v>4198</v>
      </c>
      <c r="W32" s="317" t="s">
        <v>4199</v>
      </c>
      <c r="X32" s="319" t="s">
        <v>3871</v>
      </c>
      <c r="Y32" s="154" t="s">
        <v>4200</v>
      </c>
      <c r="Z32" s="164" t="s">
        <v>4201</v>
      </c>
      <c r="AA32" s="320" t="s">
        <v>723</v>
      </c>
      <c r="AB32" s="17"/>
      <c r="AC32" s="17"/>
      <c r="AD32" s="17"/>
      <c r="AE32" s="17"/>
    </row>
    <row r="33">
      <c r="A33" s="148" t="s">
        <v>4202</v>
      </c>
      <c r="B33" s="161" t="s">
        <v>4203</v>
      </c>
      <c r="C33" s="313" t="s">
        <v>4204</v>
      </c>
      <c r="D33" s="314" t="str">
        <f>IFERROR(__xludf.DUMMYFUNCTION("GOOGLETRANSLATE(A33,""zh-tw"",""ja"")"),"狂乱の赤い獣")</f>
        <v>狂乱の赤い獣</v>
      </c>
      <c r="E33" s="317" t="s">
        <v>4205</v>
      </c>
      <c r="F33" s="319" t="s">
        <v>4206</v>
      </c>
      <c r="G33" s="174" t="s">
        <v>4207</v>
      </c>
      <c r="H33" s="317" t="s">
        <v>4208</v>
      </c>
      <c r="I33" s="319" t="s">
        <v>4209</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enloquecida")</f>
        <v>La bestia roja enloquecida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f>
        <v>Jefe de las Ruinas</v>
      </c>
      <c r="P33" s="149" t="str">
        <f>IFERROR(__xludf.DUMMYFUNCTION("GOOGLETRANSLATE(A33,""zh-tw"",""KO"")"),"광란의 붉은 짐승")</f>
        <v>광란의 붉은 짐승</v>
      </c>
      <c r="Q33" s="161" t="s">
        <v>4210</v>
      </c>
      <c r="R33" s="313" t="s">
        <v>4211</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4212</v>
      </c>
      <c r="W33" s="317" t="s">
        <v>4213</v>
      </c>
      <c r="X33" s="319" t="s">
        <v>4214</v>
      </c>
      <c r="Y33" s="154" t="s">
        <v>4215</v>
      </c>
      <c r="Z33" s="164" t="s">
        <v>4216</v>
      </c>
      <c r="AA33" s="320" t="s">
        <v>4217</v>
      </c>
      <c r="AB33" s="17"/>
      <c r="AC33" s="17"/>
      <c r="AD33" s="17"/>
      <c r="AE33" s="17"/>
    </row>
    <row r="34">
      <c r="A34" s="148" t="s">
        <v>4218</v>
      </c>
      <c r="B34" s="161" t="s">
        <v>4219</v>
      </c>
      <c r="C34" s="313" t="s">
        <v>723</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4220</v>
      </c>
      <c r="H34" s="317" t="s">
        <v>4221</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4222</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4223</v>
      </c>
      <c r="W34" s="317" t="s">
        <v>4224</v>
      </c>
      <c r="X34" s="319" t="s">
        <v>4225</v>
      </c>
      <c r="Y34" s="154" t="s">
        <v>4226</v>
      </c>
      <c r="Z34" s="164" t="s">
        <v>4227</v>
      </c>
      <c r="AA34" s="320" t="s">
        <v>723</v>
      </c>
      <c r="AB34" s="17"/>
      <c r="AC34" s="17"/>
      <c r="AD34" s="17"/>
      <c r="AE34" s="17"/>
    </row>
    <row r="35">
      <c r="A35" s="148" t="s">
        <v>4228</v>
      </c>
      <c r="B35" s="161" t="s">
        <v>4229</v>
      </c>
      <c r="C35" s="313" t="s">
        <v>723</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4230</v>
      </c>
      <c r="H35" s="317" t="s">
        <v>4231</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4232</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4233</v>
      </c>
      <c r="W35" s="317" t="s">
        <v>4234</v>
      </c>
      <c r="X35" s="319" t="s">
        <v>4225</v>
      </c>
      <c r="Y35" s="154" t="s">
        <v>4235</v>
      </c>
      <c r="Z35" s="164" t="s">
        <v>4236</v>
      </c>
      <c r="AA35" s="320" t="s">
        <v>723</v>
      </c>
      <c r="AB35" s="17"/>
      <c r="AC35" s="17"/>
      <c r="AD35" s="17"/>
      <c r="AE35" s="17"/>
    </row>
    <row r="36">
      <c r="A36" s="148" t="s">
        <v>4237</v>
      </c>
      <c r="B36" s="161" t="s">
        <v>4238</v>
      </c>
      <c r="C36" s="313" t="s">
        <v>723</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4239</v>
      </c>
      <c r="H36" s="317" t="s">
        <v>4240</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4241</v>
      </c>
      <c r="W36" s="317" t="s">
        <v>4242</v>
      </c>
      <c r="X36" s="319" t="s">
        <v>4225</v>
      </c>
      <c r="Y36" s="154" t="s">
        <v>4243</v>
      </c>
      <c r="Z36" s="164" t="s">
        <v>4244</v>
      </c>
      <c r="AA36" s="320" t="s">
        <v>723</v>
      </c>
      <c r="AB36" s="17"/>
      <c r="AC36" s="17"/>
      <c r="AD36" s="17"/>
      <c r="AE36" s="17"/>
    </row>
    <row r="37">
      <c r="A37" s="148" t="s">
        <v>4245</v>
      </c>
      <c r="B37" s="161" t="s">
        <v>4246</v>
      </c>
      <c r="C37" s="313" t="s">
        <v>723</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4247</v>
      </c>
      <c r="H37" s="317" t="s">
        <v>4248</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4249</v>
      </c>
      <c r="W37" s="317" t="s">
        <v>4250</v>
      </c>
      <c r="X37" s="319" t="s">
        <v>4225</v>
      </c>
      <c r="Y37" s="154" t="s">
        <v>4251</v>
      </c>
      <c r="Z37" s="164" t="s">
        <v>4252</v>
      </c>
      <c r="AA37" s="320" t="s">
        <v>723</v>
      </c>
      <c r="AB37" s="17"/>
      <c r="AC37" s="17"/>
      <c r="AD37" s="17"/>
      <c r="AE37" s="17"/>
    </row>
    <row r="38">
      <c r="A38" s="148" t="s">
        <v>4253</v>
      </c>
      <c r="B38" s="161" t="s">
        <v>4254</v>
      </c>
      <c r="C38" s="313" t="s">
        <v>723</v>
      </c>
      <c r="D38" s="314" t="str">
        <f>IFERROR(__xludf.DUMMYFUNCTION("GOOGLETRANSLATE(A38,""zh-tw"",""ja"")"),"角のあるウサギ")</f>
        <v>角のあるウサギ</v>
      </c>
      <c r="E38" s="317" t="s">
        <v>4255</v>
      </c>
      <c r="F38" s="316" t="str">
        <f>IFERROR(__xludf.DUMMYFUNCTION("GOOGLETRANSLATE(C38,""zh-tw"",""ja"")"),"-")</f>
        <v>-</v>
      </c>
      <c r="G38" s="174" t="s">
        <v>4256</v>
      </c>
      <c r="H38" s="317" t="s">
        <v>4257</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4258</v>
      </c>
      <c r="Q38" s="161" t="s">
        <v>4259</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4260</v>
      </c>
      <c r="W38" s="317" t="s">
        <v>4261</v>
      </c>
      <c r="X38" s="319" t="s">
        <v>3871</v>
      </c>
      <c r="Y38" s="154" t="s">
        <v>4262</v>
      </c>
      <c r="Z38" s="164" t="s">
        <v>4263</v>
      </c>
      <c r="AA38" s="320" t="s">
        <v>723</v>
      </c>
      <c r="AB38" s="17"/>
      <c r="AC38" s="17"/>
      <c r="AD38" s="17"/>
      <c r="AE38" s="17"/>
    </row>
    <row r="39">
      <c r="A39" s="148" t="s">
        <v>2696</v>
      </c>
      <c r="B39" s="161" t="s">
        <v>4264</v>
      </c>
      <c r="C39" s="313" t="s">
        <v>4265</v>
      </c>
      <c r="D39" s="314" t="str">
        <f>IFERROR(__xludf.DUMMYFUNCTION("GOOGLETRANSLATE(A39,""zh-tw"",""ja"")"),"かかし")</f>
        <v>かかし</v>
      </c>
      <c r="E39" s="317" t="s">
        <v>4266</v>
      </c>
      <c r="F39" s="319" t="s">
        <v>4267</v>
      </c>
      <c r="G39" s="174" t="s">
        <v>2702</v>
      </c>
      <c r="H39" s="317" t="s">
        <v>4268</v>
      </c>
      <c r="I39" s="319" t="s">
        <v>4269</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4270</v>
      </c>
      <c r="R39" s="313" t="s">
        <v>4271</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4272</v>
      </c>
      <c r="X39" s="319" t="s">
        <v>4273</v>
      </c>
      <c r="Y39" s="154" t="s">
        <v>2708</v>
      </c>
      <c r="Z39" s="164" t="s">
        <v>4274</v>
      </c>
      <c r="AA39" s="320" t="s">
        <v>4275</v>
      </c>
      <c r="AB39" s="17"/>
      <c r="AC39" s="17"/>
      <c r="AD39" s="17"/>
      <c r="AE39" s="17"/>
    </row>
    <row r="40">
      <c r="A40" s="148" t="s">
        <v>4276</v>
      </c>
      <c r="B40" s="161" t="s">
        <v>4277</v>
      </c>
      <c r="C40" s="313" t="s">
        <v>4278</v>
      </c>
      <c r="D40" s="314" t="str">
        <f>IFERROR(__xludf.DUMMYFUNCTION("GOOGLETRANSLATE(A40,""zh-tw"",""ja"")"),"浅羽")</f>
        <v>浅羽</v>
      </c>
      <c r="E40" s="317" t="s">
        <v>4279</v>
      </c>
      <c r="F40" s="319" t="s">
        <v>4280</v>
      </c>
      <c r="G40" s="174" t="s">
        <v>4281</v>
      </c>
      <c r="H40" s="317" t="s">
        <v>4282</v>
      </c>
      <c r="I40" s="319" t="s">
        <v>4283</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la chica gato")</f>
        <v>Carrito de la tienda de la chica gato</v>
      </c>
      <c r="P40" s="149" t="str">
        <f>IFERROR(__xludf.DUMMYFUNCTION("GOOGLETRANSLATE(A40,""zh-tw"",""KO"")"),"아사바")</f>
        <v>아사바</v>
      </c>
      <c r="Q40" s="161" t="s">
        <v>4284</v>
      </c>
      <c r="R40" s="313" t="s">
        <v>4285</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4281</v>
      </c>
      <c r="W40" s="317" t="s">
        <v>4286</v>
      </c>
      <c r="X40" s="319" t="s">
        <v>4287</v>
      </c>
      <c r="Y40" s="154" t="s">
        <v>4281</v>
      </c>
      <c r="Z40" s="164" t="s">
        <v>4288</v>
      </c>
      <c r="AA40" s="320" t="s">
        <v>4289</v>
      </c>
      <c r="AB40" s="17"/>
      <c r="AC40" s="17"/>
      <c r="AD40" s="17"/>
      <c r="AE40" s="17"/>
    </row>
    <row r="41">
      <c r="A41" s="148" t="s">
        <v>4290</v>
      </c>
      <c r="B41" s="161" t="s">
        <v>4291</v>
      </c>
      <c r="C41" s="313" t="s">
        <v>723</v>
      </c>
      <c r="D41" s="148" t="s">
        <v>4292</v>
      </c>
      <c r="E41" s="161" t="s">
        <v>4293</v>
      </c>
      <c r="F41" s="316" t="str">
        <f>IFERROR(__xludf.DUMMYFUNCTION("GOOGLETRANSLATE(C41,""zh-tw"",""ja"")"),"-")</f>
        <v>-</v>
      </c>
      <c r="G41" s="148" t="s">
        <v>4294</v>
      </c>
      <c r="H41" s="161" t="s">
        <v>4295</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4296</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4297</v>
      </c>
      <c r="W41" s="317" t="s">
        <v>4298</v>
      </c>
      <c r="X41" s="319" t="s">
        <v>3871</v>
      </c>
      <c r="Y41" s="154" t="s">
        <v>4299</v>
      </c>
      <c r="Z41" s="164" t="s">
        <v>4300</v>
      </c>
      <c r="AA41" s="320" t="s">
        <v>723</v>
      </c>
      <c r="AB41" s="17"/>
      <c r="AC41" s="17"/>
      <c r="AD41" s="17"/>
      <c r="AE41" s="17"/>
    </row>
    <row r="42">
      <c r="A42" s="148" t="s">
        <v>4301</v>
      </c>
      <c r="B42" s="161" t="s">
        <v>4302</v>
      </c>
      <c r="C42" s="313" t="s">
        <v>723</v>
      </c>
      <c r="D42" s="148" t="s">
        <v>4303</v>
      </c>
      <c r="E42" s="161" t="s">
        <v>4304</v>
      </c>
      <c r="F42" s="316" t="str">
        <f>IFERROR(__xludf.DUMMYFUNCTION("GOOGLETRANSLATE(C42,""zh-tw"",""ja"")"),"-")</f>
        <v>-</v>
      </c>
      <c r="G42" s="148" t="s">
        <v>4305</v>
      </c>
      <c r="H42" s="161" t="s">
        <v>4306</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4307</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4308</v>
      </c>
      <c r="W42" s="317" t="s">
        <v>4309</v>
      </c>
      <c r="X42" s="319" t="s">
        <v>3871</v>
      </c>
      <c r="Y42" s="154" t="s">
        <v>4310</v>
      </c>
      <c r="Z42" s="164" t="s">
        <v>4311</v>
      </c>
      <c r="AA42" s="320" t="s">
        <v>723</v>
      </c>
      <c r="AB42" s="17"/>
      <c r="AC42" s="17"/>
      <c r="AD42" s="17"/>
      <c r="AE42" s="17"/>
    </row>
    <row r="43">
      <c r="A43" s="148" t="s">
        <v>4312</v>
      </c>
      <c r="B43" s="161" t="s">
        <v>4313</v>
      </c>
      <c r="C43" s="313" t="s">
        <v>723</v>
      </c>
      <c r="D43" s="148" t="s">
        <v>4312</v>
      </c>
      <c r="E43" s="161" t="s">
        <v>4314</v>
      </c>
      <c r="F43" s="316" t="str">
        <f>IFERROR(__xludf.DUMMYFUNCTION("GOOGLETRANSLATE(C43,""zh-tw"",""ja"")"),"-")</f>
        <v>-</v>
      </c>
      <c r="G43" s="148" t="s">
        <v>4315</v>
      </c>
      <c r="H43" s="161" t="s">
        <v>4316</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la llama")</f>
        <v>Demonio de la llama</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4315</v>
      </c>
      <c r="W43" s="317" t="s">
        <v>4317</v>
      </c>
      <c r="X43" s="319" t="s">
        <v>3871</v>
      </c>
      <c r="Y43" s="154" t="s">
        <v>4315</v>
      </c>
      <c r="Z43" s="164" t="s">
        <v>4318</v>
      </c>
      <c r="AA43" s="320" t="s">
        <v>723</v>
      </c>
      <c r="AB43" s="17"/>
      <c r="AC43" s="17"/>
      <c r="AD43" s="17"/>
      <c r="AE43" s="17"/>
    </row>
    <row r="44">
      <c r="A44" s="149" t="s">
        <v>4319</v>
      </c>
      <c r="B44" s="161" t="s">
        <v>4320</v>
      </c>
      <c r="C44" s="313" t="s">
        <v>4321</v>
      </c>
      <c r="D44" s="149" t="s">
        <v>4322</v>
      </c>
      <c r="E44" s="161" t="s">
        <v>4323</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4324</v>
      </c>
      <c r="H44" s="161" t="s">
        <v>4325</v>
      </c>
      <c r="I44" s="313" t="s">
        <v>4326</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4327</v>
      </c>
      <c r="W44" s="162" t="s">
        <v>4328</v>
      </c>
      <c r="X44" s="313" t="s">
        <v>723</v>
      </c>
      <c r="Y44" s="180" t="s">
        <v>4329</v>
      </c>
      <c r="Z44" s="164" t="s">
        <v>4330</v>
      </c>
      <c r="AA44" s="320" t="s">
        <v>4331</v>
      </c>
      <c r="AB44" s="200"/>
      <c r="AC44" s="200"/>
      <c r="AD44" s="200"/>
      <c r="AE44" s="200"/>
    </row>
    <row r="45">
      <c r="A45" s="148" t="s">
        <v>4332</v>
      </c>
      <c r="B45" s="161" t="s">
        <v>4333</v>
      </c>
      <c r="C45" s="313" t="s">
        <v>4334</v>
      </c>
      <c r="D45" s="148" t="s">
        <v>4332</v>
      </c>
      <c r="E45" s="161" t="s">
        <v>4335</v>
      </c>
      <c r="F45" s="313" t="s">
        <v>4336</v>
      </c>
      <c r="G45" s="148" t="s">
        <v>4332</v>
      </c>
      <c r="H45" s="161" t="s">
        <v>4337</v>
      </c>
      <c r="I45" s="313" t="s">
        <v>4338</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IFERROR(__xludf.DUMMYFUNCTION("GOOGLETRANSLATE(C45,""zh-tw"",""es-MX"")"),"Doro Asaba comerá las fresas que encuentre al borde del camino.")</f>
        <v>Doro Asaba comerá las fresas que encuentre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IFERROR(__xludf.DUMMYFUNCTION("GOOGLETRANSLATE(C45,""zh-tw"",""KO"")"),"도로 아사바는 길가에서 딸기를 먹을 것이다.")</f>
        <v>도로 아사바는 길가에서 딸기를 먹을 것이다.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IFERROR(__xludf.DUMMYFUNCTION("GOOGLETRANSLATE(C45,""zh-tw"",""ru"")"),"Доро Асаба будет есть клубнику у дороги.")</f>
        <v>Доро Асаба будет есть клубнику у дороги.</v>
      </c>
      <c r="V45" s="148" t="s">
        <v>4332</v>
      </c>
      <c r="W45" s="161" t="s">
        <v>4339</v>
      </c>
      <c r="X45" s="313" t="s">
        <v>4340</v>
      </c>
      <c r="Y45" s="154" t="s">
        <v>4341</v>
      </c>
      <c r="Z45" s="164" t="s">
        <v>4342</v>
      </c>
      <c r="AA45" s="320" t="s">
        <v>4343</v>
      </c>
      <c r="AB45" s="17"/>
      <c r="AC45" s="17"/>
      <c r="AD45" s="17"/>
      <c r="AE45" s="17"/>
    </row>
    <row r="46">
      <c r="A46" s="148" t="s">
        <v>4344</v>
      </c>
      <c r="B46" s="161" t="s">
        <v>4345</v>
      </c>
      <c r="C46" s="313" t="s">
        <v>4346</v>
      </c>
      <c r="D46" s="148" t="s">
        <v>4347</v>
      </c>
      <c r="E46" s="161" t="s">
        <v>4348</v>
      </c>
      <c r="F46" s="313" t="s">
        <v>4346</v>
      </c>
      <c r="G46" s="148" t="s">
        <v>4349</v>
      </c>
      <c r="H46" s="161" t="s">
        <v>4350</v>
      </c>
      <c r="I46" s="313" t="s">
        <v>4346</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3" t="s">
        <v>4346</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4346</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4346</v>
      </c>
      <c r="V46" s="148"/>
      <c r="W46" s="161" t="s">
        <v>4351</v>
      </c>
      <c r="X46" s="313" t="s">
        <v>4346</v>
      </c>
      <c r="Y46" s="154" t="s">
        <v>4341</v>
      </c>
      <c r="Z46" s="164" t="s">
        <v>4352</v>
      </c>
      <c r="AA46" s="320" t="s">
        <v>4346</v>
      </c>
      <c r="AB46" s="17"/>
      <c r="AC46" s="17"/>
      <c r="AD46" s="17"/>
      <c r="AE46" s="17"/>
    </row>
    <row r="47">
      <c r="A47" s="149" t="s">
        <v>4353</v>
      </c>
      <c r="B47" s="162" t="s">
        <v>4354</v>
      </c>
      <c r="C47" s="313" t="s">
        <v>4346</v>
      </c>
      <c r="D47" s="149" t="s">
        <v>4355</v>
      </c>
      <c r="E47" s="162" t="s">
        <v>4356</v>
      </c>
      <c r="F47" s="313" t="s">
        <v>4346</v>
      </c>
      <c r="G47" s="149" t="s">
        <v>4357</v>
      </c>
      <c r="H47" s="161" t="s">
        <v>4358</v>
      </c>
      <c r="I47" s="313" t="s">
        <v>4346</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4359</v>
      </c>
      <c r="P47" s="149" t="str">
        <f>IFERROR(__xludf.DUMMYFUNCTION("GOOGLETRANSLATE(A47,""zh-tw"",""KO"")"),"작은 정원의 흰 토끼")</f>
        <v>작은 정원의 흰 토끼</v>
      </c>
      <c r="Q47" s="162" t="str">
        <f>IFERROR(__xludf.DUMMYFUNCTION("GOOGLETRANSLATE(B47,""zh-tw"",""KO"")"),"당근 검 / 당근")</f>
        <v>당근 검 / 당근</v>
      </c>
      <c r="R47" s="313" t="s">
        <v>4346</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4346</v>
      </c>
      <c r="V47" s="149" t="s">
        <v>4360</v>
      </c>
      <c r="W47" s="162" t="s">
        <v>4361</v>
      </c>
      <c r="X47" s="313" t="s">
        <v>4359</v>
      </c>
      <c r="Y47" s="180" t="s">
        <v>4362</v>
      </c>
      <c r="Z47" s="182" t="s">
        <v>4363</v>
      </c>
      <c r="AA47" s="320" t="s">
        <v>4346</v>
      </c>
      <c r="AB47" s="17"/>
      <c r="AC47" s="17"/>
      <c r="AD47" s="17"/>
      <c r="AE47" s="17"/>
    </row>
    <row r="48">
      <c r="A48" s="148" t="s">
        <v>4364</v>
      </c>
      <c r="B48" s="161" t="s">
        <v>4365</v>
      </c>
      <c r="C48" s="313" t="s">
        <v>723</v>
      </c>
      <c r="D48" s="148" t="s">
        <v>4366</v>
      </c>
      <c r="E48" s="161" t="s">
        <v>4367</v>
      </c>
      <c r="F48" s="318"/>
      <c r="G48" s="148" t="s">
        <v>4368</v>
      </c>
      <c r="H48" s="161" t="s">
        <v>4369</v>
      </c>
      <c r="I48" s="313" t="s">
        <v>723</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4370</v>
      </c>
      <c r="W48" s="161" t="s">
        <v>4371</v>
      </c>
      <c r="X48" s="313" t="s">
        <v>723</v>
      </c>
      <c r="Y48" s="154" t="s">
        <v>4372</v>
      </c>
      <c r="Z48" s="186" t="s">
        <v>4373</v>
      </c>
      <c r="AA48" s="320" t="s">
        <v>723</v>
      </c>
      <c r="AB48" s="17"/>
      <c r="AC48" s="17"/>
      <c r="AD48" s="17"/>
      <c r="AE48" s="17"/>
    </row>
    <row r="49">
      <c r="A49" s="148" t="s">
        <v>4374</v>
      </c>
      <c r="B49" s="322" t="s">
        <v>4375</v>
      </c>
      <c r="C49" s="313" t="s">
        <v>4376</v>
      </c>
      <c r="D49" s="148" t="s">
        <v>4377</v>
      </c>
      <c r="E49" s="161" t="s">
        <v>4378</v>
      </c>
      <c r="F49" s="313" t="s">
        <v>4379</v>
      </c>
      <c r="G49" s="148" t="s">
        <v>4380</v>
      </c>
      <c r="H49" s="161" t="s">
        <v>4381</v>
      </c>
      <c r="I49" s="313" t="s">
        <v>4382</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4383</v>
      </c>
      <c r="W49" s="323" t="s">
        <v>4384</v>
      </c>
      <c r="X49" s="313" t="s">
        <v>4385</v>
      </c>
      <c r="Y49" s="154" t="s">
        <v>4386</v>
      </c>
      <c r="Z49" s="164" t="s">
        <v>4387</v>
      </c>
      <c r="AA49" s="320" t="s">
        <v>4388</v>
      </c>
      <c r="AB49" s="17"/>
      <c r="AC49" s="17"/>
      <c r="AD49" s="17"/>
      <c r="AE49" s="17"/>
    </row>
    <row r="50">
      <c r="A50" s="148" t="s">
        <v>4389</v>
      </c>
      <c r="B50" s="162" t="s">
        <v>4390</v>
      </c>
      <c r="C50" s="313" t="s">
        <v>4376</v>
      </c>
      <c r="D50" s="148" t="s">
        <v>4391</v>
      </c>
      <c r="E50" s="161" t="s">
        <v>4392</v>
      </c>
      <c r="F50" s="313" t="s">
        <v>4379</v>
      </c>
      <c r="G50" s="148" t="s">
        <v>4393</v>
      </c>
      <c r="H50" s="161" t="s">
        <v>4394</v>
      </c>
      <c r="I50" s="313" t="s">
        <v>4382</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8"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4395</v>
      </c>
      <c r="W50" s="323" t="s">
        <v>4396</v>
      </c>
      <c r="X50" s="313" t="s">
        <v>4385</v>
      </c>
      <c r="Y50" s="154" t="s">
        <v>4397</v>
      </c>
      <c r="Z50" s="182" t="s">
        <v>4398</v>
      </c>
      <c r="AA50" s="320" t="s">
        <v>4388</v>
      </c>
      <c r="AB50" s="17"/>
      <c r="AC50" s="17"/>
      <c r="AD50" s="17"/>
      <c r="AE50" s="17"/>
    </row>
    <row r="51">
      <c r="A51" s="148" t="s">
        <v>4399</v>
      </c>
      <c r="B51" s="161" t="s">
        <v>4400</v>
      </c>
      <c r="C51" s="313" t="s">
        <v>4401</v>
      </c>
      <c r="D51" s="148" t="s">
        <v>4402</v>
      </c>
      <c r="E51" s="161" t="s">
        <v>4403</v>
      </c>
      <c r="F51" s="313" t="s">
        <v>4404</v>
      </c>
      <c r="G51" s="148" t="s">
        <v>4405</v>
      </c>
      <c r="H51" s="161" t="s">
        <v>4406</v>
      </c>
      <c r="I51" s="313" t="s">
        <v>4407</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IFERROR(__xludf.DUMMYFUNCTION("GOOGLETRANSLATE(B51,""zh-tw"",""es-MX"")"),"◉▽◉(Rosa)/Real Decreto")</f>
        <v>◉▽◉(Rosa)/Real Decreto</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4408</v>
      </c>
      <c r="W51" s="323" t="s">
        <v>4409</v>
      </c>
      <c r="X51" s="313" t="s">
        <v>4410</v>
      </c>
      <c r="Y51" s="154" t="s">
        <v>4411</v>
      </c>
      <c r="Z51" s="164" t="s">
        <v>4412</v>
      </c>
      <c r="AA51" s="320" t="s">
        <v>4413</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row>
    <row r="2" ht="55.5" customHeight="1">
      <c r="S2" s="300"/>
      <c r="T2" s="300"/>
    </row>
    <row r="3">
      <c r="A3" s="328" t="s">
        <v>4414</v>
      </c>
      <c r="B3" s="72" t="s">
        <v>4415</v>
      </c>
      <c r="C3" s="328" t="str">
        <f>IFERROR(__xludf.DUMMYFUNCTION("GOOGLETRANSLATE(A3,""zh-tw"",""ja"")"),"武器プロジェクト")</f>
        <v>武器プロジェクト</v>
      </c>
      <c r="D3" s="72" t="str">
        <f>IFERROR(__xludf.DUMMYFUNCTION("GOOGLETRANSLATE(B3,""zh-tw"",""ja"")"),"武器の属性")</f>
        <v>武器の属性</v>
      </c>
      <c r="E3" s="328" t="s">
        <v>4416</v>
      </c>
      <c r="F3" s="72" t="s">
        <v>4417</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del arma")</f>
        <v>atributos del arma</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4418</v>
      </c>
      <c r="P3" s="72" t="s">
        <v>4419</v>
      </c>
      <c r="Q3" s="331" t="s">
        <v>4420</v>
      </c>
      <c r="R3" s="332" t="s">
        <v>4421</v>
      </c>
      <c r="S3" s="312"/>
      <c r="T3" s="312"/>
    </row>
    <row r="4">
      <c r="A4" s="333" t="s">
        <v>4422</v>
      </c>
      <c r="B4" s="161" t="s">
        <v>4423</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4424</v>
      </c>
      <c r="F4" s="317" t="s">
        <v>4425</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poder de ataque aumenta según los HP máximos.")</f>
        <v>Ataque físico: 2. El poder de ataque aumenta según los HP máximos.</v>
      </c>
      <c r="K4" s="333" t="s">
        <v>4426</v>
      </c>
      <c r="L4" s="161" t="s">
        <v>4427</v>
      </c>
      <c r="M4" s="336" t="str">
        <f>IFERROR(__xludf.DUMMYFUNCTION("GOOGLETRANSLATE(A4,""zh-tw"",""ru"")"),"Сжатый кулак")</f>
        <v>Сжатый кулак</v>
      </c>
      <c r="N4" s="315"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34" t="s">
        <v>4428</v>
      </c>
      <c r="P4" s="317" t="s">
        <v>4429</v>
      </c>
      <c r="Q4" s="337" t="s">
        <v>4430</v>
      </c>
      <c r="R4" s="338" t="s">
        <v>4431</v>
      </c>
      <c r="S4" s="17"/>
      <c r="T4" s="17"/>
    </row>
    <row r="5">
      <c r="A5" s="334" t="s">
        <v>4432</v>
      </c>
      <c r="B5" s="317" t="s">
        <v>4433</v>
      </c>
      <c r="C5" s="334" t="s">
        <v>4434</v>
      </c>
      <c r="D5" s="317" t="str">
        <f>IFERROR(__xludf.DUMMYFUNCTION("GOOGLETRANSLATE(B5,""zh-tw"",""ja"")"),"物理攻撃力: 15")</f>
        <v>物理攻撃力: 15</v>
      </c>
      <c r="E5" s="334" t="s">
        <v>4435</v>
      </c>
      <c r="F5" s="317" t="s">
        <v>4436</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4437</v>
      </c>
      <c r="L5" s="161" t="s">
        <v>4438</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4439</v>
      </c>
      <c r="P5" s="317" t="s">
        <v>4440</v>
      </c>
      <c r="Q5" s="337" t="s">
        <v>4441</v>
      </c>
      <c r="R5" s="338" t="s">
        <v>4442</v>
      </c>
      <c r="S5" s="205"/>
      <c r="T5" s="205"/>
    </row>
    <row r="6">
      <c r="A6" s="334" t="s">
        <v>4443</v>
      </c>
      <c r="B6" s="317" t="s">
        <v>4444</v>
      </c>
      <c r="C6" s="334" t="s">
        <v>4445</v>
      </c>
      <c r="D6" s="317" t="str">
        <f>IFERROR(__xludf.DUMMYFUNCTION("GOOGLETRANSLATE(B6,""zh-tw"",""ja"")"),"物理攻撃力: 14")</f>
        <v>物理攻撃力: 14</v>
      </c>
      <c r="E6" s="334" t="s">
        <v>4446</v>
      </c>
      <c r="F6" s="317" t="s">
        <v>4447</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4448</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4449</v>
      </c>
      <c r="P6" s="317" t="s">
        <v>4450</v>
      </c>
      <c r="Q6" s="337" t="s">
        <v>4451</v>
      </c>
      <c r="R6" s="338" t="s">
        <v>4452</v>
      </c>
      <c r="S6" s="205"/>
      <c r="T6" s="205"/>
    </row>
    <row r="7">
      <c r="A7" s="334" t="s">
        <v>4453</v>
      </c>
      <c r="B7" s="317" t="s">
        <v>4454</v>
      </c>
      <c r="C7" s="334" t="str">
        <f>IFERROR(__xludf.DUMMYFUNCTION("GOOGLETRANSLATE(A7,""zh-tw"",""ja"")"),"伐採斧")</f>
        <v>伐採斧</v>
      </c>
      <c r="D7" s="317" t="str">
        <f>IFERROR(__xludf.DUMMYFUNCTION("GOOGLETRANSLATE(B7,""zh-tw"",""ja"")"),"物理攻撃力: 24")</f>
        <v>物理攻撃力: 24</v>
      </c>
      <c r="E7" s="334" t="s">
        <v>4455</v>
      </c>
      <c r="F7" s="317" t="s">
        <v>4456</v>
      </c>
      <c r="G7" s="334" t="str">
        <f>IFERROR(__xludf.DUMMYFUNCTION("GOOGLETRANSLATE(A7,""zh-tw"",""zh"")"),"伐木斧")</f>
        <v>伐木斧</v>
      </c>
      <c r="H7" s="317" t="str">
        <f>IFERROR(__xludf.DUMMYFUNCTION("GOOGLETRANSLATE(B7,""zh-tw"",""zh"")"),"物攻：24")</f>
        <v>物攻：24</v>
      </c>
      <c r="I7" s="335" t="str">
        <f>IFERROR(__xludf.DUMMYFUNCTION("GOOGLETRANSLATE(A7,""zh-tw"",""es-MX"")"),"hacha de leñador")</f>
        <v>hacha de leñador</v>
      </c>
      <c r="J7" s="162" t="str">
        <f>IFERROR(__xludf.DUMMYFUNCTION("GOOGLETRANSLATE(B7,""zh-tw"",""es-MX"")"),"Ataque físico: 24")</f>
        <v>Ataque físico: 24</v>
      </c>
      <c r="K7" s="333" t="s">
        <v>4457</v>
      </c>
      <c r="L7" s="161" t="s">
        <v>4458</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4459</v>
      </c>
      <c r="P7" s="317" t="s">
        <v>4460</v>
      </c>
      <c r="Q7" s="337" t="s">
        <v>4461</v>
      </c>
      <c r="R7" s="338" t="s">
        <v>4462</v>
      </c>
      <c r="S7" s="205"/>
      <c r="T7" s="205"/>
    </row>
    <row r="8">
      <c r="A8" s="334" t="s">
        <v>4463</v>
      </c>
      <c r="B8" s="317" t="s">
        <v>4464</v>
      </c>
      <c r="C8" s="334" t="str">
        <f>IFERROR(__xludf.DUMMYFUNCTION("GOOGLETRANSLATE(A8,""zh-tw"",""ja"")"),"騎士の剣")</f>
        <v>騎士の剣</v>
      </c>
      <c r="D8" s="317" t="str">
        <f>IFERROR(__xludf.DUMMYFUNCTION("GOOGLETRANSLATE(B8,""zh-tw"",""ja"")"),"物理攻撃力：30（条件を満たすと2倍）")</f>
        <v>物理攻撃力：30（条件を満たすと2倍）</v>
      </c>
      <c r="E8" s="334" t="s">
        <v>4011</v>
      </c>
      <c r="F8" s="317" t="s">
        <v>4465</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4466</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4015</v>
      </c>
      <c r="P8" s="317" t="s">
        <v>4467</v>
      </c>
      <c r="Q8" s="337" t="s">
        <v>4468</v>
      </c>
      <c r="R8" s="338" t="s">
        <v>4469</v>
      </c>
      <c r="S8" s="205"/>
      <c r="T8" s="205"/>
    </row>
    <row r="9">
      <c r="A9" s="334" t="s">
        <v>4470</v>
      </c>
      <c r="B9" s="317" t="s">
        <v>4471</v>
      </c>
      <c r="C9" s="334" t="s">
        <v>4472</v>
      </c>
      <c r="D9" s="317" t="str">
        <f>IFERROR(__xludf.DUMMYFUNCTION("GOOGLETRANSLATE(B9,""zh-tw"",""ja"")"),"物理攻撃力: 42")</f>
        <v>物理攻撃力: 42</v>
      </c>
      <c r="E9" s="334" t="s">
        <v>4473</v>
      </c>
      <c r="F9" s="317" t="s">
        <v>4474</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 de orco")</f>
        <v>Caldero de hueso de orco</v>
      </c>
      <c r="J9" s="162" t="str">
        <f>IFERROR(__xludf.DUMMYFUNCTION("GOOGLETRANSLATE(B9,""zh-tw"",""es-MX"")"),"Ataque físico: 42")</f>
        <v>Ataque físico: 42</v>
      </c>
      <c r="K9" s="334" t="s">
        <v>4475</v>
      </c>
      <c r="L9" s="161" t="s">
        <v>4476</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4477</v>
      </c>
      <c r="P9" s="317" t="s">
        <v>4478</v>
      </c>
      <c r="Q9" s="337" t="s">
        <v>4479</v>
      </c>
      <c r="R9" s="338" t="s">
        <v>4480</v>
      </c>
      <c r="S9" s="205"/>
      <c r="T9" s="205"/>
    </row>
    <row r="10">
      <c r="A10" s="335" t="s">
        <v>4481</v>
      </c>
      <c r="B10" s="162" t="s">
        <v>4482</v>
      </c>
      <c r="C10" s="335" t="s">
        <v>4483</v>
      </c>
      <c r="D10" s="322" t="s">
        <v>4484</v>
      </c>
      <c r="E10" s="339" t="s">
        <v>4485</v>
      </c>
      <c r="F10" s="322" t="s">
        <v>4486</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4487</v>
      </c>
      <c r="P10" s="322" t="s">
        <v>4488</v>
      </c>
      <c r="Q10" s="337" t="s">
        <v>4489</v>
      </c>
      <c r="R10" s="338" t="s">
        <v>4490</v>
      </c>
      <c r="S10" s="17"/>
      <c r="T10" s="17"/>
    </row>
    <row r="11">
      <c r="A11" s="334" t="s">
        <v>4491</v>
      </c>
      <c r="B11" s="317" t="s">
        <v>4492</v>
      </c>
      <c r="C11" s="334" t="s">
        <v>4493</v>
      </c>
      <c r="D11" s="317" t="str">
        <f>IFERROR(__xludf.DUMMYFUNCTION("GOOGLETRANSLATE(B11,""zh-tw"",""ja"")"),"物理攻撃: 20 飛び道具を反射する")</f>
        <v>物理攻撃: 20 飛び道具を反射する</v>
      </c>
      <c r="E11" s="334" t="s">
        <v>4494</v>
      </c>
      <c r="F11" s="317" t="s">
        <v>4495</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4496</v>
      </c>
      <c r="L11" s="161" t="s">
        <v>4497</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4498</v>
      </c>
      <c r="P11" s="317" t="s">
        <v>4499</v>
      </c>
      <c r="Q11" s="337" t="s">
        <v>4500</v>
      </c>
      <c r="R11" s="338" t="s">
        <v>4501</v>
      </c>
      <c r="S11" s="205"/>
      <c r="T11" s="205"/>
    </row>
    <row r="12">
      <c r="A12" s="334" t="s">
        <v>4502</v>
      </c>
      <c r="B12" s="317" t="s">
        <v>4503</v>
      </c>
      <c r="C12" s="334" t="s">
        <v>4504</v>
      </c>
      <c r="D12" s="317" t="str">
        <f>IFERROR(__xludf.DUMMYFUNCTION("GOOGLETRANSLATE(B12,""zh-tw"",""ja"")"),"物理攻撃力: 14 悪臭を放つ")</f>
        <v>物理攻撃力: 14 悪臭を放つ</v>
      </c>
      <c r="E12" s="334" t="s">
        <v>4505</v>
      </c>
      <c r="F12" s="317" t="s">
        <v>4506</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4507</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4508</v>
      </c>
      <c r="P12" s="317" t="s">
        <v>4509</v>
      </c>
      <c r="Q12" s="337" t="s">
        <v>4510</v>
      </c>
      <c r="R12" s="338" t="s">
        <v>4511</v>
      </c>
      <c r="S12" s="205"/>
      <c r="T12" s="205"/>
    </row>
    <row r="13">
      <c r="A13" s="334" t="s">
        <v>4512</v>
      </c>
      <c r="B13" s="317" t="s">
        <v>4513</v>
      </c>
      <c r="C13" s="334" t="str">
        <f>IFERROR(__xludf.DUMMYFUNCTION("GOOGLETRANSLATE(A13,""zh-tw"",""ja"")"),"かげろう")</f>
        <v>かげろう</v>
      </c>
      <c r="D13" s="317" t="str">
        <f>IFERROR(__xludf.DUMMYFUNCTION("GOOGLETRANSLATE(B13,""zh-tw"",""ja"")"),"物理攻撃力：24
魔法攻撃力：16
火属性")</f>
        <v>物理攻撃力：24
魔法攻撃力：16
火属性</v>
      </c>
      <c r="E13" s="334" t="s">
        <v>4514</v>
      </c>
      <c r="F13" s="317" t="s">
        <v>4515</v>
      </c>
      <c r="G13" s="334" t="str">
        <f>IFERROR(__xludf.DUMMYFUNCTION("GOOGLETRANSLATE(A13,""zh-tw"",""zh"")"),"阳炎")</f>
        <v>阳炎</v>
      </c>
      <c r="H13" s="317" t="str">
        <f>IFERROR(__xludf.DUMMYFUNCTION("GOOGLETRANSLATE(B13,""zh-tw"",""zh"")"),"物攻：24
魔攻：16
炎属性")</f>
        <v>物攻：24
魔攻：16
炎属性</v>
      </c>
      <c r="I13" s="335" t="str">
        <f>IFERROR(__xludf.DUMMYFUNCTION("GOOGLETRANSLATE(A13,""zh-tw"",""es-MX"")"),"kagerou")</f>
        <v>kagerou</v>
      </c>
      <c r="J13" s="162" t="str">
        <f>IFERROR(__xludf.DUMMYFUNCTION("GOOGLETRANSLATE(B13,""zh-tw"",""es-MX"")"),"Ataque físico: 24
Ataque mágico: 16
Atributo de fuego")</f>
        <v>Ataque físico: 24
Ataque mágico: 16
Atributo de fuego</v>
      </c>
      <c r="K13" s="334" t="s">
        <v>4516</v>
      </c>
      <c r="L13" s="161" t="s">
        <v>4517</v>
      </c>
      <c r="M13" s="336" t="str">
        <f>IFERROR(__xludf.DUMMYFUNCTION("GOOGLETRANSLATE(A13,""zh-tw"",""ru"")"),"Кагеро")</f>
        <v>Кагеро</v>
      </c>
      <c r="N13" s="315" t="str">
        <f>IFERROR(__xludf.DUMMYFUNCTION("GOOGLETRANSLATE(B13,""zh-tw"",""ru"")"),"Физическая атака: 24
Магическая атака: 16
Атрибут огня")</f>
        <v>Физическая атака: 24
Магическая атака: 16
Атрибут огня</v>
      </c>
      <c r="O13" s="334" t="s">
        <v>4518</v>
      </c>
      <c r="P13" s="317" t="s">
        <v>4519</v>
      </c>
      <c r="Q13" s="337" t="s">
        <v>4520</v>
      </c>
      <c r="R13" s="323" t="s">
        <v>4521</v>
      </c>
      <c r="S13" s="205"/>
      <c r="T13" s="205"/>
    </row>
    <row r="14">
      <c r="A14" s="334" t="s">
        <v>4522</v>
      </c>
      <c r="B14" s="317" t="s">
        <v>4523</v>
      </c>
      <c r="C14" s="334" t="s">
        <v>4522</v>
      </c>
      <c r="D14" s="317" t="str">
        <f>IFERROR(__xludf.DUMMYFUNCTION("GOOGLETRANSLATE(B14,""zh-tw"",""ja"")"),"物理攻撃力：20
魔法攻撃力：14
氷属性")</f>
        <v>物理攻撃力：20
魔法攻撃力：14
氷属性</v>
      </c>
      <c r="E14" s="334" t="s">
        <v>4524</v>
      </c>
      <c r="F14" s="317" t="s">
        <v>4525</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3" t="s">
        <v>4526</v>
      </c>
      <c r="L14" s="161" t="s">
        <v>4527</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4528</v>
      </c>
      <c r="P14" s="317" t="s">
        <v>4529</v>
      </c>
      <c r="Q14" s="337" t="s">
        <v>4530</v>
      </c>
      <c r="R14" s="338" t="s">
        <v>4531</v>
      </c>
      <c r="S14" s="205"/>
      <c r="T14" s="205"/>
    </row>
    <row r="15">
      <c r="A15" s="334" t="s">
        <v>4532</v>
      </c>
      <c r="B15" s="317" t="s">
        <v>4533</v>
      </c>
      <c r="C15" s="334" t="str">
        <f>IFERROR(__xludf.DUMMYFUNCTION("GOOGLETRANSLATE(A15,""zh-tw"",""ja"")"),"漏電の可能性がある欠陥製品")</f>
        <v>漏電の可能性がある欠陥製品</v>
      </c>
      <c r="D15" s="317" t="str">
        <f>IFERROR(__xludf.DUMMYFUNCTION("GOOGLETRANSLATE(B15,""zh-tw"",""ja"")"),"物理攻撃力：28
魔法攻撃力：12
電撃属性")</f>
        <v>物理攻撃力：28
魔法攻撃力：12
電撃属性</v>
      </c>
      <c r="E15" s="334" t="s">
        <v>4534</v>
      </c>
      <c r="F15" s="317" t="s">
        <v>4535</v>
      </c>
      <c r="G15" s="334" t="str">
        <f>IFERROR(__xludf.DUMMYFUNCTION("GOOGLETRANSLATE(A15,""zh-tw"",""zh"")"),"会漏电的不良品")</f>
        <v>会漏电的不良品</v>
      </c>
      <c r="H15" s="317" t="str">
        <f>IFERROR(__xludf.DUMMYFUNCTION("GOOGLETRANSLATE(B15,""zh-tw"",""zh"")"),"物攻：28
魔攻：12
电属性")</f>
        <v>物攻：28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28
Ataque mágico: 12
Atributo eléctrico")</f>
        <v>Ataque físico: 28
Ataque mágico: 12
Atributo eléctrico</v>
      </c>
      <c r="K15" s="333" t="s">
        <v>4536</v>
      </c>
      <c r="L15" s="162" t="str">
        <f>IFERROR(__xludf.DUMMYFUNCTION("GOOGLETRANSLATE(B15,""zh-tw"",""KO"")"),"물리 공격력: 28
마법 공격력: 12
전기 속성")</f>
        <v>물리 공격력: 28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34" t="s">
        <v>4537</v>
      </c>
      <c r="P15" s="317" t="s">
        <v>4538</v>
      </c>
      <c r="Q15" s="337" t="s">
        <v>4539</v>
      </c>
      <c r="R15" s="323" t="s">
        <v>4540</v>
      </c>
      <c r="S15" s="205"/>
      <c r="T15" s="205"/>
    </row>
    <row r="16">
      <c r="A16" s="334" t="s">
        <v>4541</v>
      </c>
      <c r="B16" s="317" t="s">
        <v>4542</v>
      </c>
      <c r="C16" s="334" t="s">
        <v>4543</v>
      </c>
      <c r="D16" s="317" t="str">
        <f>IFERROR(__xludf.DUMMYFUNCTION("GOOGLETRANSLATE(B16,""zh-tw"",""ja"")"),"物理攻撃：毒属性14")</f>
        <v>物理攻撃：毒属性14</v>
      </c>
      <c r="E16" s="334" t="s">
        <v>4544</v>
      </c>
      <c r="F16" s="317" t="s">
        <v>4545</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f>
        <v>aguja de esporas venenosa</v>
      </c>
      <c r="J16" s="162" t="str">
        <f>IFERROR(__xludf.DUMMYFUNCTION("GOOGLETRANSLATE(B16,""zh-tw"",""es-MX"")"),"Ataque físico: 14 Atributo de veneno")</f>
        <v>Ataque físico: 14 Atributo de veneno</v>
      </c>
      <c r="K16" s="333" t="s">
        <v>4546</v>
      </c>
      <c r="L16" s="162" t="str">
        <f>IFERROR(__xludf.DUMMYFUNCTION("GOOGLETRANSLATE(B16,""zh-tw"",""KO"")"),"물리 공격력: 14 독 속성")</f>
        <v>물리 공격력: 14 독 속성</v>
      </c>
      <c r="M16" s="336" t="str">
        <f>IFERROR(__xludf.DUMMYFUNCTION("GOOGLETRANSLATE(A16,""zh-tw"",""ru"")"),"Ядовитая споровая игла")</f>
        <v>Ядовитая споровая игла</v>
      </c>
      <c r="N16" s="315" t="str">
        <f>IFERROR(__xludf.DUMMYFUNCTION("GOOGLETRANSLATE(B16,""zh-tw"",""ru"")"),"Физическая атака: 14 Атрибут Яда")</f>
        <v>Физическая атака: 14 Атрибут Яда</v>
      </c>
      <c r="O16" s="334" t="s">
        <v>4547</v>
      </c>
      <c r="P16" s="317" t="s">
        <v>4548</v>
      </c>
      <c r="Q16" s="337" t="s">
        <v>4549</v>
      </c>
      <c r="R16" s="338" t="s">
        <v>4550</v>
      </c>
      <c r="S16" s="205"/>
      <c r="T16" s="205"/>
    </row>
    <row r="17">
      <c r="A17" s="334" t="s">
        <v>4551</v>
      </c>
      <c r="B17" s="317" t="s">
        <v>4552</v>
      </c>
      <c r="C17" s="334" t="s">
        <v>4553</v>
      </c>
      <c r="D17" s="317" t="str">
        <f>IFERROR(__xludf.DUMMYFUNCTION("GOOGLETRANSLATE(B17,""zh-tw"",""ja"")"),"物理攻撃：32 分割攻撃")</f>
        <v>物理攻撃：32 分割攻撃</v>
      </c>
      <c r="E17" s="333" t="s">
        <v>4554</v>
      </c>
      <c r="F17" s="161" t="s">
        <v>4555</v>
      </c>
      <c r="G17" s="334" t="str">
        <f>IFERROR(__xludf.DUMMYFUNCTION("GOOGLETRANSLATE(A17,""zh-tw"",""zh"")"),"柳叶长剑")</f>
        <v>柳叶长剑</v>
      </c>
      <c r="H17" s="317" t="str">
        <f>IFERROR(__xludf.DUMMYFUNCTION("GOOGLETRANSLATE(B17,""zh-tw"",""zh"")"),"物攻：32
分裂攻击")</f>
        <v>物攻：32
分裂攻击</v>
      </c>
      <c r="I17" s="335" t="str">
        <f>IFERROR(__xludf.DUMMYFUNCTION("GOOGLETRANSLATE(A17,""zh-tw"",""es-MX"")"),"Espada larga de hoja de sauce")</f>
        <v>Espada larga de hoja de sauce</v>
      </c>
      <c r="J17" s="162" t="str">
        <f>IFERROR(__xludf.DUMMYFUNCTION("GOOGLETRANSLATE(B17,""zh-tw"",""es-MX"")"),"Ataque físico: 32 Ataque dividido")</f>
        <v>Ataque físico: 32 Ataque dividido</v>
      </c>
      <c r="K17" s="335" t="str">
        <f>IFERROR(__xludf.DUMMYFUNCTION("GOOGLETRANSLATE(A17,""zh-tw"",""KO"")"),"버드나무 잎 장검")</f>
        <v>버드나무 잎 장검</v>
      </c>
      <c r="L17" s="162" t="str">
        <f>IFERROR(__xludf.DUMMYFUNCTION("GOOGLETRANSLATE(B17,""zh-tw"",""KO"")"),"물리 공격: 32 분할 공격")</f>
        <v>물리 공격: 32 분할 공격</v>
      </c>
      <c r="M17" s="336" t="str">
        <f>IFERROR(__xludf.DUMMYFUNCTION("GOOGLETRANSLATE(A17,""zh-tw"",""ru"")"),"Длинный меч из листьев ивы")</f>
        <v>Длинный меч из листьев ивы</v>
      </c>
      <c r="N17" s="315" t="str">
        <f>IFERROR(__xludf.DUMMYFUNCTION("GOOGLETRANSLATE(B17,""zh-tw"",""ru"")"),"Физическая атака: 32-я раздельная атака")</f>
        <v>Физическая атака: 32-я раздельная атака</v>
      </c>
      <c r="O17" s="334" t="s">
        <v>4556</v>
      </c>
      <c r="P17" s="317" t="s">
        <v>4557</v>
      </c>
      <c r="Q17" s="337" t="s">
        <v>4558</v>
      </c>
      <c r="R17" s="323" t="s">
        <v>4559</v>
      </c>
      <c r="S17" s="205"/>
      <c r="T17" s="205"/>
    </row>
    <row r="18" ht="49.5" customHeight="1">
      <c r="A18" s="334" t="s">
        <v>4560</v>
      </c>
      <c r="B18" s="317" t="s">
        <v>4561</v>
      </c>
      <c r="C18" s="334" t="s">
        <v>4562</v>
      </c>
      <c r="D18" s="317" t="str">
        <f>IFERROR(__xludf.DUMMYFUNCTION("GOOGLETRANSLATE(B18,""zh-tw"",""ja"")"),"物理攻撃力：48
魔法耐性：20
条件を満たす武器種")</f>
        <v>物理攻撃力：48
魔法耐性：20
条件を満たす武器種</v>
      </c>
      <c r="E18" s="334" t="s">
        <v>4563</v>
      </c>
      <c r="F18" s="317" t="s">
        <v>4564</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IFERROR(__xludf.DUMMYFUNCTION("GOOGLETRANSLATE(A18,""zh-tw"",""es-MX"")"),"Gran espada de plata")</f>
        <v>Gran espada de plata</v>
      </c>
      <c r="J18" s="162" t="str">
        <f>IFERROR(__xludf.DUMMYFUNCTION("GOOGLETRANSLATE(B18,""zh-tw"",""es-MX"")"),"Ataque físico: 48
Resistencia mágica: 20
Tipo de arma que cumpla los requisitos")</f>
        <v>Ataque físico: 48
Resistencia mágica: 20
Tipo de arma que cumpla los requisitos</v>
      </c>
      <c r="K18" s="333" t="s">
        <v>4565</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4566</v>
      </c>
      <c r="P18" s="317" t="s">
        <v>4567</v>
      </c>
      <c r="Q18" s="337" t="s">
        <v>4568</v>
      </c>
      <c r="R18" s="338" t="s">
        <v>4569</v>
      </c>
      <c r="S18" s="205"/>
      <c r="T18" s="205"/>
    </row>
    <row r="19">
      <c r="A19" s="334" t="s">
        <v>4570</v>
      </c>
      <c r="B19" s="317" t="s">
        <v>4571</v>
      </c>
      <c r="C19" s="334" t="s">
        <v>4572</v>
      </c>
      <c r="D19" s="317" t="str">
        <f>IFERROR(__xludf.DUMMYFUNCTION("GOOGLETRANSLATE(B19,""zh-tw"",""ja"")"),"物理攻撃力：1（累積ダメージ型武器）")</f>
        <v>物理攻撃力：1（累積ダメージ型武器）</v>
      </c>
      <c r="E19" s="334" t="s">
        <v>4573</v>
      </c>
      <c r="F19" s="317" t="s">
        <v>4574</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(Daño acumulativo tipo arma)")</f>
        <v>Ataque físico: 1 (Daño acumulativo tipo arma)</v>
      </c>
      <c r="K19" s="335" t="str">
        <f>IFERROR(__xludf.DUMMYFUNCTION("GOOGLETRANSLATE(A19,""zh-tw"",""KO"")"),"아이스크림 콘 검")</f>
        <v>아이스크림 콘 검</v>
      </c>
      <c r="L19" s="162" t="str">
        <f>IFERROR(__xludf.DUMMYFUNCTION("GOOGLETRANSLATE(B19,""zh-tw"",""KO"")"),"물리 공격력: 1 (누적 데미지 유형 무기)")</f>
        <v>물리 공격력: 1 (누적 데미지 유형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кумулятивного урона)")</f>
        <v>Физическая атака: 1 (Оружие кумулятивного урона)</v>
      </c>
      <c r="O19" s="334" t="s">
        <v>4575</v>
      </c>
      <c r="P19" s="317" t="s">
        <v>4576</v>
      </c>
      <c r="Q19" s="337" t="s">
        <v>4577</v>
      </c>
      <c r="R19" s="338" t="s">
        <v>4578</v>
      </c>
      <c r="S19" s="205"/>
      <c r="T19" s="205"/>
    </row>
    <row r="20">
      <c r="A20" s="334" t="s">
        <v>4579</v>
      </c>
      <c r="B20" s="317" t="s">
        <v>4580</v>
      </c>
      <c r="C20" s="334" t="s">
        <v>4581</v>
      </c>
      <c r="D20" s="317" t="str">
        <f>IFERROR(__xludf.DUMMYFUNCTION("GOOGLETRANSLATE(B20,""zh-tw"",""ja"")"),"物理攻撃力：20
物理耐性：2
累積ステータスベースの武器")</f>
        <v>物理攻撃力：20
物理耐性：2
累積ステータスベースの武器</v>
      </c>
      <c r="E20" s="334" t="s">
        <v>4582</v>
      </c>
      <c r="F20" s="317" t="s">
        <v>4583</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4584</v>
      </c>
      <c r="P20" s="317" t="s">
        <v>4585</v>
      </c>
      <c r="Q20" s="337" t="s">
        <v>4586</v>
      </c>
      <c r="R20" s="338" t="s">
        <v>4587</v>
      </c>
      <c r="S20" s="205"/>
      <c r="T20" s="205"/>
    </row>
    <row r="21">
      <c r="A21" s="334" t="s">
        <v>4588</v>
      </c>
      <c r="B21" s="317" t="s">
        <v>4589</v>
      </c>
      <c r="C21" s="334" t="s">
        <v>4590</v>
      </c>
      <c r="D21" s="317" t="str">
        <f>IFERROR(__xludf.DUMMYFUNCTION("GOOGLETRANSLATE(B21,""zh-tw"",""ja"")"),"物理攻撃力：40 剣波を発射する")</f>
        <v>物理攻撃力：40 剣波を発射する</v>
      </c>
      <c r="E21" s="334" t="s">
        <v>4591</v>
      </c>
      <c r="F21" s="317" t="s">
        <v>4592</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4593</v>
      </c>
      <c r="P21" s="317" t="s">
        <v>4594</v>
      </c>
      <c r="Q21" s="337" t="s">
        <v>4595</v>
      </c>
      <c r="R21" s="338" t="s">
        <v>4596</v>
      </c>
      <c r="S21" s="205"/>
      <c r="T21" s="205"/>
    </row>
    <row r="22">
      <c r="A22" s="334" t="s">
        <v>4597</v>
      </c>
      <c r="B22" s="317" t="s">
        <v>4598</v>
      </c>
      <c r="C22" s="334" t="s">
        <v>4599</v>
      </c>
      <c r="D22" s="317" t="str">
        <f>IFERROR(__xludf.DUMMYFUNCTION("GOOGLETRANSLATE(B22,""zh-tw"",""ja"")"),"物理攻撃：出血30")</f>
        <v>物理攻撃：出血30</v>
      </c>
      <c r="E22" s="334" t="s">
        <v>4600</v>
      </c>
      <c r="F22" s="317" t="s">
        <v>4601</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IFERROR(__xludf.DUMMYFUNCTION("GOOGLETRANSLATE(A22,""zh-tw"",""es-MX"")"),"Desde el infierno")</f>
        <v>Desde el infierno</v>
      </c>
      <c r="J22" s="162" t="str">
        <f>IFERROR(__xludf.DUMMYFUNCTION("GOOGLETRANSLATE(B22,""zh-tw"",""es-MX"")"),"Ataque físico: 30 Sangrado")</f>
        <v>Ataque físico: 30 Sangrado</v>
      </c>
      <c r="K22" s="333" t="s">
        <v>4602</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4603</v>
      </c>
      <c r="P22" s="317" t="s">
        <v>4604</v>
      </c>
      <c r="Q22" s="337" t="s">
        <v>4605</v>
      </c>
      <c r="R22" s="338" t="s">
        <v>4606</v>
      </c>
      <c r="S22" s="205"/>
      <c r="T22" s="205"/>
    </row>
    <row r="23">
      <c r="A23" s="334" t="s">
        <v>4607</v>
      </c>
      <c r="B23" s="317" t="s">
        <v>4608</v>
      </c>
      <c r="C23" s="334" t="s">
        <v>4609</v>
      </c>
      <c r="D23" s="317" t="str">
        <f>IFERROR(__xludf.DUMMYFUNCTION("GOOGLETRANSLATE(B23,""zh-tw"",""ja"")"),"物理攻撃：ノックダウン回復32")</f>
        <v>物理攻撃：ノックダウン回復32</v>
      </c>
      <c r="E23" s="334" t="s">
        <v>4610</v>
      </c>
      <c r="F23" s="317" t="s">
        <v>4611</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IFERROR(__xludf.DUMMYFUNCTION("GOOGLETRANSLATE(A23,""zh-tw"",""es-MX"")"),"Hoja parásita")</f>
        <v>Hoja parásita</v>
      </c>
      <c r="J23" s="162" t="str">
        <f>IFERROR(__xludf.DUMMYFUNCTION("GOOGLETRANSLATE(B23,""zh-tw"",""es-MX"")"),"Ataque físico: 32 Recuperación tras derribo")</f>
        <v>Ataque físico: 32 Recuperación tras derribo</v>
      </c>
      <c r="K23" s="333" t="s">
        <v>4612</v>
      </c>
      <c r="L23" s="161" t="s">
        <v>4613</v>
      </c>
      <c r="M23" s="336" t="str">
        <f>IFERROR(__xludf.DUMMYFUNCTION("GOOGLETRANSLATE(A23,""zh-tw"",""ru"")"),"Паразитарный клинок")</f>
        <v>Паразитарный клинок</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4614</v>
      </c>
      <c r="P23" s="317" t="s">
        <v>4615</v>
      </c>
      <c r="Q23" s="337" t="s">
        <v>4616</v>
      </c>
      <c r="R23" s="338" t="s">
        <v>4617</v>
      </c>
      <c r="S23" s="205"/>
      <c r="T23" s="205"/>
    </row>
    <row r="24">
      <c r="A24" s="339" t="s">
        <v>4618</v>
      </c>
      <c r="B24" s="322" t="s">
        <v>4619</v>
      </c>
      <c r="C24" s="339" t="s">
        <v>4620</v>
      </c>
      <c r="D24" s="322" t="s">
        <v>4621</v>
      </c>
      <c r="E24" s="339" t="s">
        <v>4622</v>
      </c>
      <c r="F24" s="322" t="s">
        <v>4623</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IFERROR(__xludf.DUMMYFUNCTION("GOOGLETRANSLATE(A24,""zh-tw"",""es-MX"")"),"Enviar una espada rota")</f>
        <v>Enviar una espada rota</v>
      </c>
      <c r="J24" s="162" t="str">
        <f>IFERROR(__xludf.DUMMYFUNCTION("GOOGLETRANSLATE(B24,""zh-tw"",""es-MX"")"),"Ataque físico: 36
1. Inflige daño adicional a los objetivos sangrantes.
2. Restaura salud al derrotar a un objetivo sangrante.
(La salud puede restaurarse en exceso, superando el máximo y otorgando invulnerabilidad).")</f>
        <v>Ataque físico: 36
1. Inflige daño adicional a los objetivos sangrantes.
2. Restaura salud al derrotar a un objetivo sangrante.
(La salud puede restaurarse en exceso, superando el máximo y otorgando invulnerabilidad).</v>
      </c>
      <c r="K24" s="333" t="s">
        <v>4624</v>
      </c>
      <c r="L24" s="162"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36" t="str">
        <f>IFERROR(__xludf.DUMMYFUNCTION("GOOGLETRANSLATE(A24,""zh-tw"",""ru"")"),"Пошли сломанный меч")</f>
        <v>Пошли сломанный меч</v>
      </c>
      <c r="N24" s="315"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39" t="s">
        <v>4625</v>
      </c>
      <c r="P24" s="322" t="s">
        <v>4626</v>
      </c>
      <c r="Q24" s="337" t="s">
        <v>4627</v>
      </c>
      <c r="R24" s="338" t="s">
        <v>4628</v>
      </c>
      <c r="S24" s="205"/>
      <c r="T24" s="205"/>
    </row>
    <row r="25">
      <c r="A25" s="339" t="s">
        <v>4629</v>
      </c>
      <c r="B25" s="161" t="s">
        <v>4630</v>
      </c>
      <c r="C25" s="339" t="s">
        <v>4631</v>
      </c>
      <c r="D25" s="161" t="s">
        <v>4632</v>
      </c>
      <c r="E25" s="339" t="s">
        <v>4633</v>
      </c>
      <c r="F25" s="161" t="s">
        <v>4634</v>
      </c>
      <c r="G25" s="334" t="str">
        <f>IFERROR(__xludf.DUMMYFUNCTION("GOOGLETRANSLATE(A25,""zh-tw"",""zh"")"),"血狩")</f>
        <v>血狩</v>
      </c>
      <c r="H25" s="31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35" t="str">
        <f>IFERROR(__xludf.DUMMYFUNCTION("GOOGLETRANSLATE(A25,""zh-tw"",""es-MX"")"),"Cacería de sangre")</f>
        <v>Cacería de sangre</v>
      </c>
      <c r="J25" s="162" t="str">
        <f>IFERROR(__xludf.DUMMYFUNCTION("GOOGLETRANSLATE(B25,""zh-tw"",""es-MX"")"),"Ataque físico: 20
1. Puede usar Flecha Perforante tras cargarla.
2. Consume sus propios PV para aumentar el ataque y recupera PV tras derrotar a un objetivo.
(Puede recuperar más PV de los máximos y obtener invulnerabilidad).")</f>
        <v>Ataque físico: 20
1. Puede usar Flecha Perforante tras cargarla.
2. Consume sus propios PV para aumentar el ataque y recupera PV tras derrotar a un objetivo.
(Puede recuperar más PV de los máximos y obtener invulnerabilidad).</v>
      </c>
      <c r="K25" s="335" t="str">
        <f>IFERROR(__xludf.DUMMYFUNCTION("GOOGLETRANSLATE(A25,""zh-tw"",""KO"")"),"블러드 헌트")</f>
        <v>블러드 헌트</v>
      </c>
      <c r="L25" s="16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4635</v>
      </c>
      <c r="P25" s="161" t="s">
        <v>4636</v>
      </c>
      <c r="Q25" s="337" t="s">
        <v>4637</v>
      </c>
      <c r="R25" s="323" t="s">
        <v>4638</v>
      </c>
      <c r="S25" s="205"/>
      <c r="T25" s="205"/>
    </row>
    <row r="26">
      <c r="A26" s="334" t="s">
        <v>4639</v>
      </c>
      <c r="B26" s="317" t="s">
        <v>4640</v>
      </c>
      <c r="C26" s="334" t="s">
        <v>4641</v>
      </c>
      <c r="D26" s="317" t="s">
        <v>4642</v>
      </c>
      <c r="E26" s="334" t="s">
        <v>4643</v>
      </c>
      <c r="F26" s="317" t="s">
        <v>4644</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4645</v>
      </c>
      <c r="P26" s="317" t="s">
        <v>4646</v>
      </c>
      <c r="Q26" s="337" t="s">
        <v>4647</v>
      </c>
      <c r="R26" s="338" t="s">
        <v>4648</v>
      </c>
      <c r="S26" s="205"/>
      <c r="T26" s="205"/>
    </row>
    <row r="27">
      <c r="A27" s="334" t="s">
        <v>4649</v>
      </c>
      <c r="B27" s="317" t="s">
        <v>4650</v>
      </c>
      <c r="C27" s="334" t="s">
        <v>4651</v>
      </c>
      <c r="D27" s="31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4" t="s">
        <v>4652</v>
      </c>
      <c r="F27" s="317" t="s">
        <v>4653</v>
      </c>
      <c r="G27" s="334" t="str">
        <f>IFERROR(__xludf.DUMMYFUNCTION("GOOGLETRANSLATE(A27,""zh-tw"",""zh"")"),"克里乌之光")</f>
        <v>克里乌之光</v>
      </c>
      <c r="H27" s="317" t="s">
        <v>4654</v>
      </c>
      <c r="I27" s="335" t="str">
        <f>IFERROR(__xludf.DUMMYFUNCTION("GOOGLETRANSLATE(A27,""zh-tw"",""es-MX"")"),"La luz de Kriu")</f>
        <v>La luz de Kriu</v>
      </c>
      <c r="J27" s="162" t="str">
        <f>IFERROR(__xludf.DUMMYFUNCTION("GOOGLETRANSLATE(B27,""zh-tw"",""es-MX"")"),"Ataque físico: 32
Ataque mágico: 36
Ignora la defensa, Hoja invisible
*Objeto raro de gacha")</f>
        <v>Ataque físico: 32
Ataque mágico: 36
Ignora la defensa, Hoja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4655</v>
      </c>
      <c r="P27" s="317" t="s">
        <v>4656</v>
      </c>
      <c r="Q27" s="337" t="s">
        <v>4657</v>
      </c>
      <c r="R27" s="338" t="s">
        <v>4658</v>
      </c>
      <c r="S27" s="205"/>
      <c r="T27" s="205"/>
    </row>
    <row r="28">
      <c r="A28" s="334" t="s">
        <v>4659</v>
      </c>
      <c r="B28" s="317" t="s">
        <v>4660</v>
      </c>
      <c r="C28" s="334" t="str">
        <f>IFERROR(__xludf.DUMMYFUNCTION("GOOGLETRANSLATE(A28,""zh-tw"",""ja"")"),"木製の弓")</f>
        <v>木製の弓</v>
      </c>
      <c r="D28" s="317" t="str">
        <f>IFERROR(__xludf.DUMMYFUNCTION("GOOGLETRANSLATE(B28,""zh-tw"",""ja"")"),"物理攻撃：貫通力20（ダメージ減少）")</f>
        <v>物理攻撃：貫通力20（ダメージ減少）</v>
      </c>
      <c r="E28" s="334" t="s">
        <v>4661</v>
      </c>
      <c r="F28" s="317" t="s">
        <v>4662</v>
      </c>
      <c r="G28" s="334" t="str">
        <f>IFERROR(__xludf.DUMMYFUNCTION("GOOGLETRANSLATE(A28,""zh-tw"",""zh"")"),"木弓")</f>
        <v>木弓</v>
      </c>
      <c r="H28" s="317" t="str">
        <f>IFERROR(__xludf.DUMMYFUNCTION("GOOGLETRANSLATE(B28,""zh-tw"",""zh"")"),"物攻：20
穿透(伤害递减)")</f>
        <v>物攻：20
穿透(伤害递减)</v>
      </c>
      <c r="I28" s="335" t="str">
        <f>IFERROR(__xludf.DUMMYFUNCTION("GOOGLETRANSLATE(A28,""zh-tw"",""es-MX"")"),"arco de madera")</f>
        <v>arco de madera</v>
      </c>
      <c r="J28" s="162" t="str">
        <f>IFERROR(__xludf.DUMMYFUNCTION("GOOGLETRANSLATE(B28,""zh-tw"",""es-MX"")"),"Ataque físico: 20 de penetración (daño decreciente)")</f>
        <v>Ataque físico: 20 de penetración (daño decreciente)</v>
      </c>
      <c r="K28" s="335" t="str">
        <f>IFERROR(__xludf.DUMMYFUNCTION("GOOGLETRANSLATE(A28,""zh-tw"",""KO"")"),"나무 활")</f>
        <v>나무 활</v>
      </c>
      <c r="L28" s="162" t="str">
        <f>IFERROR(__xludf.DUMMYFUNCTION("GOOGLETRANSLATE(B28,""zh-tw"",""KO"")"),"물리 공격력: 관통력 20 (데미지 감소)")</f>
        <v>물리 공격력: 관통력 20 (데미지 감소)</v>
      </c>
      <c r="M28" s="336" t="str">
        <f>IFERROR(__xludf.DUMMYFUNCTION("GOOGLETRANSLATE(A28,""zh-tw"",""ru"")"),"деревянный лук")</f>
        <v>деревянный лук</v>
      </c>
      <c r="N28" s="315" t="str">
        <f>IFERROR(__xludf.DUMMYFUNCTION("GOOGLETRANSLATE(B28,""zh-tw"",""ru"")"),"Физическая атака: 20 Пробитие (урон уменьшается)")</f>
        <v>Физическая атака: 20 Пробитие (урон уменьшается)</v>
      </c>
      <c r="O28" s="334" t="s">
        <v>4663</v>
      </c>
      <c r="P28" s="317" t="s">
        <v>4664</v>
      </c>
      <c r="Q28" s="337" t="s">
        <v>4665</v>
      </c>
      <c r="R28" s="338" t="s">
        <v>4666</v>
      </c>
      <c r="S28" s="205"/>
      <c r="T28" s="205"/>
    </row>
    <row r="29">
      <c r="A29" s="334" t="s">
        <v>4667</v>
      </c>
      <c r="B29" s="317" t="s">
        <v>4668</v>
      </c>
      <c r="C29" s="334" t="s">
        <v>4669</v>
      </c>
      <c r="D29" s="317" t="str">
        <f>IFERROR(__xludf.DUMMYFUNCTION("GOOGLETRANSLATE(B29,""zh-tw"",""ja"")"),"物理攻撃：貫通力24")</f>
        <v>物理攻撃：貫通力24</v>
      </c>
      <c r="E29" s="334" t="s">
        <v>4670</v>
      </c>
      <c r="F29" s="317" t="s">
        <v>4671</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 cazador")</f>
        <v>Arco de cazador</v>
      </c>
      <c r="J29" s="162" t="str">
        <f>IFERROR(__xludf.DUMMYFUNCTION("GOOGLETRANSLATE(B29,""zh-tw"",""es-MX"")"),"Ataque físico: 24 de penetración")</f>
        <v>Ataque físico: 24 de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проникновения")</f>
        <v>Физическая атака: 24 проникновения</v>
      </c>
      <c r="O29" s="334" t="s">
        <v>4672</v>
      </c>
      <c r="P29" s="317" t="s">
        <v>4673</v>
      </c>
      <c r="Q29" s="337" t="s">
        <v>4674</v>
      </c>
      <c r="R29" s="338" t="s">
        <v>4675</v>
      </c>
      <c r="S29" s="205"/>
      <c r="T29" s="205"/>
    </row>
    <row r="30">
      <c r="A30" s="334" t="s">
        <v>4676</v>
      </c>
      <c r="B30" s="317" t="s">
        <v>4677</v>
      </c>
      <c r="C30" s="334" t="s">
        <v>4678</v>
      </c>
      <c r="D30" s="317" t="str">
        <f>IFERROR(__xludf.DUMMYFUNCTION("GOOGLETRANSLATE(B30,""zh-tw"",""ja"")"),"物理攻撃力：18
魔法攻撃力：18
火属性")</f>
        <v>物理攻撃力：18
魔法攻撃力：18
火属性</v>
      </c>
      <c r="E30" s="334" t="s">
        <v>4679</v>
      </c>
      <c r="F30" s="317" t="s">
        <v>4680</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4681</v>
      </c>
      <c r="P30" s="317" t="s">
        <v>4682</v>
      </c>
      <c r="Q30" s="337" t="s">
        <v>4683</v>
      </c>
      <c r="R30" s="338" t="s">
        <v>4684</v>
      </c>
      <c r="S30" s="205"/>
      <c r="T30" s="205"/>
    </row>
    <row r="31">
      <c r="A31" s="334" t="s">
        <v>4685</v>
      </c>
      <c r="B31" s="317" t="s">
        <v>4686</v>
      </c>
      <c r="C31" s="334" t="s">
        <v>4685</v>
      </c>
      <c r="D31" s="317" t="str">
        <f>IFERROR(__xludf.DUMMYFUNCTION("GOOGLETRANSLATE(B31,""zh-tw"",""ja"")"),"物理攻撃力：16
魔法攻撃力：16
氷属性")</f>
        <v>物理攻撃力：16
魔法攻撃力：16
氷属性</v>
      </c>
      <c r="E31" s="334" t="s">
        <v>4687</v>
      </c>
      <c r="F31" s="317" t="s">
        <v>4688</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de hielo")</f>
        <v>Ataque físico: 16
Ataque mágico: 16
Atributo de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4689</v>
      </c>
      <c r="P31" s="317" t="s">
        <v>4690</v>
      </c>
      <c r="Q31" s="337" t="s">
        <v>4691</v>
      </c>
      <c r="R31" s="338" t="s">
        <v>4692</v>
      </c>
      <c r="S31" s="205"/>
      <c r="T31" s="205"/>
    </row>
    <row r="32">
      <c r="A32" s="334" t="s">
        <v>4693</v>
      </c>
      <c r="B32" s="317" t="s">
        <v>4694</v>
      </c>
      <c r="C32" s="334" t="str">
        <f>IFERROR(__xludf.DUMMYFUNCTION("GOOGLETRANSLATE(A32,""zh-tw"",""ja"")"),"千鳥")</f>
        <v>千鳥</v>
      </c>
      <c r="D32" s="317" t="str">
        <f>IFERROR(__xludf.DUMMYFUNCTION("GOOGLETRANSLATE(B32,""zh-tw"",""ja"")"),"物理攻撃力：16
魔法攻撃力：16
雷属性")</f>
        <v>物理攻撃力：16
魔法攻撃力：16
雷属性</v>
      </c>
      <c r="E32" s="334" t="s">
        <v>4695</v>
      </c>
      <c r="F32" s="317" t="s">
        <v>4696</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de rayo")</f>
        <v>Ataque físico: 16
Ataque mágico: 16
Atributo de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4697</v>
      </c>
      <c r="P32" s="317" t="s">
        <v>4698</v>
      </c>
      <c r="Q32" s="337" t="s">
        <v>4699</v>
      </c>
      <c r="R32" s="338" t="s">
        <v>4700</v>
      </c>
      <c r="S32" s="205"/>
      <c r="T32" s="205"/>
    </row>
    <row r="33">
      <c r="A33" s="334" t="s">
        <v>4701</v>
      </c>
      <c r="B33" s="317" t="s">
        <v>4702</v>
      </c>
      <c r="C33" s="334" t="s">
        <v>4703</v>
      </c>
      <c r="D33" s="317" t="str">
        <f>IFERROR(__xludf.DUMMYFUNCTION("GOOGLETRANSLATE(B33,""zh-tw"",""ja"")"),"物理攻撃力：32（連射）")</f>
        <v>物理攻撃力：32（連射）</v>
      </c>
      <c r="E33" s="334" t="s">
        <v>4704</v>
      </c>
      <c r="F33" s="317" t="s">
        <v>4705</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4706</v>
      </c>
      <c r="P33" s="317" t="s">
        <v>4707</v>
      </c>
      <c r="Q33" s="337" t="s">
        <v>4708</v>
      </c>
      <c r="R33" s="338" t="s">
        <v>4709</v>
      </c>
      <c r="S33" s="205"/>
      <c r="T33" s="205"/>
    </row>
    <row r="34">
      <c r="A34" s="334" t="s">
        <v>4291</v>
      </c>
      <c r="B34" s="317" t="s">
        <v>4710</v>
      </c>
      <c r="C34" s="334" t="str">
        <f>IFERROR(__xludf.DUMMYFUNCTION("GOOGLETRANSLATE(A34,""zh-tw"",""ja"")"),"溶岩の杖")</f>
        <v>溶岩の杖</v>
      </c>
      <c r="D34" s="317" t="str">
        <f>IFERROR(__xludf.DUMMYFUNCTION("GOOGLETRANSLATE(B34,""zh-tw"",""ja"")"),"物理攻撃力：1
魔法攻撃力：66
火属性")</f>
        <v>物理攻撃力：1
魔法攻撃力：66
火属性</v>
      </c>
      <c r="E34" s="334" t="s">
        <v>4295</v>
      </c>
      <c r="F34" s="317" t="s">
        <v>4711</v>
      </c>
      <c r="G34" s="334" t="str">
        <f>IFERROR(__xludf.DUMMYFUNCTION("GOOGLETRANSLATE(A34,""zh-tw"",""zh"")"),"熔岩杖")</f>
        <v>熔岩杖</v>
      </c>
      <c r="H34" s="317" t="str">
        <f>IFERROR(__xludf.DUMMYFUNCTION("GOOGLETRANSLATE(B34,""zh-tw"",""zh"")"),"物攻：1
魔攻：66
炎属性")</f>
        <v>物攻：1
魔攻：66
炎属性</v>
      </c>
      <c r="I34" s="335" t="str">
        <f>IFERROR(__xludf.DUMMYFUNCTION("GOOGLETRANSLATE(A34,""zh-tw"",""es-MX"")"),"Bastón de lava")</f>
        <v>Bastón de lava</v>
      </c>
      <c r="J34" s="162" t="str">
        <f>IFERROR(__xludf.DUMMYFUNCTION("GOOGLETRANSLATE(B34,""zh-tw"",""es-MX"")"),"Ataque físico: 1
Ataque mágico: 66
Atributo de fuego")</f>
        <v>Ataque físico: 1
Ataque mágico: 66
Atributo de fuego</v>
      </c>
      <c r="K34" s="335" t="str">
        <f>IFERROR(__xludf.DUMMYFUNCTION("GOOGLETRANSLATE(A34,""zh-tw"",""KO"")"),"라바 스태프")</f>
        <v>라바 스태프</v>
      </c>
      <c r="L34" s="162" t="str">
        <f>IFERROR(__xludf.DUMMYFUNCTION("GOOGLETRANSLATE(B34,""zh-tw"",""KO"")"),"물리 공격력: 1
마법 공격력: 66
화속성")</f>
        <v>물리 공격력: 1
마법 공격력: 66
화속성</v>
      </c>
      <c r="M34" s="336" t="str">
        <f>IFERROR(__xludf.DUMMYFUNCTION("GOOGLETRANSLATE(A34,""zh-tw"",""ru"")"),"Лавовый посох")</f>
        <v>Лавовый посох</v>
      </c>
      <c r="N34" s="315" t="str">
        <f>IFERROR(__xludf.DUMMYFUNCTION("GOOGLETRANSLATE(B34,""zh-tw"",""ru"")"),"Физическая атака: 1
Магическая атака: 66
Атрибут огня")</f>
        <v>Физическая атака: 1
Магическая атака: 66
Атрибут огня</v>
      </c>
      <c r="O34" s="334" t="s">
        <v>4298</v>
      </c>
      <c r="P34" s="317" t="s">
        <v>4712</v>
      </c>
      <c r="Q34" s="337" t="s">
        <v>4713</v>
      </c>
      <c r="R34" s="323" t="s">
        <v>4714</v>
      </c>
      <c r="S34" s="205"/>
      <c r="T34" s="205"/>
    </row>
    <row r="35">
      <c r="A35" s="334" t="s">
        <v>4715</v>
      </c>
      <c r="B35" s="317" t="s">
        <v>4716</v>
      </c>
      <c r="C35" s="334" t="s">
        <v>4717</v>
      </c>
      <c r="D35" s="317" t="str">
        <f>IFERROR(__xludf.DUMMYFUNCTION("GOOGLETRANSLATE(B35,""zh-tw"",""ja"")"),"物理攻撃力: 1 魔法攻撃力: 55 氷属性")</f>
        <v>物理攻撃力: 1 魔法攻撃力: 55 氷属性</v>
      </c>
      <c r="E35" s="334" t="s">
        <v>4718</v>
      </c>
      <c r="F35" s="317" t="s">
        <v>4719</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IFERROR(__xludf.DUMMYFUNCTION("GOOGLETRANSLATE(A35,""zh-tw"",""es-MX"")"),"Personal de hielo")</f>
        <v>Personal de hielo</v>
      </c>
      <c r="J35" s="162" t="str">
        <f>IFERROR(__xludf.DUMMYFUNCTION("GOOGLETRANSLATE(B35,""zh-tw"",""es-MX"")"),"Ataque físico: 1 Ataque mágico: 55 Atributo de hielo")</f>
        <v>Ataque físico: 1 Ataque mágico: 55 Atributo de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4720</v>
      </c>
      <c r="P35" s="317" t="s">
        <v>4721</v>
      </c>
      <c r="Q35" s="337" t="s">
        <v>4722</v>
      </c>
      <c r="R35" s="338" t="s">
        <v>4723</v>
      </c>
      <c r="S35" s="205"/>
      <c r="T35" s="205"/>
    </row>
    <row r="36">
      <c r="A36" s="334" t="s">
        <v>4724</v>
      </c>
      <c r="B36" s="317" t="s">
        <v>4725</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4726</v>
      </c>
      <c r="F36" s="317" t="s">
        <v>4727</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4728</v>
      </c>
      <c r="P36" s="317" t="s">
        <v>4729</v>
      </c>
      <c r="Q36" s="337" t="s">
        <v>4730</v>
      </c>
      <c r="R36" s="338" t="s">
        <v>4731</v>
      </c>
      <c r="S36" s="205"/>
      <c r="T36" s="205"/>
    </row>
    <row r="37">
      <c r="A37" s="334" t="s">
        <v>4732</v>
      </c>
      <c r="B37" s="317" t="s">
        <v>4733</v>
      </c>
      <c r="C37" s="334" t="str">
        <f>IFERROR(__xludf.DUMMYFUNCTION("GOOGLETRANSLATE(A37,""zh-tw"",""ja"")"),"バナナ？")</f>
        <v>バナナ？</v>
      </c>
      <c r="D37" s="317" t="str">
        <f>IFERROR(__xludf.DUMMYFUNCTION("GOOGLETRANSLATE(B37,""zh-tw"",""ja"")"),"物理攻撃力：10爆発")</f>
        <v>物理攻撃力：10爆発</v>
      </c>
      <c r="E37" s="334" t="s">
        <v>4734</v>
      </c>
      <c r="F37" s="317" t="s">
        <v>4735</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4736</v>
      </c>
      <c r="P37" s="317" t="s">
        <v>4737</v>
      </c>
      <c r="Q37" s="337" t="s">
        <v>4738</v>
      </c>
      <c r="R37" s="338" t="s">
        <v>4739</v>
      </c>
      <c r="S37" s="205"/>
      <c r="T37" s="205"/>
    </row>
    <row r="38" ht="68.25" customHeight="1">
      <c r="A38" s="334" t="s">
        <v>4740</v>
      </c>
      <c r="B38" s="317" t="s">
        <v>4741</v>
      </c>
      <c r="C38" s="334" t="s">
        <v>4742</v>
      </c>
      <c r="D38" s="317" t="str">
        <f>IFERROR(__xludf.DUMMYFUNCTION("GOOGLETRANSLATE(B38,""zh-tw"",""ja"")"),"物理攻撃力：1
魔法攻撃力：1
アイテム吸収")</f>
        <v>物理攻撃力：1
魔法攻撃力：1
アイテム吸収</v>
      </c>
      <c r="E38" s="334" t="s">
        <v>4743</v>
      </c>
      <c r="F38" s="317" t="s">
        <v>4744</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4745</v>
      </c>
      <c r="P38" s="317" t="s">
        <v>4746</v>
      </c>
      <c r="Q38" s="337" t="s">
        <v>4747</v>
      </c>
      <c r="R38" s="338" t="s">
        <v>4748</v>
      </c>
      <c r="S38" s="205"/>
      <c r="T38" s="205"/>
    </row>
    <row r="39">
      <c r="A39" s="334" t="s">
        <v>4749</v>
      </c>
      <c r="B39" s="317" t="s">
        <v>4750</v>
      </c>
      <c r="C39" s="334" t="s">
        <v>4751</v>
      </c>
      <c r="D39" s="317" t="str">
        <f>IFERROR(__xludf.DUMMYFUNCTION("GOOGLETRANSLATE(B39,""zh-tw"",""ja"")"),"物理攻撃: 15 ターゲットをクランプする")</f>
        <v>物理攻撃: 15 ターゲットをクランプする</v>
      </c>
      <c r="E39" s="334" t="s">
        <v>4752</v>
      </c>
      <c r="F39" s="317" t="s">
        <v>4753</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 al objetivo")</f>
        <v>Ataque físico: 15 Sujeta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4754</v>
      </c>
      <c r="P39" s="317" t="s">
        <v>4755</v>
      </c>
      <c r="Q39" s="337" t="s">
        <v>4756</v>
      </c>
      <c r="R39" s="338" t="s">
        <v>4757</v>
      </c>
      <c r="S39" s="205"/>
      <c r="T39" s="205"/>
    </row>
    <row r="40">
      <c r="A40" s="333" t="s">
        <v>4758</v>
      </c>
      <c r="B40" s="161" t="s">
        <v>4759</v>
      </c>
      <c r="C40" s="334" t="s">
        <v>4758</v>
      </c>
      <c r="D40" s="317" t="str">
        <f>IFERROR(__xludf.DUMMYFUNCTION("GOOGLETRANSLATE(B40,""zh-tw"",""ja"")"),"物理攻撃：スタンの確率36%")</f>
        <v>物理攻撃：スタンの確率36%</v>
      </c>
      <c r="E40" s="334" t="s">
        <v>4760</v>
      </c>
      <c r="F40" s="317" t="s">
        <v>4761</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aturdir")</f>
        <v>Ataque físico: 36% de probabilidad de aturdir</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4762</v>
      </c>
      <c r="P40" s="317" t="s">
        <v>4763</v>
      </c>
      <c r="Q40" s="337" t="s">
        <v>4764</v>
      </c>
      <c r="R40" s="338" t="s">
        <v>4765</v>
      </c>
      <c r="S40" s="17"/>
      <c r="T40" s="17"/>
    </row>
    <row r="41">
      <c r="A41" s="335" t="s">
        <v>4766</v>
      </c>
      <c r="B41" s="162" t="s">
        <v>4767</v>
      </c>
      <c r="C41" s="335" t="s">
        <v>4766</v>
      </c>
      <c r="D41" s="162" t="s">
        <v>4768</v>
      </c>
      <c r="E41" s="335" t="s">
        <v>4769</v>
      </c>
      <c r="F41" s="161" t="s">
        <v>4770</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4771</v>
      </c>
      <c r="P41" s="322" t="s">
        <v>4772</v>
      </c>
      <c r="Q41" s="337" t="s">
        <v>4773</v>
      </c>
      <c r="R41" s="338" t="s">
        <v>4774</v>
      </c>
      <c r="S41" s="17"/>
      <c r="T41" s="17"/>
    </row>
    <row r="42">
      <c r="A42" s="335" t="s">
        <v>4775</v>
      </c>
      <c r="B42" s="161" t="s">
        <v>4776</v>
      </c>
      <c r="C42" s="335" t="s">
        <v>4777</v>
      </c>
      <c r="D42" s="162" t="s">
        <v>4778</v>
      </c>
      <c r="E42" s="335" t="s">
        <v>4779</v>
      </c>
      <c r="F42" s="162" t="s">
        <v>4780</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4781</v>
      </c>
      <c r="P42" s="322" t="s">
        <v>4782</v>
      </c>
      <c r="Q42" s="337" t="s">
        <v>4783</v>
      </c>
      <c r="R42" s="338" t="s">
        <v>4784</v>
      </c>
      <c r="S42" s="17"/>
      <c r="T42" s="17"/>
    </row>
    <row r="43">
      <c r="A43" s="333" t="s">
        <v>4785</v>
      </c>
      <c r="B43" s="161" t="s">
        <v>4786</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4787</v>
      </c>
      <c r="F43" s="161" t="s">
        <v>4788</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4789</v>
      </c>
      <c r="P43" s="161" t="s">
        <v>4790</v>
      </c>
      <c r="Q43" s="337" t="s">
        <v>4791</v>
      </c>
      <c r="R43" s="338" t="s">
        <v>4792</v>
      </c>
      <c r="S43" s="17"/>
      <c r="T43" s="17"/>
    </row>
    <row r="44">
      <c r="A44" s="333" t="s">
        <v>4793</v>
      </c>
      <c r="B44" s="161" t="s">
        <v>4794</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4795</v>
      </c>
      <c r="F44" s="161" t="s">
        <v>4796</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4797</v>
      </c>
      <c r="P44" s="161" t="s">
        <v>4798</v>
      </c>
      <c r="Q44" s="337" t="s">
        <v>4799</v>
      </c>
      <c r="R44" s="338" t="s">
        <v>4800</v>
      </c>
      <c r="S44" s="17"/>
      <c r="T44" s="17"/>
    </row>
    <row r="45">
      <c r="A45" s="334" t="s">
        <v>4801</v>
      </c>
      <c r="B45" s="317" t="s">
        <v>4802</v>
      </c>
      <c r="C45" s="334" t="s">
        <v>4803</v>
      </c>
      <c r="D45" s="31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4" t="s">
        <v>4804</v>
      </c>
      <c r="F45" s="317" t="s">
        <v>4805</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4806</v>
      </c>
      <c r="P45" s="317" t="s">
        <v>4807</v>
      </c>
      <c r="Q45" s="337" t="s">
        <v>4808</v>
      </c>
      <c r="R45" s="338" t="s">
        <v>4809</v>
      </c>
      <c r="S45" s="205"/>
      <c r="T45" s="205"/>
    </row>
    <row r="46">
      <c r="A46" s="333" t="s">
        <v>4810</v>
      </c>
      <c r="B46" s="161" t="s">
        <v>4811</v>
      </c>
      <c r="C46" s="333" t="s">
        <v>4812</v>
      </c>
      <c r="D46" s="161" t="s">
        <v>4813</v>
      </c>
      <c r="E46" s="333" t="s">
        <v>4814</v>
      </c>
      <c r="F46" s="161" t="s">
        <v>4815</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33" t="s">
        <v>4816</v>
      </c>
      <c r="P46" s="161" t="s">
        <v>4817</v>
      </c>
      <c r="Q46" s="340" t="s">
        <v>4818</v>
      </c>
      <c r="R46" s="164" t="s">
        <v>4819</v>
      </c>
      <c r="S46" s="17"/>
      <c r="T46" s="17"/>
    </row>
    <row r="47">
      <c r="A47" s="339" t="s">
        <v>4820</v>
      </c>
      <c r="B47" s="161" t="s">
        <v>4821</v>
      </c>
      <c r="C47" s="333" t="s">
        <v>3194</v>
      </c>
      <c r="D47" s="161" t="s">
        <v>4822</v>
      </c>
      <c r="E47" s="333" t="s">
        <v>3207</v>
      </c>
      <c r="F47" s="161" t="s">
        <v>4823</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4824</v>
      </c>
      <c r="S47" s="17"/>
      <c r="T47" s="17"/>
    </row>
    <row r="48">
      <c r="A48" s="333" t="s">
        <v>4825</v>
      </c>
      <c r="B48" s="161" t="s">
        <v>4826</v>
      </c>
      <c r="C48" s="333" t="s">
        <v>4827</v>
      </c>
      <c r="D48" s="161" t="s">
        <v>4828</v>
      </c>
      <c r="E48" s="333" t="s">
        <v>3196</v>
      </c>
      <c r="F48" s="161" t="s">
        <v>4829</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perforación al lanzar")</f>
        <v>Ataque físico: 26
Defensa física: 2
Efecto de congelación
Efecto de perforación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4830</v>
      </c>
      <c r="R48" s="182" t="s">
        <v>4831</v>
      </c>
      <c r="S48" s="17"/>
      <c r="T48" s="17"/>
    </row>
    <row r="49">
      <c r="A49" s="333" t="s">
        <v>4832</v>
      </c>
      <c r="B49" s="161" t="s">
        <v>4833</v>
      </c>
      <c r="C49" s="333" t="s">
        <v>4834</v>
      </c>
      <c r="D49" s="161" t="s">
        <v>4835</v>
      </c>
      <c r="E49" s="333" t="s">
        <v>4836</v>
      </c>
      <c r="F49" s="161" t="s">
        <v>4837</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mohoso")</f>
        <v>Espada de rábano mohoso</v>
      </c>
      <c r="J49" s="162" t="str">
        <f>IFERROR(__xludf.DUMMYFUNCTION("GOOGLETRANSLATE(B49,""zh-tw"",""es-MX"")"),"Ataque físico: 10
Ataque mágico: 10
Efecto de veneno
Efecto de perforación al lanzar")</f>
        <v>Ataque físico: 10
Ataque mágico: 10
Efecto de veneno
Efecto de perforación al lanzar</v>
      </c>
      <c r="K49" s="335" t="str">
        <f>IFERROR(__xludf.DUMMYFUNCTION("GOOGLETRANSLATE(A49,""zh-tw"",""KO"")"),"곰팡이 핀 무우 검")</f>
        <v>곰팡이 핀 무우 검</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IFERROR(__xludf.DUMMYFUNCTION("GOOGLETRANSLATE(A49,""zh-tw"",""ru"")"),"Заплесневелый меч из редьки")</f>
        <v>Заплесневелый меч из редьки</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4838</v>
      </c>
      <c r="R49" s="182" t="s">
        <v>4839</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c r="U1" s="300"/>
      <c r="V1" s="300"/>
      <c r="W1" s="300"/>
      <c r="X1" s="300"/>
      <c r="Y1" s="300"/>
      <c r="Z1" s="300"/>
    </row>
    <row r="2" ht="41.25" customHeight="1">
      <c r="S2" s="300"/>
      <c r="T2" s="300"/>
      <c r="U2" s="300"/>
      <c r="V2" s="300"/>
      <c r="W2" s="300"/>
      <c r="X2" s="300"/>
      <c r="Y2" s="300"/>
      <c r="Z2" s="300"/>
    </row>
    <row r="3">
      <c r="A3" s="328" t="s">
        <v>4840</v>
      </c>
      <c r="B3" s="72" t="s">
        <v>4841</v>
      </c>
      <c r="C3" s="343" t="str">
        <f>IFERROR(__xludf.DUMMYFUNCTION("GOOGLETRANSLATE(A3,""zh-tw"",""ja"")"),"設備プロジェクト")</f>
        <v>設備プロジェクト</v>
      </c>
      <c r="D3" s="344" t="str">
        <f>IFERROR(__xludf.DUMMYFUNCTION("GOOGLETRANSLATE(B3,""zh-tw"",""ja"")"),"装備の属性")</f>
        <v>装備の属性</v>
      </c>
      <c r="E3" s="345" t="s">
        <v>4842</v>
      </c>
      <c r="F3" s="14" t="s">
        <v>4417</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4843</v>
      </c>
      <c r="P3" s="72" t="s">
        <v>4844</v>
      </c>
      <c r="Q3" s="331" t="s">
        <v>4845</v>
      </c>
      <c r="R3" s="332" t="s">
        <v>4421</v>
      </c>
      <c r="S3" s="17"/>
      <c r="T3" s="17"/>
      <c r="U3" s="17"/>
      <c r="V3" s="17"/>
      <c r="W3" s="17"/>
      <c r="X3" s="17"/>
      <c r="Y3" s="17"/>
      <c r="Z3" s="17"/>
    </row>
    <row r="4">
      <c r="A4" s="334" t="s">
        <v>4846</v>
      </c>
      <c r="B4" s="317" t="s">
        <v>4847</v>
      </c>
      <c r="C4" s="346" t="s">
        <v>4848</v>
      </c>
      <c r="D4" s="185" t="s">
        <v>4849</v>
      </c>
      <c r="E4" s="333" t="s">
        <v>4850</v>
      </c>
      <c r="F4" s="161" t="s">
        <v>4851</v>
      </c>
      <c r="G4" s="335" t="str">
        <f>IFERROR(__xludf.DUMMYFUNCTION("GOOGLETRANSLATE(A4,""zh-tw"",""zh"")"),"妹妹脱下的内裤")</f>
        <v>妹妹脱下的内裤</v>
      </c>
      <c r="H4" s="162" t="str">
        <f>IFERROR(__xludf.DUMMYFUNCTION("GOOGLETRANSLATE(B4,""zh-tw"",""zh"")"),"低体力回复")</f>
        <v>低体力回复</v>
      </c>
      <c r="I4" s="333" t="s">
        <v>4852</v>
      </c>
      <c r="J4" s="161" t="s">
        <v>4853</v>
      </c>
      <c r="K4" s="333" t="s">
        <v>4854</v>
      </c>
      <c r="L4" s="161" t="s">
        <v>4855</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4856</v>
      </c>
      <c r="P4" s="317" t="s">
        <v>4857</v>
      </c>
      <c r="Q4" s="337" t="s">
        <v>4858</v>
      </c>
      <c r="R4" s="338" t="s">
        <v>4859</v>
      </c>
      <c r="S4" s="17"/>
      <c r="T4" s="17"/>
      <c r="U4" s="17"/>
      <c r="V4" s="17"/>
      <c r="W4" s="17"/>
      <c r="X4" s="17"/>
      <c r="Y4" s="17"/>
      <c r="Z4" s="17"/>
    </row>
    <row r="5">
      <c r="A5" s="334" t="s">
        <v>4860</v>
      </c>
      <c r="B5" s="317" t="s">
        <v>4861</v>
      </c>
      <c r="C5" s="346" t="s">
        <v>4862</v>
      </c>
      <c r="D5" s="347" t="str">
        <f>IFERROR(__xludf.DUMMYFUNCTION("GOOGLETRANSLATE(B5,""zh-tw"",""ja"")"),"性欲が増し、全属性が10%増加します。")</f>
        <v>性欲が増し、全属性が10%増加します。</v>
      </c>
      <c r="E5" s="333" t="s">
        <v>4863</v>
      </c>
      <c r="F5" s="161" t="s">
        <v>4864</v>
      </c>
      <c r="G5" s="335" t="str">
        <f>IFERROR(__xludf.DUMMYFUNCTION("GOOGLETRANSLATE(A5,""zh-tw"",""zh"")"),"少女的笑容")</f>
        <v>少女的笑容</v>
      </c>
      <c r="H5" s="162" t="str">
        <f>IFERROR(__xludf.DUMMYFUNCTION("GOOGLETRANSLATE(B5,""zh-tw"",""zh"")"),"性欲上升，全属性上升10%")</f>
        <v>性欲上升，全属性上升10%</v>
      </c>
      <c r="I5" s="333" t="s">
        <v>4865</v>
      </c>
      <c r="J5" s="162" t="str">
        <f>IFERROR(__xludf.DUMMYFUNCTION("GOOGLETRANSLATE(B5,""zh-tw"",""es-MX"")"),"Aumento de la libido; todos los atributos aumentan un 10%.")</f>
        <v>Aumento de la libido; todos los atributos aumentan un 10%.</v>
      </c>
      <c r="K5" s="335" t="str">
        <f>IFERROR(__xludf.DUMMYFUNCTION("GOOGLETRANSLATE(A5,""zh-tw"",""KO"")"),"소녀의 미소")</f>
        <v>소녀의 미소</v>
      </c>
      <c r="L5" s="161" t="s">
        <v>4866</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4867</v>
      </c>
      <c r="P5" s="317" t="s">
        <v>4868</v>
      </c>
      <c r="Q5" s="337" t="s">
        <v>4869</v>
      </c>
      <c r="R5" s="338" t="s">
        <v>4870</v>
      </c>
      <c r="S5" s="17"/>
      <c r="T5" s="17"/>
      <c r="U5" s="17"/>
      <c r="V5" s="17"/>
      <c r="W5" s="17"/>
      <c r="X5" s="17"/>
      <c r="Y5" s="17"/>
      <c r="Z5" s="17"/>
    </row>
    <row r="6">
      <c r="A6" s="334" t="s">
        <v>4871</v>
      </c>
      <c r="B6" s="317" t="s">
        <v>723</v>
      </c>
      <c r="C6" s="348" t="str">
        <f>IFERROR(__xludf.DUMMYFUNCTION("GOOGLETRANSLATE(A6,""zh-tw"",""ja"")"),"フライドポテト")</f>
        <v>フライドポテト</v>
      </c>
      <c r="D6" s="347" t="str">
        <f>IFERROR(__xludf.DUMMYFUNCTION("GOOGLETRANSLATE(B6,""zh-tw"",""ja"")"),"-")</f>
        <v>-</v>
      </c>
      <c r="E6" s="333" t="s">
        <v>4872</v>
      </c>
      <c r="F6" s="161" t="s">
        <v>723</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4873</v>
      </c>
      <c r="P6" s="317" t="s">
        <v>4874</v>
      </c>
      <c r="Q6" s="337" t="s">
        <v>4875</v>
      </c>
      <c r="R6" s="338" t="s">
        <v>723</v>
      </c>
      <c r="S6" s="17"/>
      <c r="T6" s="17"/>
      <c r="U6" s="17"/>
      <c r="V6" s="17"/>
      <c r="W6" s="17"/>
      <c r="X6" s="17"/>
      <c r="Y6" s="17"/>
      <c r="Z6" s="17"/>
    </row>
    <row r="7">
      <c r="A7" s="334" t="s">
        <v>4876</v>
      </c>
      <c r="B7" s="317" t="s">
        <v>4877</v>
      </c>
      <c r="C7" s="348" t="str">
        <f>IFERROR(__xludf.DUMMYFUNCTION("GOOGLETRANSLATE(A7,""zh-tw"",""ja"")"),"トイレットペーパー")</f>
        <v>トイレットペーパー</v>
      </c>
      <c r="D7" s="347" t="str">
        <f>IFERROR(__xludf.DUMMYFUNCTION("GOOGLETRANSLATE(B7,""zh-tw"",""ja"")"),"物理防御：1.出血ダメージを軽減します。")</f>
        <v>物理防御：1.出血ダメージを軽減します。</v>
      </c>
      <c r="E7" s="333" t="s">
        <v>4878</v>
      </c>
      <c r="F7" s="161" t="s">
        <v>4879</v>
      </c>
      <c r="G7" s="335" t="str">
        <f>IFERROR(__xludf.DUMMYFUNCTION("GOOGLETRANSLATE(A7,""zh-tw"",""zh"")"),"厕纸")</f>
        <v>厕纸</v>
      </c>
      <c r="H7" s="162" t="str">
        <f>IFERROR(__xludf.DUMMYFUNCTION("GOOGLETRANSLATE(B7,""zh-tw"",""zh"")"),"物防：1
降低出血伤害")</f>
        <v>物防：1
降低出血伤害</v>
      </c>
      <c r="I7" s="335" t="str">
        <f>IFERROR(__xludf.DUMMYFUNCTION("GOOGLETRANSLATE(A7,""zh-tw"",""es-MX"")"),"papel higiénico")</f>
        <v>papel higiénico</v>
      </c>
      <c r="J7" s="162" t="str">
        <f>IFERROR(__xludf.DUMMYFUNCTION("GOOGLETRANSLATE(B7,""zh-tw"",""es-MX"")"),"Defensa física: 1. Reduce el daño por sangrado.")</f>
        <v>Defensa física: 1. Reduce el daño por sangrado.</v>
      </c>
      <c r="K7" s="335" t="str">
        <f>IFERROR(__xludf.DUMMYFUNCTION("GOOGLETRANSLATE(A7,""zh-tw"",""KO"")"),"휴지")</f>
        <v>휴지</v>
      </c>
      <c r="L7" s="161" t="s">
        <v>4880</v>
      </c>
      <c r="M7" s="336" t="str">
        <f>IFERROR(__xludf.DUMMYFUNCTION("GOOGLETRANSLATE(A7,""zh-tw"",""ru"")"),"туалетная бумага")</f>
        <v>туалетная бумага</v>
      </c>
      <c r="N7" s="315" t="str">
        <f>IFERROR(__xludf.DUMMYFUNCTION("GOOGLETRANSLATE(B7,""zh-tw"",""ru"")"),"Физическая защита: 1. Уменьшает урон от кровотечения.")</f>
        <v>Физическая защита: 1. Уменьшает урон от кровотечения.</v>
      </c>
      <c r="O7" s="334" t="s">
        <v>4881</v>
      </c>
      <c r="P7" s="317" t="s">
        <v>4882</v>
      </c>
      <c r="Q7" s="337" t="s">
        <v>4883</v>
      </c>
      <c r="R7" s="323" t="s">
        <v>4884</v>
      </c>
      <c r="S7" s="17"/>
      <c r="T7" s="17"/>
      <c r="U7" s="17"/>
      <c r="V7" s="17"/>
      <c r="W7" s="17"/>
      <c r="X7" s="17"/>
      <c r="Y7" s="17"/>
      <c r="Z7" s="17"/>
    </row>
    <row r="8">
      <c r="A8" s="334" t="s">
        <v>4885</v>
      </c>
      <c r="B8" s="317" t="s">
        <v>4886</v>
      </c>
      <c r="C8" s="346" t="s">
        <v>4887</v>
      </c>
      <c r="D8" s="347" t="str">
        <f>IFERROR(__xludf.DUMMYFUNCTION("GOOGLETRANSLATE(B8,""zh-tw"",""ja"")"),"運：10（回復確率）")</f>
        <v>運：10（回復確率）</v>
      </c>
      <c r="E8" s="333" t="s">
        <v>4888</v>
      </c>
      <c r="F8" s="161" t="s">
        <v>4889</v>
      </c>
      <c r="G8" s="335" t="str">
        <f>IFERROR(__xludf.DUMMYFUNCTION("GOOGLETRANSLATE(A8,""zh-tw"",""zh"")"),"苹果头套")</f>
        <v>苹果头套</v>
      </c>
      <c r="H8" s="162" t="str">
        <f>IFERROR(__xludf.DUMMYFUNCTION("GOOGLETRANSLATE(B8,""zh-tw"",""zh"")"),"幸运：10
概率回复")</f>
        <v>幸运：10
概率回复</v>
      </c>
      <c r="I8" s="333" t="s">
        <v>4890</v>
      </c>
      <c r="J8" s="161" t="s">
        <v>4891</v>
      </c>
      <c r="K8" s="333" t="s">
        <v>4892</v>
      </c>
      <c r="L8" s="161" t="s">
        <v>4893</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4894</v>
      </c>
      <c r="P8" s="317" t="s">
        <v>4895</v>
      </c>
      <c r="Q8" s="337" t="s">
        <v>4896</v>
      </c>
      <c r="R8" s="338" t="s">
        <v>4897</v>
      </c>
      <c r="S8" s="17"/>
      <c r="T8" s="17"/>
      <c r="U8" s="17"/>
      <c r="V8" s="17"/>
      <c r="W8" s="17"/>
      <c r="X8" s="17"/>
      <c r="Y8" s="17"/>
      <c r="Z8" s="17"/>
    </row>
    <row r="9">
      <c r="A9" s="334" t="s">
        <v>4898</v>
      </c>
      <c r="B9" s="317" t="s">
        <v>4899</v>
      </c>
      <c r="C9" s="346" t="s">
        <v>4900</v>
      </c>
      <c r="D9" s="347" t="str">
        <f>IFERROR(__xludf.DUMMYFUNCTION("GOOGLETRANSLATE(B9,""zh-tw"",""ja"")"),"物理攻撃：5。攻撃力と攻撃速度が向上します。")</f>
        <v>物理攻撃：5。攻撃力と攻撃速度が向上します。</v>
      </c>
      <c r="E9" s="333" t="s">
        <v>4901</v>
      </c>
      <c r="F9" s="161" t="s">
        <v>4902</v>
      </c>
      <c r="G9" s="335" t="str">
        <f>IFERROR(__xludf.DUMMYFUNCTION("GOOGLETRANSLATE(A9,""zh-tw"",""zh"")"),"借来的猫爪")</f>
        <v>借来的猫爪</v>
      </c>
      <c r="H9" s="162" t="str">
        <f>IFERROR(__xludf.DUMMYFUNCTION("GOOGLETRANSLATE(B9,""zh-tw"",""zh"")"),"物攻：5
攻击力、攻速上升")</f>
        <v>物攻：5
攻击力、攻速上升</v>
      </c>
      <c r="I9" s="333" t="s">
        <v>4903</v>
      </c>
      <c r="J9" s="162" t="str">
        <f>IFERROR(__xludf.DUMMYFUNCTION("GOOGLETRANSLATE(B9,""zh-tw"",""es-MX"")"),"Ataque físico: 5. Aumenta el poder de ataque y la velocidad de ataque.")</f>
        <v>Ataque físico: 5. Aumenta el poder de ataque y la velocidad de ataque.</v>
      </c>
      <c r="K9" s="333" t="s">
        <v>4904</v>
      </c>
      <c r="L9" s="161" t="s">
        <v>4905</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силу и скорость атаки.")</f>
        <v>Физическая атака: 5. Увеличивает силу и скорость атаки.</v>
      </c>
      <c r="O9" s="334" t="s">
        <v>4906</v>
      </c>
      <c r="P9" s="317" t="s">
        <v>4907</v>
      </c>
      <c r="Q9" s="337" t="s">
        <v>4908</v>
      </c>
      <c r="R9" s="338" t="s">
        <v>4909</v>
      </c>
      <c r="S9" s="17"/>
      <c r="T9" s="17"/>
      <c r="U9" s="17"/>
      <c r="V9" s="17"/>
      <c r="W9" s="17"/>
      <c r="X9" s="17"/>
      <c r="Y9" s="17"/>
      <c r="Z9" s="17"/>
    </row>
    <row r="10">
      <c r="A10" s="334" t="s">
        <v>4910</v>
      </c>
      <c r="B10" s="317" t="s">
        <v>4911</v>
      </c>
      <c r="C10" s="346" t="s">
        <v>4912</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4913</v>
      </c>
      <c r="F10" s="161" t="s">
        <v>4914</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3" t="s">
        <v>4915</v>
      </c>
      <c r="L10" s="161" t="s">
        <v>4916</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4917</v>
      </c>
      <c r="P10" s="317" t="s">
        <v>4918</v>
      </c>
      <c r="Q10" s="337" t="s">
        <v>4919</v>
      </c>
      <c r="R10" s="338" t="s">
        <v>4920</v>
      </c>
      <c r="S10" s="17"/>
      <c r="T10" s="17"/>
      <c r="U10" s="17"/>
      <c r="V10" s="17"/>
      <c r="W10" s="17"/>
      <c r="X10" s="17"/>
      <c r="Y10" s="17"/>
      <c r="Z10" s="17"/>
    </row>
    <row r="11">
      <c r="A11" s="334" t="s">
        <v>4921</v>
      </c>
      <c r="B11" s="317" t="s">
        <v>4922</v>
      </c>
      <c r="C11" s="346" t="s">
        <v>4279</v>
      </c>
      <c r="D11" s="347" t="str">
        <f>IFERROR(__xludf.DUMMYFUNCTION("GOOGLETRANSLATE(B11,""zh-tw"",""ja"")"),"攻撃速度と攻撃回数を1増加します。")</f>
        <v>攻撃速度と攻撃回数を1増加します。</v>
      </c>
      <c r="E11" s="333" t="s">
        <v>4282</v>
      </c>
      <c r="F11" s="161" t="s">
        <v>4923</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número de ataques en 1.")</f>
        <v>Aumenta la velocidad de ataque y el número de ataques en 1.</v>
      </c>
      <c r="K11" s="333" t="s">
        <v>4284</v>
      </c>
      <c r="L11" s="161" t="s">
        <v>4924</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4286</v>
      </c>
      <c r="P11" s="317" t="s">
        <v>4925</v>
      </c>
      <c r="Q11" s="337" t="s">
        <v>4926</v>
      </c>
      <c r="R11" s="338" t="s">
        <v>4927</v>
      </c>
      <c r="S11" s="17"/>
      <c r="T11" s="17"/>
      <c r="U11" s="17"/>
      <c r="V11" s="17"/>
      <c r="W11" s="17"/>
      <c r="X11" s="17"/>
      <c r="Y11" s="17"/>
      <c r="Z11" s="17"/>
    </row>
    <row r="12">
      <c r="A12" s="334" t="s">
        <v>4928</v>
      </c>
      <c r="B12" s="317" t="s">
        <v>4929</v>
      </c>
      <c r="C12" s="346" t="s">
        <v>4930</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4931</v>
      </c>
      <c r="F12" s="161" t="s">
        <v>4932</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3" t="s">
        <v>4933</v>
      </c>
      <c r="L12" s="161" t="s">
        <v>4934</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4935</v>
      </c>
      <c r="P12" s="317" t="s">
        <v>4936</v>
      </c>
      <c r="Q12" s="337" t="s">
        <v>4937</v>
      </c>
      <c r="R12" s="338" t="s">
        <v>4938</v>
      </c>
      <c r="S12" s="17"/>
      <c r="T12" s="17"/>
      <c r="U12" s="17"/>
      <c r="V12" s="17"/>
      <c r="W12" s="17"/>
      <c r="X12" s="17"/>
      <c r="Y12" s="17"/>
      <c r="Z12" s="17"/>
    </row>
    <row r="13">
      <c r="A13" s="334" t="s">
        <v>4939</v>
      </c>
      <c r="B13" s="317" t="s">
        <v>4940</v>
      </c>
      <c r="C13" s="348" t="str">
        <f>IFERROR(__xludf.DUMMYFUNCTION("GOOGLETRANSLATE(A13,""zh-tw"",""ja"")"),"招き猫")</f>
        <v>招き猫</v>
      </c>
      <c r="D13" s="185" t="s">
        <v>4941</v>
      </c>
      <c r="E13" s="333" t="s">
        <v>4942</v>
      </c>
      <c r="F13" s="161" t="s">
        <v>4943</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4944</v>
      </c>
      <c r="L13" s="161" t="s">
        <v>4945</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4946</v>
      </c>
      <c r="P13" s="317" t="s">
        <v>4947</v>
      </c>
      <c r="Q13" s="337" t="s">
        <v>4948</v>
      </c>
      <c r="R13" s="338" t="s">
        <v>4949</v>
      </c>
      <c r="S13" s="17"/>
      <c r="T13" s="17"/>
      <c r="U13" s="17"/>
      <c r="V13" s="17"/>
      <c r="W13" s="17"/>
      <c r="X13" s="17"/>
      <c r="Y13" s="17"/>
      <c r="Z13" s="17"/>
    </row>
    <row r="14">
      <c r="A14" s="334" t="s">
        <v>4950</v>
      </c>
      <c r="B14" s="317" t="s">
        <v>4951</v>
      </c>
      <c r="C14" s="348" t="str">
        <f>IFERROR(__xludf.DUMMYFUNCTION("GOOGLETRANSLATE(A14,""zh-tw"",""ja"")"),"怒りの拳")</f>
        <v>怒りの拳</v>
      </c>
      <c r="D14" s="347" t="str">
        <f>IFERROR(__xludf.DUMMYFUNCTION("GOOGLETRANSLATE(B14,""zh-tw"",""ja"")"),"物理攻撃力：1
魔法攻撃力：8
自動旋回攻撃")</f>
        <v>物理攻撃力：1
魔法攻撃力：8
自動旋回攻撃</v>
      </c>
      <c r="E14" s="333" t="s">
        <v>4952</v>
      </c>
      <c r="F14" s="161" t="s">
        <v>4953</v>
      </c>
      <c r="G14" s="335" t="str">
        <f>IFERROR(__xludf.DUMMYFUNCTION("GOOGLETRANSLATE(A14,""zh-tw"",""zh"")"),"愤怒的拳头")</f>
        <v>愤怒的拳头</v>
      </c>
      <c r="H14" s="162" t="str">
        <f>IFERROR(__xludf.DUMMYFUNCTION("GOOGLETRANSLATE(B14,""zh-tw"",""zh"")"),"物攻：1
魔攻：8
自动环绕攻击")</f>
        <v>物攻：1
魔攻：8
自动环绕攻击</v>
      </c>
      <c r="I14" s="335" t="str">
        <f>IFERROR(__xludf.DUMMYFUNCTION("GOOGLETRANSLATE(A14,""zh-tw"",""es-MX"")"),"Puño furioso")</f>
        <v>Puño furioso</v>
      </c>
      <c r="J14" s="162" t="str">
        <f>IFERROR(__xludf.DUMMYFUNCTION("GOOGLETRANSLATE(B14,""zh-tw"",""es-MX"")"),"Ataque físico: 1
Ataque mágico: 8
Ataque circular automático")</f>
        <v>Ataque físico: 1
Ataque mágico: 8
Ataque circular automático</v>
      </c>
      <c r="K14" s="335" t="str">
        <f>IFERROR(__xludf.DUMMYFUNCTION("GOOGLETRANSLATE(A14,""zh-tw"",""KO"")"),"화난 주먹")</f>
        <v>화난 주먹</v>
      </c>
      <c r="L14" s="161" t="s">
        <v>4954</v>
      </c>
      <c r="M14" s="336" t="str">
        <f>IFERROR(__xludf.DUMMYFUNCTION("GOOGLETRANSLATE(A14,""zh-tw"",""ru"")"),"Злой кулак")</f>
        <v>Злой кулак</v>
      </c>
      <c r="N14" s="315" t="str">
        <f>IFERROR(__xludf.DUMMYFUNCTION("GOOGLETRANSLATE(B14,""zh-tw"",""ru"")"),"Физическая атака: 1
Магическая атака: 8
Атака с автокругом")</f>
        <v>Физическая атака: 1
Магическая атака: 8
Атака с автокругом</v>
      </c>
      <c r="O14" s="334" t="s">
        <v>4955</v>
      </c>
      <c r="P14" s="317" t="s">
        <v>4956</v>
      </c>
      <c r="Q14" s="337" t="s">
        <v>4957</v>
      </c>
      <c r="R14" s="323" t="s">
        <v>4958</v>
      </c>
      <c r="S14" s="17"/>
      <c r="T14" s="17"/>
      <c r="U14" s="17"/>
      <c r="V14" s="17"/>
      <c r="W14" s="17"/>
      <c r="X14" s="17"/>
      <c r="Y14" s="17"/>
      <c r="Z14" s="17"/>
    </row>
    <row r="15">
      <c r="A15" s="334" t="s">
        <v>4959</v>
      </c>
      <c r="B15" s="317" t="s">
        <v>4951</v>
      </c>
      <c r="C15" s="346" t="s">
        <v>4960</v>
      </c>
      <c r="D15" s="185" t="s">
        <v>4961</v>
      </c>
      <c r="E15" s="333" t="s">
        <v>4962</v>
      </c>
      <c r="F15" s="161" t="s">
        <v>4963</v>
      </c>
      <c r="G15" s="335" t="str">
        <f>IFERROR(__xludf.DUMMYFUNCTION("GOOGLETRANSLATE(A15,""zh-tw"",""zh"")"),"毒蛇之拥")</f>
        <v>毒蛇之拥</v>
      </c>
      <c r="H15" s="162" t="str">
        <f>IFERROR(__xludf.DUMMYFUNCTION("GOOGLETRANSLATE(B15,""zh-tw"",""zh"")"),"物攻：1
魔攻：8
自动环绕攻击")</f>
        <v>物攻：1
魔攻：8
自动环绕攻击</v>
      </c>
      <c r="I15" s="335" t="str">
        <f>IFERROR(__xludf.DUMMYFUNCTION("GOOGLETRANSLATE(A15,""zh-tw"",""es-MX"")"),"El abrazo de la serpiente")</f>
        <v>El abrazo de la serpiente</v>
      </c>
      <c r="J15" s="162" t="str">
        <f>IFERROR(__xludf.DUMMYFUNCTION("GOOGLETRANSLATE(B15,""zh-tw"",""es-MX"")"),"Ataque físico: 1
Ataque mágico: 8
Ataque circular automático")</f>
        <v>Ataque físico: 1
Ataque mágico: 8
Ataque circular automático</v>
      </c>
      <c r="K15" s="333" t="s">
        <v>4964</v>
      </c>
      <c r="L15" s="161" t="s">
        <v>4954</v>
      </c>
      <c r="M15" s="336" t="str">
        <f>IFERROR(__xludf.DUMMYFUNCTION("GOOGLETRANSLATE(A15,""zh-tw"",""ru"")"),"Объятия Змеи")</f>
        <v>Объятия Змеи</v>
      </c>
      <c r="N15" s="315" t="str">
        <f>IFERROR(__xludf.DUMMYFUNCTION("GOOGLETRANSLATE(B15,""zh-tw"",""ru"")"),"Физическая атака: 1
Магическая атака: 8
Атака с автокругом")</f>
        <v>Физическая атака: 1
Магическая атака: 8
Атака с автокругом</v>
      </c>
      <c r="O15" s="334" t="s">
        <v>4965</v>
      </c>
      <c r="P15" s="317" t="s">
        <v>4966</v>
      </c>
      <c r="Q15" s="337" t="s">
        <v>4967</v>
      </c>
      <c r="R15" s="323" t="s">
        <v>4968</v>
      </c>
      <c r="S15" s="17"/>
      <c r="T15" s="17"/>
      <c r="U15" s="17"/>
      <c r="V15" s="17"/>
      <c r="W15" s="17"/>
      <c r="X15" s="17"/>
      <c r="Y15" s="17"/>
      <c r="Z15" s="17"/>
    </row>
    <row r="16">
      <c r="A16" s="334" t="s">
        <v>4065</v>
      </c>
      <c r="B16" s="317" t="s">
        <v>4969</v>
      </c>
      <c r="C16" s="348" t="str">
        <f>IFERROR(__xludf.DUMMYFUNCTION("GOOGLETRANSLATE(A16,""zh-tw"",""ja"")"),"火の鳥の羽")</f>
        <v>火の鳥の羽</v>
      </c>
      <c r="D16" s="347" t="str">
        <f>IFERROR(__xludf.DUMMYFUNCTION("GOOGLETRANSLATE(B16,""zh-tw"",""ja"")"),"復活し、体力を完全に回復します（消耗品）。")</f>
        <v>復活し、体力を完全に回復します（消耗品）。</v>
      </c>
      <c r="E16" s="333" t="s">
        <v>4070</v>
      </c>
      <c r="F16" s="161" t="s">
        <v>4970</v>
      </c>
      <c r="G16" s="335" t="str">
        <f>IFERROR(__xludf.DUMMYFUNCTION("GOOGLETRANSLATE(A16,""zh-tw"",""zh"")"),"火鸟的羽毛")</f>
        <v>火鸟的羽毛</v>
      </c>
      <c r="H16" s="162" t="str">
        <f>IFERROR(__xludf.DUMMYFUNCTION("GOOGLETRANSLATE(B16,""zh-tw"",""zh"")"),"复活并恢复全部体力(消耗品)")</f>
        <v>复活并恢复全部体力(消耗品)</v>
      </c>
      <c r="I16" s="335" t="str">
        <f>IFERROR(__xludf.DUMMYFUNCTION("GOOGLETRANSLATE(A16,""zh-tw"",""es-MX"")"),"plumas de ave fénix")</f>
        <v>plumas de ave fénix</v>
      </c>
      <c r="J16" s="162" t="str">
        <f>IFERROR(__xludf.DUMMYFUNCTION("GOOGLETRANSLATE(B16,""zh-tw"",""es-MX"")"),"Revitaliza y restaura la salud por completo (consumible).")</f>
        <v>Revitaliza y restaura la salud por completo (consumible).</v>
      </c>
      <c r="K16" s="334" t="s">
        <v>4073</v>
      </c>
      <c r="L16" s="161" t="s">
        <v>4971</v>
      </c>
      <c r="M16" s="336" t="str">
        <f>IFERROR(__xludf.DUMMYFUNCTION("GOOGLETRANSLATE(A16,""zh-tw"",""ru"")"),"Перья жар-птицы")</f>
        <v>Перья жар-птицы</v>
      </c>
      <c r="N16" s="31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34" t="s">
        <v>4076</v>
      </c>
      <c r="P16" s="317" t="s">
        <v>4972</v>
      </c>
      <c r="Q16" s="337" t="s">
        <v>4079</v>
      </c>
      <c r="R16" s="323" t="s">
        <v>4973</v>
      </c>
      <c r="S16" s="17"/>
      <c r="T16" s="17"/>
      <c r="U16" s="17"/>
      <c r="V16" s="17"/>
      <c r="W16" s="17"/>
      <c r="X16" s="17"/>
      <c r="Y16" s="17"/>
      <c r="Z16" s="17"/>
    </row>
    <row r="17">
      <c r="A17" s="334" t="s">
        <v>4974</v>
      </c>
      <c r="B17" s="317" t="s">
        <v>4975</v>
      </c>
      <c r="C17" s="346" t="s">
        <v>4976</v>
      </c>
      <c r="D17" s="347" t="str">
        <f>IFERROR(__xludf.DUMMYFUNCTION("GOOGLETRANSLATE(B17,""zh-tw"",""ja"")"),"物理防御力: 2
魔法耐性: 15
落下ダメージ軽減")</f>
        <v>物理防御力: 2
魔法耐性: 15
落下ダメージ軽減</v>
      </c>
      <c r="E17" s="333" t="s">
        <v>4977</v>
      </c>
      <c r="F17" s="161" t="s">
        <v>4978</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 de objetos")</f>
        <v>Defensa física: 2
Resistencia mágica: 15
Reducción de daño por caída de objetos</v>
      </c>
      <c r="K17" s="333" t="s">
        <v>4979</v>
      </c>
      <c r="L17" s="161" t="s">
        <v>4980</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4981</v>
      </c>
      <c r="P17" s="317" t="s">
        <v>4982</v>
      </c>
      <c r="Q17" s="337" t="s">
        <v>4983</v>
      </c>
      <c r="R17" s="323" t="s">
        <v>4984</v>
      </c>
      <c r="S17" s="17"/>
      <c r="T17" s="17"/>
      <c r="U17" s="17"/>
      <c r="V17" s="17"/>
      <c r="W17" s="17"/>
      <c r="X17" s="17"/>
      <c r="Y17" s="17"/>
      <c r="Z17" s="17"/>
    </row>
    <row r="18">
      <c r="A18" s="333" t="s">
        <v>4985</v>
      </c>
      <c r="B18" s="161" t="s">
        <v>4986</v>
      </c>
      <c r="C18" s="346" t="s">
        <v>4987</v>
      </c>
      <c r="D18" s="347"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35" t="str">
        <f>IFERROR(__xludf.DUMMYFUNCTION("GOOGLETRANSLATE(A18,""zh-tw"",""en"")"),"Martial Arts Wristguards")</f>
        <v>Martial Arts Wristguards</v>
      </c>
      <c r="F18" s="161" t="s">
        <v>4988</v>
      </c>
      <c r="G18" s="335" t="str">
        <f>IFERROR(__xludf.DUMMYFUNCTION("GOOGLETRANSLATE(A18,""zh-tw"",""zh"")"),"武术家护腕")</f>
        <v>武术家护腕</v>
      </c>
      <c r="H18" s="162" t="str">
        <f>IFERROR(__xludf.DUMMYFUNCTION("GOOGLETRANSLATE(B18,""zh-tw"",""zh"")"),"物攻：3
减少物理系武器耐久消耗、提升攻速和拳击的伤害")</f>
        <v>物攻：3
减少物理系武器耐久消耗、提升攻速和拳击的伤害</v>
      </c>
      <c r="I18" s="335" t="str">
        <f>IFERROR(__xludf.DUMMYFUNCTION("GOOGLETRANSLATE(A18,""zh-tw"",""es-MX"")"),"Muñequeras para artes marciales")</f>
        <v>Muñequeras para artes marciales</v>
      </c>
      <c r="J18" s="162" t="str">
        <f>IFERROR(__xludf.DUMMYFUNCTION("GOOGLETRANSLATE(B18,""zh-tw"",""es-MX"")"),"Ataque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18" s="335" t="str">
        <f>IFERROR(__xludf.DUMMYFUNCTION("GOOGLETRANSLATE(A18,""zh-tw"",""KO"")"),"무술 손목 보호대")</f>
        <v>무술 손목 보호대</v>
      </c>
      <c r="L18" s="162" t="str">
        <f>IFERROR(__xludf.DUMMYFUNCTION("GOOGLETRANSLATE(B18,""zh-tw"",""KO"")"),"물리 공격력: 3. 물리 무기의 내구도 소모를 감소시키고, 공격 속도와 펀치 데미지를 증가시킵니다.")</f>
        <v>물리 공격력: 3. 물리 무기의 내구도 소모를 감소시키고, 공격 속도와 펀치 데미지를 증가시킵니다.</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34" t="s">
        <v>4989</v>
      </c>
      <c r="P18" s="317" t="s">
        <v>4990</v>
      </c>
      <c r="Q18" s="337" t="s">
        <v>4991</v>
      </c>
      <c r="R18" s="323" t="s">
        <v>4992</v>
      </c>
      <c r="S18" s="17"/>
      <c r="T18" s="17"/>
      <c r="U18" s="17"/>
      <c r="V18" s="17"/>
      <c r="W18" s="17"/>
      <c r="X18" s="17"/>
      <c r="Y18" s="17"/>
      <c r="Z18" s="17"/>
    </row>
    <row r="19">
      <c r="A19" s="334" t="s">
        <v>4993</v>
      </c>
      <c r="B19" s="317" t="s">
        <v>4994</v>
      </c>
      <c r="C19" s="346" t="s">
        <v>4995</v>
      </c>
      <c r="D19" s="347" t="str">
        <f>IFERROR(__xludf.DUMMYFUNCTION("GOOGLETRANSLATE(B19,""zh-tw"",""ja"")"),"物理防御力：2
魔法耐性：10
フラッシュステップ効果強化")</f>
        <v>物理防御力：2
魔法耐性：10
フラッシュステップ効果強化</v>
      </c>
      <c r="E19" s="333" t="s">
        <v>4996</v>
      </c>
      <c r="F19" s="161" t="s">
        <v>4997</v>
      </c>
      <c r="G19" s="335" t="str">
        <f>IFERROR(__xludf.DUMMYFUNCTION("GOOGLETRANSLATE(A19,""zh-tw"",""zh"")"),"武术家之鞋")</f>
        <v>武术家之鞋</v>
      </c>
      <c r="H19" s="162" t="str">
        <f>IFERROR(__xludf.DUMMYFUNCTION("GOOGLETRANSLATE(B19,""zh-tw"",""zh"")"),"物防：2
魔抗：10
闪步效果强化")</f>
        <v>物防：2
魔抗：10
闪步效果强化</v>
      </c>
      <c r="I19" s="335" t="str">
        <f>IFERROR(__xludf.DUMMYFUNCTION("GOOGLETRANSLATE(A19,""zh-tw"",""es-MX"")"),"Zapatos de artista marcial")</f>
        <v>Zapatos de artista marcial</v>
      </c>
      <c r="J19" s="162" t="str">
        <f>IFERROR(__xludf.DUMMYFUNCTION("GOOGLETRANSLATE(B19,""zh-tw"",""es-MX"")"),"Defensa física: 2
Resistencia mágica: 10
Potenciación del efecto Paso relámpago")</f>
        <v>Defensa física: 2
Resistencia mágica: 10
Potenciación del efecto Paso relámpago</v>
      </c>
      <c r="K19" s="335" t="str">
        <f>IFERROR(__xludf.DUMMYFUNCTION("GOOGLETRANSLATE(A19,""zh-tw"",""KO"")"),"무술가의 신발")</f>
        <v>무술가의 신발</v>
      </c>
      <c r="L19" s="162" t="str">
        <f>IFERROR(__xludf.DUMMYFUNCTION("GOOGLETRANSLATE(B19,""zh-tw"",""KO"")"),"물리 방어력: 2
마법 저항력: 10
플래시 스텝 효과 강화")</f>
        <v>물리 방어력: 2
마법 저항력: 10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34" t="s">
        <v>4998</v>
      </c>
      <c r="P19" s="317" t="s">
        <v>4999</v>
      </c>
      <c r="Q19" s="337" t="s">
        <v>5000</v>
      </c>
      <c r="R19" s="323" t="s">
        <v>5001</v>
      </c>
      <c r="S19" s="17"/>
      <c r="T19" s="17"/>
      <c r="U19" s="17"/>
      <c r="V19" s="17"/>
      <c r="W19" s="17"/>
      <c r="X19" s="17"/>
      <c r="Y19" s="17"/>
      <c r="Z19" s="17"/>
    </row>
    <row r="20">
      <c r="A20" s="334" t="s">
        <v>5002</v>
      </c>
      <c r="B20" s="317" t="s">
        <v>5003</v>
      </c>
      <c r="C20" s="346" t="s">
        <v>5004</v>
      </c>
      <c r="D20" s="347" t="str">
        <f>IFERROR(__xludf.DUMMYFUNCTION("GOOGLETRANSLATE(B20,""zh-tw"",""ja"")"),"物理防御力: 1
幸運: 60
アイテムドロップ率アップ")</f>
        <v>物理防御力: 1
幸運: 60
アイテムドロップ率アップ</v>
      </c>
      <c r="E20" s="333" t="s">
        <v>5005</v>
      </c>
      <c r="F20" s="161" t="s">
        <v>5006</v>
      </c>
      <c r="G20" s="335" t="str">
        <f>IFERROR(__xludf.DUMMYFUNCTION("GOOGLETRANSLATE(A20,""zh-tw"",""zh"")"),"萌萌兔耳")</f>
        <v>萌萌兔耳</v>
      </c>
      <c r="H20" s="162" t="str">
        <f>IFERROR(__xludf.DUMMYFUNCTION("GOOGLETRANSLATE(B20,""zh-tw"",""zh"")"),"物防：1
幸运：60
增加物品掉落率")</f>
        <v>物防：1
幸运：60
增加物品掉落率</v>
      </c>
      <c r="I20" s="335" t="str">
        <f>IFERROR(__xludf.DUMMYFUNCTION("GOOGLETRANSLATE(A20,""zh-tw"",""es-MX"")"),"Lindas orejas de conejo")</f>
        <v>Lindas orejas de conejo</v>
      </c>
      <c r="J20" s="162" t="str">
        <f>IFERROR(__xludf.DUMMYFUNCTION("GOOGLETRANSLATE(B20,""zh-tw"",""es-MX"")"),"Defensa física: 1
Suerte: 60")</f>
        <v>Defensa física: 1
Suerte: 60</v>
      </c>
      <c r="K20" s="335" t="str">
        <f>IFERROR(__xludf.DUMMYFUNCTION("GOOGLETRANSLATE(A20,""zh-tw"",""KO"")"),"귀여운 토끼 귀")</f>
        <v>귀여운 토끼 귀</v>
      </c>
      <c r="L20" s="162" t="str">
        <f>IFERROR(__xludf.DUMMYFUNCTION("GOOGLETRANSLATE(B20,""zh-tw"",""KO"")"),"물리 방어력: 1
행운: 60
아이템 획득률 증가")</f>
        <v>물리 방어력: 1
행운: 60
아이템 획득률 증가</v>
      </c>
      <c r="M20" s="336" t="str">
        <f>IFERROR(__xludf.DUMMYFUNCTION("GOOGLETRANSLATE(A20,""zh-tw"",""ru"")"),"Милые ушки зайчика")</f>
        <v>Милые ушки зайчика</v>
      </c>
      <c r="N20" s="31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34" t="s">
        <v>5007</v>
      </c>
      <c r="P20" s="317" t="s">
        <v>5008</v>
      </c>
      <c r="Q20" s="337" t="s">
        <v>5009</v>
      </c>
      <c r="R20" s="323" t="s">
        <v>5010</v>
      </c>
      <c r="S20" s="17"/>
      <c r="T20" s="17"/>
      <c r="U20" s="17"/>
      <c r="V20" s="17"/>
      <c r="W20" s="17"/>
      <c r="X20" s="17"/>
      <c r="Y20" s="17"/>
      <c r="Z20" s="17"/>
    </row>
    <row r="21">
      <c r="A21" s="334" t="s">
        <v>5011</v>
      </c>
      <c r="B21" s="317" t="s">
        <v>5012</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5013</v>
      </c>
      <c r="F21" s="161" t="s">
        <v>5014</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ni sufrir efectos especiales")</f>
        <v>Defensa física: 4
Resistencia mágica: 4
Suerte: 30
No puede atacar ni sufrir efectos especiales</v>
      </c>
      <c r="K21" s="334" t="s">
        <v>5015</v>
      </c>
      <c r="L21" s="161" t="s">
        <v>5016</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5017</v>
      </c>
      <c r="P21" s="317" t="s">
        <v>5018</v>
      </c>
      <c r="Q21" s="337" t="s">
        <v>5019</v>
      </c>
      <c r="R21" s="338" t="s">
        <v>5020</v>
      </c>
      <c r="S21" s="17"/>
      <c r="T21" s="17"/>
      <c r="U21" s="17"/>
      <c r="V21" s="17"/>
      <c r="W21" s="17"/>
      <c r="X21" s="17"/>
      <c r="Y21" s="17"/>
      <c r="Z21" s="17"/>
    </row>
    <row r="22">
      <c r="A22" s="334" t="s">
        <v>5021</v>
      </c>
      <c r="B22" s="317" t="s">
        <v>5022</v>
      </c>
      <c r="C22" s="346" t="s">
        <v>5023</v>
      </c>
      <c r="D22" s="347" t="str">
        <f>IFERROR(__xludf.DUMMYFUNCTION("GOOGLETRANSLATE(B22,""zh-tw"",""ja"")"),"魔法攻撃力：20
魔法耐性：10
詠唱速度が上昇し、最大魔法威力が上昇")</f>
        <v>魔法攻撃力：20
魔法耐性：10
詠唱速度が上昇し、最大魔法威力が上昇</v>
      </c>
      <c r="E22" s="333" t="s">
        <v>5024</v>
      </c>
      <c r="F22" s="161" t="s">
        <v>5025</v>
      </c>
      <c r="G22" s="335" t="str">
        <f>IFERROR(__xludf.DUMMYFUNCTION("GOOGLETRANSLATE(A22,""zh-tw"",""zh"")"),"魔力晶簇")</f>
        <v>魔力晶簇</v>
      </c>
      <c r="H22" s="162" t="str">
        <f>IFERROR(__xludf.DUMMYFUNCTION("GOOGLETRANSLATE(B22,""zh-tw"",""zh"")"),"魔攻：20
魔抗：10
加快吟唱、提升魔法威力上限")</f>
        <v>魔攻：20
魔抗：10
加快吟唱、提升魔法威力上限</v>
      </c>
      <c r="I22" s="335" t="str">
        <f>IFERROR(__xludf.DUMMYFUNCTION("GOOGLETRANSLATE(A22,""zh-tw"",""es-MX"")"),"Racimo de cristales mágicos")</f>
        <v>Racimo de cristales mágicos</v>
      </c>
      <c r="J22" s="162" t="str">
        <f>IFERROR(__xludf.DUMMYFUNCTION("GOOGLETRANSLATE(B22,""zh-tw"",""es-MX"")"),"Ataque mágico: 20
Resistencia mágica: 10
Aumenta la velocidad de lanzamiento de hechizos y el poder mágico máximo")</f>
        <v>Ataque mágico: 20
Resistencia mágica: 10
Aumenta la velocidad de lanzamiento de hechizos y el poder mágico máximo</v>
      </c>
      <c r="K22" s="333" t="s">
        <v>5026</v>
      </c>
      <c r="L22" s="161" t="s">
        <v>5027</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34" t="s">
        <v>5028</v>
      </c>
      <c r="P22" s="317" t="s">
        <v>5029</v>
      </c>
      <c r="Q22" s="337" t="s">
        <v>5030</v>
      </c>
      <c r="R22" s="323" t="s">
        <v>5031</v>
      </c>
      <c r="S22" s="17"/>
      <c r="T22" s="17"/>
      <c r="U22" s="17"/>
      <c r="V22" s="17"/>
      <c r="W22" s="17"/>
      <c r="X22" s="17"/>
      <c r="Y22" s="17"/>
      <c r="Z22" s="17"/>
    </row>
    <row r="23">
      <c r="A23" s="334" t="s">
        <v>5032</v>
      </c>
      <c r="B23" s="317" t="s">
        <v>5033</v>
      </c>
      <c r="C23" s="346" t="s">
        <v>5034</v>
      </c>
      <c r="D23" s="347" t="str">
        <f>IFERROR(__xludf.DUMMYFUNCTION("GOOGLETRANSLATE(B23,""zh-tw"",""ja"")"),"魔法攻撃力：35
魔法耐性：20
詠唱速度が上昇し、最大魔法威力が上昇")</f>
        <v>魔法攻撃力：35
魔法耐性：20
詠唱速度が上昇し、最大魔法威力が上昇</v>
      </c>
      <c r="E23" s="333" t="s">
        <v>5035</v>
      </c>
      <c r="F23" s="161" t="s">
        <v>5036</v>
      </c>
      <c r="G23" s="335" t="str">
        <f>IFERROR(__xludf.DUMMYFUNCTION("GOOGLETRANSLATE(A23,""zh-tw"",""zh"")"),"深邃魔力晶簇")</f>
        <v>深邃魔力晶簇</v>
      </c>
      <c r="H23" s="162" t="str">
        <f>IFERROR(__xludf.DUMMYFUNCTION("GOOGLETRANSLATE(B23,""zh-tw"",""zh"")"),"魔攻：35
魔抗：20
加快吟唱、提升魔法威力上限")</f>
        <v>魔攻：35
魔抗：20
加快吟唱、提升魔法威力上限</v>
      </c>
      <c r="I23" s="335" t="str">
        <f>IFERROR(__xludf.DUMMYFUNCTION("GOOGLETRANSLATE(A23,""zh-tw"",""es-MX"")"),"Racimo de cristales de magia profunda")</f>
        <v>Racimo de cristales de magia profunda</v>
      </c>
      <c r="J23" s="162" t="str">
        <f>IFERROR(__xludf.DUMMYFUNCTION("GOOGLETRANSLATE(B23,""zh-tw"",""es-MX"")"),"Ataque mágico: 35
Resistencia mágica: 20
Aumenta la velocidad de lanzamiento de hechizos y el poder mágico máximo")</f>
        <v>Ataque mágico: 35
Resistencia mágica: 20
Aumenta la velocidad de lanzamiento de hechizos y el poder mágico máximo</v>
      </c>
      <c r="K23" s="334" t="s">
        <v>5037</v>
      </c>
      <c r="L23" s="161" t="s">
        <v>5038</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34" t="s">
        <v>5039</v>
      </c>
      <c r="P23" s="317" t="s">
        <v>5040</v>
      </c>
      <c r="Q23" s="337" t="s">
        <v>5041</v>
      </c>
      <c r="R23" s="323" t="s">
        <v>5042</v>
      </c>
      <c r="S23" s="17"/>
      <c r="T23" s="17"/>
      <c r="U23" s="17"/>
      <c r="V23" s="17"/>
      <c r="W23" s="17"/>
      <c r="X23" s="17"/>
      <c r="Y23" s="17"/>
      <c r="Z23" s="17"/>
    </row>
    <row r="24">
      <c r="A24" s="334" t="s">
        <v>5043</v>
      </c>
      <c r="B24" s="317" t="s">
        <v>5044</v>
      </c>
      <c r="C24" s="346" t="s">
        <v>5045</v>
      </c>
      <c r="D24" s="347" t="str">
        <f>IFERROR(__xludf.DUMMYFUNCTION("GOOGLETRANSLATE(B24,""zh-tw"",""ja"")"),"スタミナが増加（基本25、追加ボーナス2%）。スタミナ回復効果が20%増加。")</f>
        <v>スタミナが増加（基本25、追加ボーナス2%）。スタミナ回復効果が20%増加。</v>
      </c>
      <c r="E24" s="333" t="s">
        <v>5046</v>
      </c>
      <c r="F24" s="161" t="s">
        <v>5047</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IFERROR(__xludf.DUMMYFUNCTION("GOOGLETRANSLATE(B24,""zh-tw"",""es-MX"")"),"Resistencia aumentada, base 25, bonificación adicional del 2%. Efecto de recuperación de resistencia aumentado en un 20%.")</f>
        <v>Resistencia aumentada, base 25, bonificación adicional del 2%. Efecto de recuperación de resistencia aumentado en un 20%.</v>
      </c>
      <c r="K24" s="335" t="str">
        <f>IFERROR(__xludf.DUMMYFUNCTION("GOOGLETRANSLATE(A24,""zh-tw"",""KO"")"),"저주받은 태아")</f>
        <v>저주받은 태아</v>
      </c>
      <c r="L24" s="161" t="s">
        <v>5048</v>
      </c>
      <c r="M24" s="336" t="str">
        <f>IFERROR(__xludf.DUMMYFUNCTION("GOOGLETRANSLATE(A24,""zh-tw"",""ru"")"),"Проклятый плод")</f>
        <v>Проклятый плод</v>
      </c>
      <c r="N24" s="315" t="str">
        <f>IFERROR(__xludf.DUMMYFUNCTION("GOOGLETRANSLATE(B24,""zh-tw"",""ru"")"),"Выносливость увеличена, базовая 25, дополнительный бонус 2%. Эффект восстановления выносливости увеличен на 20%.")</f>
        <v>Выносливость увеличена, базовая 25, дополнительный бонус 2%. Эффект восстановления выносливости увеличен на 20%.</v>
      </c>
      <c r="O24" s="334" t="s">
        <v>5049</v>
      </c>
      <c r="P24" s="317" t="s">
        <v>5050</v>
      </c>
      <c r="Q24" s="337" t="s">
        <v>5051</v>
      </c>
      <c r="R24" s="338" t="s">
        <v>5052</v>
      </c>
      <c r="S24" s="17"/>
      <c r="T24" s="17"/>
      <c r="U24" s="17"/>
      <c r="V24" s="17"/>
      <c r="W24" s="17"/>
      <c r="X24" s="17"/>
      <c r="Y24" s="17"/>
      <c r="Z24" s="17"/>
    </row>
    <row r="25">
      <c r="A25" s="334" t="s">
        <v>5053</v>
      </c>
      <c r="B25" s="317" t="s">
        <v>5054</v>
      </c>
      <c r="C25" s="346" t="s">
        <v>5055</v>
      </c>
      <c r="D25" s="347"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33" t="s">
        <v>5056</v>
      </c>
      <c r="F25" s="161" t="s">
        <v>5057</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35" t="str">
        <f>IFERROR(__xludf.DUMMYFUNCTION("GOOGLETRANSLATE(A25,""zh-tw"",""KO"")"),"불행한 탄생")</f>
        <v>불행한 탄생</v>
      </c>
      <c r="L25" s="161" t="s">
        <v>5058</v>
      </c>
      <c r="M25" s="336" t="str">
        <f>IFERROR(__xludf.DUMMYFUNCTION("GOOGLETRANSLATE(A25,""zh-tw"",""ru"")"),"Неудачное рождение")</f>
        <v>Неудачное рождение</v>
      </c>
      <c r="N25" s="315"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34" t="s">
        <v>5059</v>
      </c>
      <c r="P25" s="317" t="s">
        <v>5060</v>
      </c>
      <c r="Q25" s="337" t="s">
        <v>5061</v>
      </c>
      <c r="R25" s="323" t="s">
        <v>5062</v>
      </c>
      <c r="S25" s="17"/>
      <c r="T25" s="17"/>
      <c r="U25" s="17"/>
      <c r="V25" s="17"/>
      <c r="W25" s="17"/>
      <c r="X25" s="17"/>
      <c r="Y25" s="17"/>
      <c r="Z25" s="17"/>
    </row>
    <row r="26">
      <c r="A26" s="333" t="s">
        <v>5063</v>
      </c>
      <c r="B26" s="161" t="s">
        <v>5064</v>
      </c>
      <c r="C26" s="346" t="s">
        <v>5065</v>
      </c>
      <c r="D26" s="185" t="s">
        <v>5066</v>
      </c>
      <c r="E26" s="333" t="s">
        <v>5067</v>
      </c>
      <c r="F26" s="161" t="s">
        <v>5068</v>
      </c>
      <c r="G26" s="335" t="str">
        <f>IFERROR(__xludf.DUMMYFUNCTION("GOOGLETRANSLATE(A26,""zh-tw"",""zh"")"),"调皮的杰克")</f>
        <v>调皮的杰克</v>
      </c>
      <c r="H26" s="162" t="str">
        <f>IFERROR(__xludf.DUMMYFUNCTION("GOOGLETRANSLATE(B26,""zh-tw"",""zh"")"),"魔攻：8
魔防：8
增强残血伤害
(最大额外附加30%伤害)")</f>
        <v>魔攻：8
魔防：8
增强残血伤害
(最大额外附加30%伤害)</v>
      </c>
      <c r="I26" s="335" t="str">
        <f>IFERROR(__xludf.DUMMYFUNCTION("GOOGLETRANSLATE(A26,""zh-tw"",""es-MX"")"),"Jack el travieso")</f>
        <v>Jack el travieso</v>
      </c>
      <c r="J26" s="162" t="str">
        <f>IFERROR(__xludf.DUMMYFUNCTION("GOOGLETRANSLATE(B26,""zh-tw"",""es-MX"")"),"Ataque mágico: 8
Defensa mágica: 8
Aumenta el daño infligido a enemigos con poca salud
(Máximo 30 % de daño adicional)")</f>
        <v>Ataque mágico: 8
Defensa mágica: 8
Aumenta el daño infligido a enemigos con poca salud
(Máximo 30 % de daño adicional)</v>
      </c>
      <c r="K26" s="335" t="str">
        <f>IFERROR(__xludf.DUMMYFUNCTION("GOOGLETRANSLATE(A26,""zh-tw"",""KO"")"),"장난꾸러기 잭")</f>
        <v>장난꾸러기 잭</v>
      </c>
      <c r="L26" s="161" t="s">
        <v>5069</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34" t="s">
        <v>5070</v>
      </c>
      <c r="P26" s="317" t="s">
        <v>5071</v>
      </c>
      <c r="Q26" s="337" t="s">
        <v>5072</v>
      </c>
      <c r="R26" s="186" t="s">
        <v>5073</v>
      </c>
      <c r="S26" s="17"/>
      <c r="T26" s="17"/>
      <c r="U26" s="17"/>
      <c r="V26" s="17"/>
      <c r="W26" s="17"/>
      <c r="X26" s="17"/>
      <c r="Y26" s="17"/>
      <c r="Z26" s="17"/>
    </row>
    <row r="27">
      <c r="A27" s="333" t="s">
        <v>5074</v>
      </c>
      <c r="B27" s="161" t="s">
        <v>5075</v>
      </c>
      <c r="C27" s="346" t="s">
        <v>5076</v>
      </c>
      <c r="D27" s="347"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3" t="s">
        <v>5077</v>
      </c>
      <c r="F27" s="161" t="s">
        <v>5078</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5079</v>
      </c>
      <c r="J27" s="162" t="str">
        <f>IFERROR(__xludf.DUMMYFUNCTION("GOOGLETRANSLATE(B27,""zh-tw"",""es-MX"")"),"Suerte: 100. Duplica la cantidad de dinero que recoges al soltar objetos.
(No se puede combinar con una hucha).")</f>
        <v>Suerte: 100. Duplica la cantidad de dinero que recoges al soltar objetos.
(No se puede combinar con una hucha).</v>
      </c>
      <c r="K27" s="333" t="s">
        <v>5080</v>
      </c>
      <c r="L27" s="161" t="s">
        <v>5081</v>
      </c>
      <c r="M27" s="336" t="str">
        <f>IFERROR(__xludf.DUMMYFUNCTION("GOOGLETRANSLATE(A27,""zh-tw"",""ru"")"),"Незавершённый Святой Грааль")</f>
        <v>Незавершённый Святой Грааль</v>
      </c>
      <c r="N27" s="315"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4" t="s">
        <v>5082</v>
      </c>
      <c r="P27" s="317" t="s">
        <v>5083</v>
      </c>
      <c r="Q27" s="337" t="s">
        <v>5084</v>
      </c>
      <c r="R27" s="338" t="s">
        <v>5085</v>
      </c>
      <c r="S27" s="17"/>
      <c r="T27" s="17"/>
      <c r="U27" s="17"/>
      <c r="V27" s="17"/>
      <c r="W27" s="17"/>
      <c r="X27" s="17"/>
      <c r="Y27" s="17"/>
      <c r="Z27" s="17"/>
    </row>
    <row r="28">
      <c r="A28" s="333" t="s">
        <v>5086</v>
      </c>
      <c r="B28" s="161" t="s">
        <v>5087</v>
      </c>
      <c r="C28" s="346" t="s">
        <v>5088</v>
      </c>
      <c r="D28" s="347" t="str">
        <f>IFERROR(__xludf.DUMMYFUNCTION("GOOGLETRANSLATE(B28,""zh-tw"",""ja"")"),"爆発効果または爆発軽減を発動する確率が低い。")</f>
        <v>爆発効果または爆発軽減を発動する確率が低い。</v>
      </c>
      <c r="E28" s="333" t="s">
        <v>5089</v>
      </c>
      <c r="F28" s="161" t="s">
        <v>5090</v>
      </c>
      <c r="G28" s="335" t="str">
        <f>IFERROR(__xludf.DUMMYFUNCTION("GOOGLETRANSLATE(A28,""zh-tw"",""zh"")"),"炸弹魔之魂")</f>
        <v>炸弹魔之魂</v>
      </c>
      <c r="H28" s="162" t="str">
        <f>IFERROR(__xludf.DUMMYFUNCTION("GOOGLETRANSLATE(B28,""zh-tw"",""zh"")"),"小概率附带爆炸效果、爆炸减免")</f>
        <v>小概率附带爆炸效果、爆炸减免</v>
      </c>
      <c r="I28" s="335" t="str">
        <f>IFERROR(__xludf.DUMMYFUNCTION("GOOGLETRANSLATE(A28,""zh-tw"",""es-MX"")"),"Alma del bombardero")</f>
        <v>Alma del bombardero</v>
      </c>
      <c r="J28" s="162" t="str">
        <f>IFERROR(__xludf.DUMMYFUNCTION("GOOGLETRANSLATE(B28,""zh-tw"",""es-MX"")"),"Baja probabilidad de desencadenar un efecto de explosión o de reducir la explosión.")</f>
        <v>Baja probabilidad de desencadenar un efecto de explosión o de reducir la explosión.</v>
      </c>
      <c r="K28" s="334" t="s">
        <v>5091</v>
      </c>
      <c r="L28" s="161" t="s">
        <v>5092</v>
      </c>
      <c r="M28" s="336" t="str">
        <f>IFERROR(__xludf.DUMMYFUNCTION("GOOGLETRANSLATE(A28,""zh-tw"",""ru"")"),"Душа бомбардировщика")</f>
        <v>Душа бомбардировщика</v>
      </c>
      <c r="N28" s="31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34" t="s">
        <v>5093</v>
      </c>
      <c r="P28" s="317" t="s">
        <v>5094</v>
      </c>
      <c r="Q28" s="337" t="s">
        <v>5095</v>
      </c>
      <c r="R28" s="338" t="s">
        <v>5096</v>
      </c>
      <c r="S28" s="17"/>
      <c r="T28" s="17"/>
      <c r="U28" s="17"/>
      <c r="V28" s="17"/>
      <c r="W28" s="17"/>
      <c r="X28" s="17"/>
      <c r="Y28" s="17"/>
      <c r="Z28" s="17"/>
    </row>
    <row r="29">
      <c r="A29" s="333" t="s">
        <v>5097</v>
      </c>
      <c r="B29" s="161" t="s">
        <v>5098</v>
      </c>
      <c r="C29" s="346" t="s">
        <v>5099</v>
      </c>
      <c r="D29" s="347" t="str">
        <f>IFERROR(__xludf.DUMMYFUNCTION("GOOGLETRANSLATE(B29,""zh-tw"",""ja"")"),"物理攻撃力: 4
魔法耐性: 8
幸運: 4
爆弾効果強化
(爆弾投下時に連鎖爆発の確率)")</f>
        <v>物理攻撃力: 4
魔法耐性: 8
幸運: 4
爆弾効果強化
(爆弾投下時に連鎖爆発の確率)</v>
      </c>
      <c r="E29" s="333" t="s">
        <v>5100</v>
      </c>
      <c r="F29" s="161" t="s">
        <v>5101</v>
      </c>
      <c r="G29" s="335" t="str">
        <f>IFERROR(__xludf.DUMMYFUNCTION("GOOGLETRANSLATE(A29,""zh-tw"",""zh"")"),"纵火狂的防烫手套")</f>
        <v>纵火狂的防烫手套</v>
      </c>
      <c r="H29" s="162" t="str">
        <f>IFERROR(__xludf.DUMMYFUNCTION("GOOGLETRANSLATE(B29,""zh-tw"",""zh"")"),"物攻：4
魔抗：8
幸运：4
增强炸弹效果
(丢炸弹概率连环爆炸)")</f>
        <v>物攻：4
魔抗：8
幸运：4
增强炸弹效果
(丢炸弹概率连环爆炸)</v>
      </c>
      <c r="I29" s="335" t="str">
        <f>IFERROR(__xludf.DUMMYFUNCTION("GOOGLETRANSLATE(A29,""zh-tw"",""es-MX"")"),"Los guantes resistentes al calor del pirómano")</f>
        <v>Los guantes resistentes al calor del pirómano</v>
      </c>
      <c r="J29" s="162" t="str">
        <f>IFERROR(__xludf.DUMMYFUNCTION("GOOGLETRANSLATE(B29,""zh-tw"",""es-MX"")"),"Ataque físico: 4
Resistencia mágica: 8
Suerte: 4
Efecto de bomba mejorado
(Posibilidad de explosión en cadena al lanzar bombas)")</f>
        <v>Ataque físico: 4
Resistencia mágica: 8
Suerte: 4
Efecto de bomba mejorado
(Posibilidad de explosión en cadena al lanzar bombas)</v>
      </c>
      <c r="K29" s="333" t="s">
        <v>5102</v>
      </c>
      <c r="L29" s="161" t="s">
        <v>5103</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34" t="s">
        <v>5104</v>
      </c>
      <c r="P29" s="317" t="s">
        <v>5105</v>
      </c>
      <c r="Q29" s="337" t="s">
        <v>5106</v>
      </c>
      <c r="R29" s="323" t="s">
        <v>5107</v>
      </c>
      <c r="S29" s="17"/>
      <c r="T29" s="17"/>
      <c r="U29" s="17"/>
      <c r="V29" s="17"/>
      <c r="W29" s="17"/>
      <c r="X29" s="17"/>
      <c r="Y29" s="17"/>
      <c r="Z29" s="17"/>
    </row>
    <row r="30">
      <c r="A30" s="334" t="s">
        <v>5108</v>
      </c>
      <c r="B30" s="317" t="s">
        <v>5109</v>
      </c>
      <c r="C30" s="346" t="s">
        <v>5110</v>
      </c>
      <c r="D30" s="347"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33" t="s">
        <v>5111</v>
      </c>
      <c r="F30" s="161" t="s">
        <v>5112</v>
      </c>
      <c r="G30" s="335" t="str">
        <f>IFERROR(__xludf.DUMMYFUNCTION("GOOGLETRANSLATE(A30,""zh-tw"",""zh"")"),"魔力汲取手套")</f>
        <v>魔力汲取手套</v>
      </c>
      <c r="H30" s="162" t="str">
        <f>IFERROR(__xludf.DUMMYFUNCTION("GOOGLETRANSLATE(B30,""zh-tw"",""zh"")"),"物攻：3
魔攻：10
物防：1
魔抗：20
武器附带魔法伤害")</f>
        <v>物攻：3
魔攻：10
物防：1
魔抗：20
武器附带魔法伤害</v>
      </c>
      <c r="I30" s="335" t="str">
        <f>IFERROR(__xludf.DUMMYFUNCTION("GOOGLETRANSLATE(A30,""zh-tw"",""es-MX"")"),"Guantes de absorción mágica")</f>
        <v>Guantes de absorción mágica</v>
      </c>
      <c r="J30" s="16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34" t="s">
        <v>5113</v>
      </c>
      <c r="L30" s="161" t="s">
        <v>5114</v>
      </c>
      <c r="M30" s="336" t="str">
        <f>IFERROR(__xludf.DUMMYFUNCTION("GOOGLETRANSLATE(A30,""zh-tw"",""ru"")"),"Перчатки магического поглощения")</f>
        <v>Перчатки магического поглощения</v>
      </c>
      <c r="N30" s="31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34" t="s">
        <v>5115</v>
      </c>
      <c r="P30" s="317" t="s">
        <v>5116</v>
      </c>
      <c r="Q30" s="337" t="s">
        <v>5117</v>
      </c>
      <c r="R30" s="323" t="s">
        <v>5118</v>
      </c>
      <c r="S30" s="17"/>
      <c r="T30" s="17"/>
      <c r="U30" s="17"/>
      <c r="V30" s="17"/>
      <c r="W30" s="17"/>
      <c r="X30" s="17"/>
      <c r="Y30" s="17"/>
      <c r="Z30" s="17"/>
    </row>
    <row r="31">
      <c r="A31" s="334" t="s">
        <v>5119</v>
      </c>
      <c r="B31" s="317" t="s">
        <v>5120</v>
      </c>
      <c r="C31" s="346" t="s">
        <v>5121</v>
      </c>
      <c r="D31" s="347" t="str">
        <f>IFERROR(__xludf.DUMMYFUNCTION("GOOGLETRANSLATE(B31,""zh-tw"",""ja"")"),"物理攻撃: 2 物理防御: 6 ダメージを与えるアーマー")</f>
        <v>物理攻撃: 2 物理防御: 6 ダメージを与えるアーマー</v>
      </c>
      <c r="E31" s="333" t="s">
        <v>5122</v>
      </c>
      <c r="F31" s="161" t="s">
        <v>5123</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5124</v>
      </c>
      <c r="L31" s="161" t="s">
        <v>5125</v>
      </c>
      <c r="M31" s="336" t="str">
        <f>IFERROR(__xludf.DUMMYFUNCTION("GOOGLETRANSLATE(A31,""zh-tw"",""ru"")"),"Пронзающие гвозди доспехи")</f>
        <v>Пронзающие гвозди доспехи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5126</v>
      </c>
      <c r="P31" s="317" t="s">
        <v>5127</v>
      </c>
      <c r="Q31" s="337" t="s">
        <v>5128</v>
      </c>
      <c r="R31" s="338" t="s">
        <v>5129</v>
      </c>
      <c r="S31" s="17"/>
      <c r="T31" s="17"/>
      <c r="U31" s="17"/>
      <c r="V31" s="17"/>
      <c r="W31" s="17"/>
      <c r="X31" s="17"/>
      <c r="Y31" s="17"/>
      <c r="Z31" s="17"/>
    </row>
    <row r="32">
      <c r="A32" s="334" t="s">
        <v>5130</v>
      </c>
      <c r="B32" s="317" t="s">
        <v>5131</v>
      </c>
      <c r="C32" s="346" t="s">
        <v>5132</v>
      </c>
      <c r="D32" s="347" t="str">
        <f>IFERROR(__xludf.DUMMYFUNCTION("GOOGLETRANSLATE(B32,""zh-tw"",""ja"")"),"物理攻撃力：4
物理防御力：2
ダメージを与えるアーマー")</f>
        <v>物理攻撃力：4
物理防御力：2
ダメージを与えるアーマー</v>
      </c>
      <c r="E32" s="333" t="s">
        <v>5133</v>
      </c>
      <c r="F32" s="161" t="s">
        <v>5134</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perforador")</f>
        <v>Casco perforador</v>
      </c>
      <c r="J32" s="162" t="str">
        <f>IFERROR(__xludf.DUMMYFUNCTION("GOOGLETRANSLATE(B32,""zh-tw"",""es-MX"")"),"Ataque físico: 4
Defensa física: 2
Armadura que inflige daño")</f>
        <v>Ataque físico: 4
Defensa física: 2
Armadura que inflige daño</v>
      </c>
      <c r="K32" s="333" t="s">
        <v>5135</v>
      </c>
      <c r="L32" s="161" t="s">
        <v>5136</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5137</v>
      </c>
      <c r="P32" s="317" t="s">
        <v>5138</v>
      </c>
      <c r="Q32" s="337" t="s">
        <v>5139</v>
      </c>
      <c r="R32" s="338" t="s">
        <v>5140</v>
      </c>
      <c r="S32" s="17"/>
      <c r="T32" s="17"/>
      <c r="U32" s="17"/>
      <c r="V32" s="17"/>
      <c r="W32" s="17"/>
      <c r="X32" s="17"/>
      <c r="Y32" s="17"/>
      <c r="Z32" s="17"/>
    </row>
    <row r="33">
      <c r="A33" s="334" t="s">
        <v>5141</v>
      </c>
      <c r="B33" s="317" t="s">
        <v>5142</v>
      </c>
      <c r="C33" s="346" t="s">
        <v>5143</v>
      </c>
      <c r="D33" s="347" t="str">
        <f>IFERROR(__xludf.DUMMYFUNCTION("GOOGLETRANSLATE(B33,""zh-tw"",""ja"")"),"物理攻撃: 2 物理防御: 2 ダメージを与えるアーマー")</f>
        <v>物理攻撃: 2 物理防御: 2 ダメージを与えるアーマー</v>
      </c>
      <c r="E33" s="333" t="s">
        <v>5144</v>
      </c>
      <c r="F33" s="161" t="s">
        <v>5145</v>
      </c>
      <c r="G33" s="335" t="str">
        <f>IFERROR(__xludf.DUMMYFUNCTION("GOOGLETRANSLATE(A33,""zh-tw"",""zh"")"),"穿刺钉鞋")</f>
        <v>穿刺钉鞋</v>
      </c>
      <c r="H33" s="162" t="str">
        <f>IFERROR(__xludf.DUMMYFUNCTION("GOOGLETRANSLATE(B33,""zh-tw"",""zh"")"),"物攻：2
物防：2
伤害型防具")</f>
        <v>物攻：2
物防：2
伤害型防具</v>
      </c>
      <c r="I33" s="333" t="s">
        <v>5146</v>
      </c>
      <c r="J33" s="162" t="str">
        <f>IFERROR(__xludf.DUMMYFUNCTION("GOOGLETRANSLATE(B33,""zh-tw"",""es-MX"")"),"Ataque físico: 2 Defensa física: 2 Armadura que inflige daño")</f>
        <v>Ataque físico: 2 Defensa física: 2 Armadura que inflige daño</v>
      </c>
      <c r="K33" s="333" t="s">
        <v>5147</v>
      </c>
      <c r="L33" s="161" t="s">
        <v>5148</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5149</v>
      </c>
      <c r="P33" s="317" t="s">
        <v>5150</v>
      </c>
      <c r="Q33" s="337" t="s">
        <v>5151</v>
      </c>
      <c r="R33" s="338" t="s">
        <v>5152</v>
      </c>
      <c r="S33" s="17"/>
      <c r="T33" s="17"/>
      <c r="U33" s="17"/>
      <c r="V33" s="17"/>
      <c r="W33" s="17"/>
      <c r="X33" s="17"/>
      <c r="Y33" s="17"/>
      <c r="Z33" s="17"/>
    </row>
    <row r="34">
      <c r="A34" s="334" t="s">
        <v>5153</v>
      </c>
      <c r="B34" s="317" t="s">
        <v>5154</v>
      </c>
      <c r="C34" s="346" t="s">
        <v>5155</v>
      </c>
      <c r="D34" s="347" t="str">
        <f>IFERROR(__xludf.DUMMYFUNCTION("GOOGLETRANSLATE(B34,""zh-tw"",""ja"")"),"物理攻撃力：5
物理防御力：1
ダメージを与えるアーマー")</f>
        <v>物理攻撃力：5
物理防御力：1
ダメージを与えるアーマー</v>
      </c>
      <c r="E34" s="333" t="s">
        <v>5156</v>
      </c>
      <c r="F34" s="161" t="s">
        <v>5157</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5158</v>
      </c>
      <c r="L34" s="161" t="s">
        <v>5159</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5160</v>
      </c>
      <c r="P34" s="317" t="s">
        <v>5161</v>
      </c>
      <c r="Q34" s="337" t="s">
        <v>5162</v>
      </c>
      <c r="R34" s="338" t="s">
        <v>5163</v>
      </c>
      <c r="S34" s="17"/>
      <c r="T34" s="17"/>
      <c r="U34" s="17"/>
      <c r="V34" s="17"/>
      <c r="W34" s="17"/>
      <c r="X34" s="17"/>
      <c r="Y34" s="17"/>
      <c r="Z34" s="17"/>
    </row>
    <row r="35">
      <c r="A35" s="334" t="s">
        <v>5164</v>
      </c>
      <c r="B35" s="317" t="s">
        <v>5165</v>
      </c>
      <c r="C35" s="348" t="str">
        <f>IFERROR(__xludf.DUMMYFUNCTION("GOOGLETRANSLATE(A35,""zh-tw"",""ja"")"),"騎士のヘルメット")</f>
        <v>騎士のヘルメット</v>
      </c>
      <c r="D35" s="347" t="str">
        <f>IFERROR(__xludf.DUMMYFUNCTION("GOOGLETRANSLATE(B35,""zh-tw"",""ja"")"),"物理防御力：5
魔法耐性：2
HPが低いと防御力が上昇")</f>
        <v>物理防御力：5
魔法耐性：2
HPが低いと防御力が上昇</v>
      </c>
      <c r="E35" s="333" t="s">
        <v>5166</v>
      </c>
      <c r="F35" s="161" t="s">
        <v>5167</v>
      </c>
      <c r="G35" s="335" t="str">
        <f>IFERROR(__xludf.DUMMYFUNCTION("GOOGLETRANSLATE(A35,""zh-tw"",""zh"")"),"骑士头盔")</f>
        <v>骑士头盔</v>
      </c>
      <c r="H35" s="162" t="str">
        <f>IFERROR(__xludf.DUMMYFUNCTION("GOOGLETRANSLATE(B35,""zh-tw"",""zh"")"),"物防：5
魔抗：2
低体力加防御")</f>
        <v>物防：5
魔抗：2
低体力加防御</v>
      </c>
      <c r="I35" s="335" t="str">
        <f>IFERROR(__xludf.DUMMYFUNCTION("GOOGLETRANSLATE(A35,""zh-tw"",""es-MX"")"),"Casco de caballero")</f>
        <v>Casco de caballero</v>
      </c>
      <c r="J35" s="162" t="str">
        <f>IFERROR(__xludf.DUMMYFUNCTION("GOOGLETRANSLATE(B35,""zh-tw"",""es-MX"")"),"Defensa física: 5
Resistencia mágica: 2
Poca vida aumenta la defensa")</f>
        <v>Defensa física: 5
Resistencia mágica: 2
Poca vida aumenta la defensa</v>
      </c>
      <c r="K35" s="333" t="s">
        <v>5168</v>
      </c>
      <c r="L35" s="161" t="s">
        <v>5169</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34" t="s">
        <v>5170</v>
      </c>
      <c r="P35" s="317" t="s">
        <v>5171</v>
      </c>
      <c r="Q35" s="337" t="s">
        <v>5172</v>
      </c>
      <c r="R35" s="323" t="s">
        <v>5173</v>
      </c>
      <c r="S35" s="17"/>
      <c r="T35" s="17"/>
      <c r="U35" s="17"/>
      <c r="V35" s="17"/>
      <c r="W35" s="17"/>
      <c r="X35" s="17"/>
      <c r="Y35" s="17"/>
      <c r="Z35" s="17"/>
    </row>
    <row r="36">
      <c r="A36" s="334" t="s">
        <v>5174</v>
      </c>
      <c r="B36" s="317" t="s">
        <v>5175</v>
      </c>
      <c r="C36" s="346" t="s">
        <v>5176</v>
      </c>
      <c r="D36" s="347" t="str">
        <f>IFERROR(__xludf.DUMMYFUNCTION("GOOGLETRANSLATE(B36,""zh-tw"",""ja"")"),"物理攻撃：3 物理防御：3 HPが少ないときに攻撃力と防御力が上昇します。")</f>
        <v>物理攻撃：3 物理防御：3 HPが少ないときに攻撃力と防御力が上昇します。</v>
      </c>
      <c r="E36" s="333" t="s">
        <v>5177</v>
      </c>
      <c r="F36" s="161" t="s">
        <v>5178</v>
      </c>
      <c r="G36" s="335" t="str">
        <f>IFERROR(__xludf.DUMMYFUNCTION("GOOGLETRANSLATE(A36,""zh-tw"",""zh"")"),"骑士护臂")</f>
        <v>骑士护臂</v>
      </c>
      <c r="H36" s="162" t="str">
        <f>IFERROR(__xludf.DUMMYFUNCTION("GOOGLETRANSLATE(B36,""zh-tw"",""zh"")"),"物攻：3
物防：3
低体力加攻击、防御")</f>
        <v>物攻：3
物防：3
低体力加攻击、防御</v>
      </c>
      <c r="I36" s="333" t="s">
        <v>5179</v>
      </c>
      <c r="J36" s="162" t="str">
        <f>IFERROR(__xludf.DUMMYFUNCTION("GOOGLETRANSLATE(B36,""zh-tw"",""es-MX"")"),"Ataque físico: 3 Defensa física: 3 Aumenta el ataque y la defensa cuando los PV son bajos.")</f>
        <v>Ataque físico: 3 Defensa física: 3 Aumenta el ataque y la defensa cuando los PV son bajos.</v>
      </c>
      <c r="K36" s="334" t="s">
        <v>5180</v>
      </c>
      <c r="L36" s="161" t="s">
        <v>5181</v>
      </c>
      <c r="M36" s="336" t="str">
        <f>IFERROR(__xludf.DUMMYFUNCTION("GOOGLETRANSLATE(A36,""zh-tw"",""ru"")"),"Наручи рыцаря")</f>
        <v>Наручи рыцаря</v>
      </c>
      <c r="N36" s="31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34" t="s">
        <v>5182</v>
      </c>
      <c r="P36" s="317" t="s">
        <v>5183</v>
      </c>
      <c r="Q36" s="337" t="s">
        <v>5184</v>
      </c>
      <c r="R36" s="186" t="s">
        <v>5185</v>
      </c>
      <c r="S36" s="17"/>
      <c r="T36" s="17"/>
      <c r="U36" s="17"/>
      <c r="V36" s="17"/>
      <c r="W36" s="17"/>
      <c r="X36" s="17"/>
      <c r="Y36" s="17"/>
      <c r="Z36" s="17"/>
    </row>
    <row r="37">
      <c r="A37" s="334" t="s">
        <v>5186</v>
      </c>
      <c r="B37" s="317" t="s">
        <v>5187</v>
      </c>
      <c r="C37" s="346" t="s">
        <v>5188</v>
      </c>
      <c r="D37" s="347" t="str">
        <f>IFERROR(__xludf.DUMMYFUNCTION("GOOGLETRANSLATE(B37,""zh-tw"",""ja"")"),"物理防御力：2
魔法耐性：2
スタミナ低下、移動速度上昇")</f>
        <v>物理防御力：2
魔法耐性：2
スタミナ低下、移動速度上昇</v>
      </c>
      <c r="E37" s="333" t="s">
        <v>5189</v>
      </c>
      <c r="F37" s="161" t="s">
        <v>5190</v>
      </c>
      <c r="G37" s="335" t="str">
        <f>IFERROR(__xludf.DUMMYFUNCTION("GOOGLETRANSLATE(A37,""zh-tw"",""zh"")"),"骑士胫甲")</f>
        <v>骑士胫甲</v>
      </c>
      <c r="H37" s="162" t="str">
        <f>IFERROR(__xludf.DUMMYFUNCTION("GOOGLETRANSLATE(B37,""zh-tw"",""zh"")"),"物防：2
魔抗：2
低体力加移速")</f>
        <v>物防：2
魔抗：2
低体力加移速</v>
      </c>
      <c r="I37" s="335" t="str">
        <f>IFERROR(__xludf.DUMMYFUNCTION("GOOGLETRANSLATE(A37,""zh-tw"",""es-MX"")"),"Grebas de caballero")</f>
        <v>Grebas de caballero</v>
      </c>
      <c r="J37" s="162" t="str">
        <f>IFERROR(__xludf.DUMMYFUNCTION("GOOGLETRANSLATE(B37,""zh-tw"",""es-MX"")"),"Defensa física: 2
Resistencia mágica: 2
Baja resistencia, mayor velocidad de movimiento")</f>
        <v>Defensa física: 2
Resistencia mágica: 2
Baja resistencia, mayor velocidad de movimiento</v>
      </c>
      <c r="K37" s="333" t="s">
        <v>5191</v>
      </c>
      <c r="L37" s="161" t="s">
        <v>5192</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34" t="s">
        <v>5193</v>
      </c>
      <c r="P37" s="317" t="s">
        <v>5194</v>
      </c>
      <c r="Q37" s="337" t="s">
        <v>5195</v>
      </c>
      <c r="R37" s="323" t="s">
        <v>5196</v>
      </c>
      <c r="S37" s="17"/>
      <c r="T37" s="17"/>
      <c r="U37" s="17"/>
      <c r="V37" s="17"/>
      <c r="W37" s="17"/>
      <c r="X37" s="17"/>
      <c r="Y37" s="17"/>
      <c r="Z37" s="17"/>
    </row>
    <row r="38">
      <c r="A38" s="334" t="s">
        <v>5197</v>
      </c>
      <c r="B38" s="317" t="s">
        <v>5198</v>
      </c>
      <c r="C38" s="348" t="str">
        <f>IFERROR(__xludf.DUMMYFUNCTION("GOOGLETRANSLATE(A38,""zh-tw"",""ja"")"),"騎士の鎧")</f>
        <v>騎士の鎧</v>
      </c>
      <c r="D38" s="347" t="str">
        <f>IFERROR(__xludf.DUMMYFUNCTION("GOOGLETRANSLATE(B38,""zh-tw"",""ja"")"),"物理防御力: 10
魔法耐性: 4
スタミナが低いと防御力が上昇")</f>
        <v>物理防御力: 10
魔法耐性: 4
スタミナが低いと防御力が上昇</v>
      </c>
      <c r="E38" s="333" t="s">
        <v>5199</v>
      </c>
      <c r="F38" s="161" t="s">
        <v>5200</v>
      </c>
      <c r="G38" s="335" t="str">
        <f>IFERROR(__xludf.DUMMYFUNCTION("GOOGLETRANSLATE(A38,""zh-tw"",""zh"")"),"骑士铠甲")</f>
        <v>骑士铠甲</v>
      </c>
      <c r="H38" s="162" t="str">
        <f>IFERROR(__xludf.DUMMYFUNCTION("GOOGLETRANSLATE(B38,""zh-tw"",""zh"")"),"物防：10
魔抗：4
低体力加防御")</f>
        <v>物防：10
魔抗：4
低体力加防御</v>
      </c>
      <c r="I38" s="335" t="str">
        <f>IFERROR(__xludf.DUMMYFUNCTION("GOOGLETRANSLATE(A38,""zh-tw"",""es-MX"")"),"Armadura de caballero")</f>
        <v>Armadura de caballero</v>
      </c>
      <c r="J38" s="162" t="str">
        <f>IFERROR(__xludf.DUMMYFUNCTION("GOOGLETRANSLATE(B38,""zh-tw"",""es-MX"")"),"Defensa física: 10
Resistencia mágica: 4
La baja resistencia aumenta la defensa")</f>
        <v>Defensa física: 10
Resistencia mágica: 4
La baja resistencia aumenta la defensa</v>
      </c>
      <c r="K38" s="333" t="s">
        <v>5201</v>
      </c>
      <c r="L38" s="161" t="s">
        <v>5202</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Низкая выносливость увеличивает защиту")</f>
        <v>Физическая защита: 10
Сопротивление магии: 4
Низкая выносливость увеличивает защиту</v>
      </c>
      <c r="O38" s="334" t="s">
        <v>5203</v>
      </c>
      <c r="P38" s="317" t="s">
        <v>5204</v>
      </c>
      <c r="Q38" s="337" t="s">
        <v>5205</v>
      </c>
      <c r="R38" s="323" t="s">
        <v>5206</v>
      </c>
      <c r="S38" s="17"/>
      <c r="T38" s="17"/>
      <c r="U38" s="17"/>
      <c r="V38" s="17"/>
      <c r="W38" s="17"/>
      <c r="X38" s="17"/>
      <c r="Y38" s="17"/>
      <c r="Z38" s="17"/>
    </row>
    <row r="39">
      <c r="A39" s="339" t="s">
        <v>5207</v>
      </c>
      <c r="B39" s="161" t="s">
        <v>5208</v>
      </c>
      <c r="C39" s="346" t="s">
        <v>5209</v>
      </c>
      <c r="D39" s="185" t="s">
        <v>5210</v>
      </c>
      <c r="E39" s="333" t="s">
        <v>5211</v>
      </c>
      <c r="F39" s="161" t="s">
        <v>5212</v>
      </c>
      <c r="G39" s="335" t="str">
        <f>IFERROR(__xludf.DUMMYFUNCTION("GOOGLETRANSLATE(A39,""zh-tw"",""zh"")"),"堕落法师的手套")</f>
        <v>堕落法师的手套</v>
      </c>
      <c r="H39" s="162" t="str">
        <f>IFERROR(__xludf.DUMMYFUNCTION("GOOGLETRANSLATE(B39,""zh-tw"",""zh"")"),"物攻：2
魔攻：10
魔抗：20
自动瞄准")</f>
        <v>物攻：2
魔攻：10
魔抗：20
自动瞄准</v>
      </c>
      <c r="I39" s="335" t="str">
        <f>IFERROR(__xludf.DUMMYFUNCTION("GOOGLETRANSLATE(A39,""zh-tw"",""es-MX"")"),"Los guantes del mago caído")</f>
        <v>Los guantes del mago caído</v>
      </c>
      <c r="J39" s="162" t="str">
        <f>IFERROR(__xludf.DUMMYFUNCTION("GOOGLETRANSLATE(B39,""zh-tw"",""es-MX"")"),"Ataque físico: 2
Ataque mágico: 10
Resistencia mágica: 20
Autoapuntado")</f>
        <v>Ataque físico: 2
Ataque mágico: 10
Resistencia mágica: 20
Autoapuntado</v>
      </c>
      <c r="K39" s="335" t="str">
        <f>IFERROR(__xludf.DUMMYFUNCTION("GOOGLETRANSLATE(A39,""zh-tw"",""KO"")"),"타락한 마법사의 장갑")</f>
        <v>타락한 마법사의 장갑</v>
      </c>
      <c r="L39" s="161" t="s">
        <v>5213</v>
      </c>
      <c r="M39" s="336" t="str">
        <f>IFERROR(__xludf.DUMMYFUNCTION("GOOGLETRANSLATE(A39,""zh-tw"",""ru"")"),"Перчатки падшего мага")</f>
        <v>Перчатки падшего мага</v>
      </c>
      <c r="N39" s="31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34" t="s">
        <v>5214</v>
      </c>
      <c r="P39" s="317" t="s">
        <v>5215</v>
      </c>
      <c r="Q39" s="337" t="s">
        <v>5216</v>
      </c>
      <c r="R39" s="325" t="s">
        <v>5217</v>
      </c>
      <c r="S39" s="17"/>
      <c r="T39" s="17"/>
      <c r="U39" s="17"/>
      <c r="V39" s="17"/>
      <c r="W39" s="17"/>
      <c r="X39" s="17"/>
      <c r="Y39" s="17"/>
      <c r="Z39" s="17"/>
    </row>
    <row r="40">
      <c r="A40" s="333" t="s">
        <v>5218</v>
      </c>
      <c r="B40" s="161" t="s">
        <v>5219</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5220</v>
      </c>
      <c r="F40" s="161" t="s">
        <v>5221</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5222</v>
      </c>
      <c r="L40" s="161" t="s">
        <v>5223</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5224</v>
      </c>
      <c r="P40" s="317" t="s">
        <v>5225</v>
      </c>
      <c r="Q40" s="337" t="s">
        <v>5226</v>
      </c>
      <c r="R40" s="338" t="s">
        <v>5227</v>
      </c>
      <c r="S40" s="17"/>
      <c r="T40" s="17"/>
      <c r="U40" s="17"/>
      <c r="V40" s="17"/>
      <c r="W40" s="17"/>
      <c r="X40" s="17"/>
      <c r="Y40" s="17"/>
      <c r="Z40" s="17"/>
    </row>
    <row r="41">
      <c r="A41" s="333" t="s">
        <v>5228</v>
      </c>
      <c r="B41" s="161" t="s">
        <v>5229</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5230</v>
      </c>
      <c r="F41" s="161" t="s">
        <v>5231</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3" t="s">
        <v>5232</v>
      </c>
      <c r="L41" s="161" t="s">
        <v>5233</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5234</v>
      </c>
      <c r="P41" s="317" t="s">
        <v>5235</v>
      </c>
      <c r="Q41" s="337" t="s">
        <v>5236</v>
      </c>
      <c r="R41" s="338" t="s">
        <v>5237</v>
      </c>
      <c r="S41" s="17"/>
      <c r="T41" s="17"/>
      <c r="U41" s="17"/>
      <c r="V41" s="17"/>
      <c r="W41" s="17"/>
      <c r="X41" s="17"/>
      <c r="Y41" s="17"/>
      <c r="Z41" s="17"/>
    </row>
    <row r="42">
      <c r="A42" s="339" t="s">
        <v>5238</v>
      </c>
      <c r="B42" s="161" t="s">
        <v>5239</v>
      </c>
      <c r="C42" s="348" t="str">
        <f>IFERROR(__xludf.DUMMYFUNCTION("GOOGLETRANSLATE(A42,""zh-tw"",""ja"")"),"堕落した魔術師の軽い足音")</f>
        <v>堕落した魔術師の軽い足音</v>
      </c>
      <c r="D42" s="347"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33" t="s">
        <v>5240</v>
      </c>
      <c r="F42" s="161" t="s">
        <v>5241</v>
      </c>
      <c r="G42" s="335" t="str">
        <f>IFERROR(__xludf.DUMMYFUNCTION("GOOGLETRANSLATE(A42,""zh-tw"",""zh"")"),"堕落法师的轻履")</f>
        <v>堕落法师的轻履</v>
      </c>
      <c r="H42" s="162" t="str">
        <f>IFERROR(__xludf.DUMMYFUNCTION("GOOGLETRANSLATE(B42,""zh-tw"",""zh"")"),"物攻：2
魔攻：10
魔抗：20
虚无：无视一切阻碍、包括敌人子弹")</f>
        <v>物攻：2
魔攻：10
魔抗：20
虚无：无视一切阻碍、包括敌人子弹</v>
      </c>
      <c r="I42" s="335" t="str">
        <f>IFERROR(__xludf.DUMMYFUNCTION("GOOGLETRANSLATE(A42,""zh-tw"",""es-MX"")"),"Los pasos ligeros del mago caído")</f>
        <v>Los pasos ligeros del mago caído</v>
      </c>
      <c r="J42" s="16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33" t="s">
        <v>5242</v>
      </c>
      <c r="L42" s="161" t="s">
        <v>5243</v>
      </c>
      <c r="M42" s="336" t="str">
        <f>IFERROR(__xludf.DUMMYFUNCTION("GOOGLETRANSLATE(A42,""zh-tw"",""ru"")"),"Легкие шаги падшего мага")</f>
        <v>Легкие шаги падшего мага</v>
      </c>
      <c r="N42" s="31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34" t="s">
        <v>5244</v>
      </c>
      <c r="P42" s="317" t="s">
        <v>5245</v>
      </c>
      <c r="Q42" s="337" t="s">
        <v>5246</v>
      </c>
      <c r="R42" s="323" t="s">
        <v>5247</v>
      </c>
      <c r="S42" s="17"/>
      <c r="T42" s="17"/>
      <c r="U42" s="17"/>
      <c r="V42" s="17"/>
      <c r="W42" s="17"/>
      <c r="X42" s="17"/>
      <c r="Y42" s="17"/>
      <c r="Z42" s="17"/>
    </row>
    <row r="43">
      <c r="A43" s="333" t="s">
        <v>5248</v>
      </c>
      <c r="B43" s="161" t="s">
        <v>5249</v>
      </c>
      <c r="C43" s="346" t="s">
        <v>5250</v>
      </c>
      <c r="D43" s="347" t="str">
        <f>IFERROR(__xludf.DUMMYFUNCTION("GOOGLETRANSLATE(B43,""zh-tw"",""ja"")"),"魔法攻撃力: 1
魔法耐性: 20
スタン耐性、魔法ダメージ出力と魔法射程が増加")</f>
        <v>魔法攻撃力: 1
魔法耐性: 20
スタン耐性、魔法ダメージ出力と魔法射程が増加</v>
      </c>
      <c r="E43" s="333" t="s">
        <v>5251</v>
      </c>
      <c r="F43" s="161" t="s">
        <v>5252</v>
      </c>
      <c r="G43" s="335" t="str">
        <f>IFERROR(__xludf.DUMMYFUNCTION("GOOGLETRANSLATE(A43,""zh-tw"",""zh"")"),"精神凝聚头环")</f>
        <v>精神凝聚头环</v>
      </c>
      <c r="H43" s="162" t="str">
        <f>IFERROR(__xludf.DUMMYFUNCTION("GOOGLETRANSLATE(B43,""zh-tw"",""zh"")"),"魔攻：1
魔抗：20
免疫晕眩、增强魔法输出和魔法范围")</f>
        <v>魔攻：1
魔抗：20
免疫晕眩、增强魔法输出和魔法范围</v>
      </c>
      <c r="I43" s="335" t="str">
        <f>IFERROR(__xludf.DUMMYFUNCTION("GOOGLETRANSLATE(A43,""zh-tw"",""es-MX"")"),"Diadema de cohesión espiritual")</f>
        <v>Diadema de cohesión espiritual</v>
      </c>
      <c r="J43" s="16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33" t="s">
        <v>5253</v>
      </c>
      <c r="L43" s="161" t="s">
        <v>5254</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34" t="s">
        <v>5255</v>
      </c>
      <c r="P43" s="317" t="s">
        <v>5256</v>
      </c>
      <c r="Q43" s="337" t="s">
        <v>5257</v>
      </c>
      <c r="R43" s="323" t="s">
        <v>5258</v>
      </c>
      <c r="S43" s="17"/>
      <c r="T43" s="17"/>
      <c r="U43" s="17"/>
      <c r="V43" s="17"/>
      <c r="W43" s="17"/>
      <c r="X43" s="17"/>
      <c r="Y43" s="17"/>
      <c r="Z43" s="17"/>
    </row>
    <row r="44">
      <c r="A44" s="333" t="s">
        <v>5259</v>
      </c>
      <c r="B44" s="161" t="s">
        <v>5260</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5261</v>
      </c>
      <c r="F44" s="161" t="s">
        <v>5262</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3" t="s">
        <v>5263</v>
      </c>
      <c r="L44" s="161" t="s">
        <v>5264</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5265</v>
      </c>
      <c r="P44" s="317" t="s">
        <v>5266</v>
      </c>
      <c r="Q44" s="337" t="s">
        <v>5267</v>
      </c>
      <c r="R44" s="338" t="s">
        <v>5268</v>
      </c>
      <c r="S44" s="17"/>
      <c r="T44" s="17"/>
      <c r="U44" s="17"/>
      <c r="V44" s="17"/>
      <c r="W44" s="17"/>
      <c r="X44" s="17"/>
      <c r="Y44" s="17"/>
      <c r="Z44" s="17"/>
    </row>
    <row r="45">
      <c r="A45" s="333" t="s">
        <v>5269</v>
      </c>
      <c r="B45" s="161" t="s">
        <v>5270</v>
      </c>
      <c r="C45" s="346" t="s">
        <v>5271</v>
      </c>
      <c r="D45" s="185" t="s">
        <v>5272</v>
      </c>
      <c r="E45" s="333" t="s">
        <v>5273</v>
      </c>
      <c r="F45" s="161" t="s">
        <v>5274</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5275</v>
      </c>
      <c r="L45" s="161" t="s">
        <v>5276</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5277</v>
      </c>
      <c r="P45" s="317" t="s">
        <v>5278</v>
      </c>
      <c r="Q45" s="337" t="s">
        <v>5279</v>
      </c>
      <c r="R45" s="338" t="s">
        <v>5280</v>
      </c>
      <c r="S45" s="17"/>
      <c r="T45" s="17"/>
      <c r="U45" s="17"/>
      <c r="V45" s="17"/>
      <c r="W45" s="17"/>
      <c r="X45" s="17"/>
      <c r="Y45" s="17"/>
      <c r="Z45" s="17"/>
    </row>
    <row r="46">
      <c r="A46" s="334" t="s">
        <v>5281</v>
      </c>
      <c r="B46" s="317" t="s">
        <v>5282</v>
      </c>
      <c r="C46" s="346" t="s">
        <v>5283</v>
      </c>
      <c r="D46" s="185" t="s">
        <v>5284</v>
      </c>
      <c r="E46" s="333" t="s">
        <v>5285</v>
      </c>
      <c r="F46" s="161" t="s">
        <v>5286</v>
      </c>
      <c r="G46" s="335" t="str">
        <f>IFERROR(__xludf.DUMMYFUNCTION("GOOGLETRANSLATE(A46,""zh-tw"",""zh"")"),"晴天娃娃")</f>
        <v>晴天娃娃</v>
      </c>
      <c r="H46" s="162" t="str">
        <f>IFERROR(__xludf.DUMMYFUNCTION("GOOGLETRANSLATE(B46,""zh-tw"",""zh"")"),"魔抗：10
幸运：10
第二天晴天")</f>
        <v>魔抗：10
幸运：10
第二天晴天</v>
      </c>
      <c r="I46" s="333" t="s">
        <v>5285</v>
      </c>
      <c r="J46" s="162" t="str">
        <f>IFERROR(__xludf.DUMMYFUNCTION("GOOGLETRANSLATE(B46,""zh-tw"",""es-MX"")"),"Resistencia mágica: 10
Suerte: 10
Día soleado al día siguiente")</f>
        <v>Resistencia mágica: 10
Suerte: 10
Día soleado al día siguiente</v>
      </c>
      <c r="K46" s="333" t="s">
        <v>5287</v>
      </c>
      <c r="L46" s="161" t="s">
        <v>5288</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5289</v>
      </c>
      <c r="P46" s="317" t="s">
        <v>5290</v>
      </c>
      <c r="Q46" s="349" t="s">
        <v>5291</v>
      </c>
      <c r="R46" s="338" t="s">
        <v>5292</v>
      </c>
      <c r="S46" s="17"/>
      <c r="T46" s="17"/>
      <c r="U46" s="17"/>
      <c r="V46" s="17"/>
      <c r="W46" s="17"/>
      <c r="X46" s="17"/>
      <c r="Y46" s="17"/>
      <c r="Z46" s="17"/>
    </row>
    <row r="47">
      <c r="A47" s="334" t="s">
        <v>5293</v>
      </c>
      <c r="B47" s="317" t="s">
        <v>5294</v>
      </c>
      <c r="C47" s="346" t="s">
        <v>5295</v>
      </c>
      <c r="D47" s="185" t="s">
        <v>5296</v>
      </c>
      <c r="E47" s="333" t="s">
        <v>5297</v>
      </c>
      <c r="F47" s="161" t="s">
        <v>5298</v>
      </c>
      <c r="G47" s="335" t="str">
        <f>IFERROR(__xludf.DUMMYFUNCTION("GOOGLETRANSLATE(A47,""zh-tw"",""zh"")"),"阴天娃娃")</f>
        <v>阴天娃娃</v>
      </c>
      <c r="H47" s="162" t="str">
        <f>IFERROR(__xludf.DUMMYFUNCTION("GOOGLETRANSLATE(B47,""zh-tw"",""zh"")"),"魔抗：10
幸运：10
第二天阴天")</f>
        <v>魔抗：10
幸运：10
第二天阴天</v>
      </c>
      <c r="I47" s="333" t="s">
        <v>5297</v>
      </c>
      <c r="J47" s="162" t="str">
        <f>IFERROR(__xludf.DUMMYFUNCTION("GOOGLETRANSLATE(B47,""zh-tw"",""es-MX"")"),"Resistencia mágica: 10
Suerte: 10
El segundo día estuvo nublado.")</f>
        <v>Resistencia mágica: 10
Suerte: 10
El segundo día estuvo nublado.</v>
      </c>
      <c r="K47" s="334" t="s">
        <v>5299</v>
      </c>
      <c r="L47" s="161" t="s">
        <v>5300</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5301</v>
      </c>
      <c r="P47" s="317" t="s">
        <v>5302</v>
      </c>
      <c r="Q47" s="349" t="s">
        <v>5303</v>
      </c>
      <c r="R47" s="338" t="s">
        <v>5304</v>
      </c>
      <c r="S47" s="17"/>
      <c r="T47" s="17"/>
      <c r="U47" s="17"/>
      <c r="V47" s="17"/>
      <c r="W47" s="17"/>
      <c r="X47" s="17"/>
      <c r="Y47" s="17"/>
      <c r="Z47" s="17"/>
    </row>
    <row r="48">
      <c r="A48" s="334" t="s">
        <v>5305</v>
      </c>
      <c r="B48" s="317" t="s">
        <v>5306</v>
      </c>
      <c r="C48" s="346" t="s">
        <v>5307</v>
      </c>
      <c r="D48" s="185" t="s">
        <v>5308</v>
      </c>
      <c r="E48" s="333" t="s">
        <v>5309</v>
      </c>
      <c r="F48" s="161" t="s">
        <v>5310</v>
      </c>
      <c r="G48" s="335" t="str">
        <f>IFERROR(__xludf.DUMMYFUNCTION("GOOGLETRANSLATE(A48,""zh-tw"",""zh"")"),"雨天娃娃")</f>
        <v>雨天娃娃</v>
      </c>
      <c r="H48" s="162" t="str">
        <f>IFERROR(__xludf.DUMMYFUNCTION("GOOGLETRANSLATE(B48,""zh-tw"",""zh"")"),"魔抗：10
幸运：10
第二天雨天")</f>
        <v>魔抗：10
幸运：10
第二天雨天</v>
      </c>
      <c r="I48" s="333" t="s">
        <v>5309</v>
      </c>
      <c r="J48" s="162" t="str">
        <f>IFERROR(__xludf.DUMMYFUNCTION("GOOGLETRANSLATE(B48,""zh-tw"",""es-MX"")"),"Resistencia mágica: 10
Suerte: 10
Al día siguiente llovió.")</f>
        <v>Resistencia mágica: 10
Suerte: 10
Al día siguiente llovió.</v>
      </c>
      <c r="K48" s="333" t="s">
        <v>5311</v>
      </c>
      <c r="L48" s="161" t="s">
        <v>5312</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5313</v>
      </c>
      <c r="P48" s="317" t="s">
        <v>5314</v>
      </c>
      <c r="Q48" s="349" t="s">
        <v>5315</v>
      </c>
      <c r="R48" s="338" t="s">
        <v>5316</v>
      </c>
      <c r="S48" s="17"/>
      <c r="T48" s="17"/>
      <c r="U48" s="17"/>
      <c r="V48" s="17"/>
      <c r="W48" s="17"/>
      <c r="X48" s="17"/>
      <c r="Y48" s="17"/>
      <c r="Z48" s="17"/>
    </row>
    <row r="49">
      <c r="A49" s="333" t="s">
        <v>5317</v>
      </c>
      <c r="B49" s="161" t="s">
        <v>5318</v>
      </c>
      <c r="C49" s="346" t="s">
        <v>5317</v>
      </c>
      <c r="D49" s="347" t="str">
        <f>IFERROR(__xludf.DUMMYFUNCTION("GOOGLETRANSLATE(B49,""zh-tw"",""ja"")"),"物理防御力：1
魔法耐性：10
幸運：5
最大HPを増加")</f>
        <v>物理防御力：1
魔法耐性：10
幸運：5
最大HPを増加</v>
      </c>
      <c r="E49" s="333" t="s">
        <v>5319</v>
      </c>
      <c r="F49" s="161" t="s">
        <v>5320</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5321</v>
      </c>
      <c r="L49" s="161" t="s">
        <v>5322</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5323</v>
      </c>
      <c r="P49" s="317" t="s">
        <v>5324</v>
      </c>
      <c r="Q49" s="337" t="s">
        <v>5325</v>
      </c>
      <c r="R49" s="338" t="s">
        <v>5326</v>
      </c>
      <c r="S49" s="17"/>
      <c r="T49" s="17"/>
      <c r="U49" s="17"/>
      <c r="V49" s="17"/>
      <c r="W49" s="17"/>
      <c r="X49" s="17"/>
      <c r="Y49" s="17"/>
      <c r="Z49" s="17"/>
    </row>
    <row r="50">
      <c r="A50" s="333" t="s">
        <v>4264</v>
      </c>
      <c r="B50" s="161" t="s">
        <v>5327</v>
      </c>
      <c r="C50" s="346" t="s">
        <v>4266</v>
      </c>
      <c r="D50" s="347" t="str">
        <f>IFERROR(__xludf.DUMMYFUNCTION("GOOGLETRANSLATE(B50,""zh-tw"",""ja"")"),"魔法耐性: 30 回復不能、7秒間無敵")</f>
        <v>魔法耐性: 30 回復不能、7秒間無敵</v>
      </c>
      <c r="E50" s="333" t="s">
        <v>4268</v>
      </c>
      <c r="F50" s="161" t="s">
        <v>5328</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4270</v>
      </c>
      <c r="L50" s="161" t="s">
        <v>5329</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4272</v>
      </c>
      <c r="P50" s="317" t="s">
        <v>5330</v>
      </c>
      <c r="Q50" s="337" t="s">
        <v>4274</v>
      </c>
      <c r="R50" s="338" t="s">
        <v>5331</v>
      </c>
      <c r="S50" s="17"/>
      <c r="T50" s="17"/>
      <c r="U50" s="17"/>
      <c r="V50" s="17"/>
      <c r="W50" s="17"/>
      <c r="X50" s="17"/>
      <c r="Y50" s="17"/>
      <c r="Z50" s="17"/>
    </row>
    <row r="51">
      <c r="A51" s="333" t="s">
        <v>5332</v>
      </c>
      <c r="B51" s="161" t="s">
        <v>5333</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5334</v>
      </c>
      <c r="F51" s="161" t="s">
        <v>5335</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 con 1 millón), Frágil")</f>
        <v>Suerte: 40 Encontrar dinero (Evoluciona con 1 millón), Frágil</v>
      </c>
      <c r="K51" s="335" t="str">
        <f>IFERROR(__xludf.DUMMYFUNCTION("GOOGLETRANSLATE(A51,""zh-tw"",""KO"")"),"돼지 저금통")</f>
        <v>돼지 저금통</v>
      </c>
      <c r="L51" s="161" t="s">
        <v>5336</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5337</v>
      </c>
      <c r="P51" s="317" t="s">
        <v>5338</v>
      </c>
      <c r="Q51" s="337" t="s">
        <v>5339</v>
      </c>
      <c r="R51" s="338" t="s">
        <v>5340</v>
      </c>
      <c r="S51" s="17"/>
      <c r="T51" s="17"/>
      <c r="U51" s="17"/>
      <c r="V51" s="17"/>
      <c r="W51" s="17"/>
      <c r="X51" s="17"/>
      <c r="Y51" s="17"/>
      <c r="Z51" s="17"/>
    </row>
    <row r="52">
      <c r="A52" s="333" t="s">
        <v>5341</v>
      </c>
      <c r="B52" s="161" t="s">
        <v>5342</v>
      </c>
      <c r="C52" s="348" t="str">
        <f>IFERROR(__xludf.DUMMYFUNCTION("GOOGLETRANSLATE(A52,""zh-tw"",""ja"")"),"貪欲な貯金箱")</f>
        <v>貪欲な貯金箱</v>
      </c>
      <c r="D52" s="347" t="str">
        <f>IFERROR(__xludf.DUMMYFUNCTION("GOOGLETRANSLATE(B52,""zh-tw"",""ja"")"),"幸運：マネー100拾得、マモンオーラ、破壊不能、移動速度上昇
（聖杯と連携可能）")</f>
        <v>幸運：マネー100拾得、マモンオーラ、破壊不能、移動速度上昇
（聖杯と連携可能）</v>
      </c>
      <c r="E52" s="333" t="s">
        <v>5343</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5" t="str">
        <f>IFERROR(__xludf.DUMMYFUNCTION("GOOGLETRANSLATE(A52,""zh-tw"",""KO"")"),"탐욕스러운 돼지 저금통")</f>
        <v>탐욕스러운 돼지 저금통</v>
      </c>
      <c r="L52" s="161" t="s">
        <v>5344</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5345</v>
      </c>
      <c r="P52" s="317" t="s">
        <v>5346</v>
      </c>
      <c r="Q52" s="337" t="s">
        <v>5347</v>
      </c>
      <c r="R52" s="338" t="s">
        <v>5348</v>
      </c>
      <c r="S52" s="17"/>
      <c r="T52" s="17"/>
      <c r="U52" s="17"/>
      <c r="V52" s="17"/>
      <c r="W52" s="17"/>
      <c r="X52" s="17"/>
      <c r="Y52" s="17"/>
      <c r="Z52" s="17"/>
    </row>
    <row r="53">
      <c r="A53" s="333" t="s">
        <v>5349</v>
      </c>
      <c r="B53" s="161" t="s">
        <v>5350</v>
      </c>
      <c r="C53" s="346" t="s">
        <v>5351</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5352</v>
      </c>
      <c r="F53" s="161" t="s">
        <v>5353</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5" t="str">
        <f>IFERROR(__xludf.DUMMYFUNCTION("GOOGLETRANSLATE(A53,""zh-tw"",""KO"")"),"왕령")</f>
        <v>왕령</v>
      </c>
      <c r="L53" s="161" t="s">
        <v>5354</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5355</v>
      </c>
      <c r="P53" s="317" t="s">
        <v>5356</v>
      </c>
      <c r="Q53" s="337" t="s">
        <v>5357</v>
      </c>
      <c r="R53" s="164" t="s">
        <v>5358</v>
      </c>
      <c r="S53" s="17"/>
      <c r="T53" s="17"/>
      <c r="U53" s="17"/>
      <c r="V53" s="17"/>
      <c r="W53" s="17"/>
      <c r="X53" s="17"/>
      <c r="Y53" s="17"/>
      <c r="Z53" s="17"/>
    </row>
    <row r="54">
      <c r="A54" s="333" t="s">
        <v>5359</v>
      </c>
      <c r="B54" s="161" t="s">
        <v>5360</v>
      </c>
      <c r="C54" s="346" t="s">
        <v>5361</v>
      </c>
      <c r="D54" s="161" t="s">
        <v>5362</v>
      </c>
      <c r="E54" s="333" t="s">
        <v>5363</v>
      </c>
      <c r="F54" s="161" t="s">
        <v>5364</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5365</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5366</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5367</v>
      </c>
      <c r="P54" s="317" t="s">
        <v>5368</v>
      </c>
      <c r="Q54" s="337" t="s">
        <v>5369</v>
      </c>
      <c r="R54" s="338" t="s">
        <v>5370</v>
      </c>
      <c r="S54" s="17"/>
      <c r="T54" s="17"/>
      <c r="U54" s="17"/>
      <c r="V54" s="17"/>
      <c r="W54" s="17"/>
      <c r="X54" s="17"/>
      <c r="Y54" s="17"/>
      <c r="Z54" s="17"/>
    </row>
    <row r="55">
      <c r="A55" s="333" t="s">
        <v>4302</v>
      </c>
      <c r="B55" s="161" t="s">
        <v>5371</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4306</v>
      </c>
      <c r="F55" s="161" t="s">
        <v>5372</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4307</v>
      </c>
      <c r="L55" s="161" t="s">
        <v>5373</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4309</v>
      </c>
      <c r="P55" s="317" t="s">
        <v>5374</v>
      </c>
      <c r="Q55" s="337" t="s">
        <v>5375</v>
      </c>
      <c r="R55" s="338" t="s">
        <v>5376</v>
      </c>
      <c r="S55" s="17"/>
      <c r="T55" s="17"/>
      <c r="U55" s="17"/>
      <c r="V55" s="17"/>
      <c r="W55" s="17"/>
      <c r="X55" s="17"/>
      <c r="Y55" s="17"/>
      <c r="Z55" s="17"/>
    </row>
    <row r="56">
      <c r="A56" s="333" t="s">
        <v>5377</v>
      </c>
      <c r="B56" s="317" t="s">
        <v>5378</v>
      </c>
      <c r="C56" s="346" t="s">
        <v>5379</v>
      </c>
      <c r="D56" s="185" t="s">
        <v>5380</v>
      </c>
      <c r="E56" s="333" t="s">
        <v>5381</v>
      </c>
      <c r="F56" s="161" t="s">
        <v>5382</v>
      </c>
      <c r="G56" s="335" t="str">
        <f>IFERROR(__xludf.DUMMYFUNCTION("GOOGLETRANSLATE(A56,""zh-tw"",""zh"")"),"炎天娃娃")</f>
        <v>炎天娃娃</v>
      </c>
      <c r="H56" s="162" t="str">
        <f>IFERROR(__xludf.DUMMYFUNCTION("GOOGLETRANSLATE(B56,""zh-tw"",""zh"")"),"魔抗：10
幸运：10
第二天炎热")</f>
        <v>魔抗：10
幸运：10
第二天炎热</v>
      </c>
      <c r="I56" s="333" t="s">
        <v>5381</v>
      </c>
      <c r="J56" s="162" t="str">
        <f>IFERROR(__xludf.DUMMYFUNCTION("GOOGLETRANSLATE(B56,""zh-tw"",""es-MX"")"),"Resistencia mágica: 10
Suerte: 10
Al día siguiente hizo calor.")</f>
        <v>Resistencia mágica: 10
Suerte: 10
Al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5383</v>
      </c>
      <c r="P56" s="317" t="s">
        <v>5384</v>
      </c>
      <c r="Q56" s="349" t="s">
        <v>5385</v>
      </c>
      <c r="R56" s="338" t="s">
        <v>5386</v>
      </c>
      <c r="S56" s="17"/>
      <c r="T56" s="17"/>
      <c r="U56" s="17"/>
      <c r="V56" s="17"/>
      <c r="W56" s="17"/>
      <c r="X56" s="17"/>
      <c r="Y56" s="17"/>
      <c r="Z56" s="17"/>
    </row>
    <row r="57">
      <c r="A57" s="333" t="s">
        <v>5387</v>
      </c>
      <c r="B57" s="161" t="s">
        <v>5388</v>
      </c>
      <c r="C57" s="346" t="s">
        <v>5389</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33" t="s">
        <v>5390</v>
      </c>
      <c r="F57" s="161" t="s">
        <v>5391</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5392</v>
      </c>
      <c r="J57" s="351" t="s">
        <v>5393</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5394</v>
      </c>
      <c r="P57" s="317" t="s">
        <v>5395</v>
      </c>
      <c r="Q57" s="337" t="s">
        <v>5396</v>
      </c>
      <c r="R57" s="338" t="s">
        <v>5397</v>
      </c>
      <c r="S57" s="17"/>
      <c r="T57" s="17"/>
      <c r="U57" s="17"/>
      <c r="V57" s="17"/>
      <c r="W57" s="17"/>
      <c r="X57" s="17"/>
      <c r="Y57" s="17"/>
      <c r="Z57" s="17"/>
    </row>
    <row r="58">
      <c r="A58" s="335" t="s">
        <v>5398</v>
      </c>
      <c r="B58" s="162" t="s">
        <v>5399</v>
      </c>
      <c r="C58" s="333" t="s">
        <v>5400</v>
      </c>
      <c r="D58" s="162" t="s">
        <v>5401</v>
      </c>
      <c r="E58" s="335" t="s">
        <v>5402</v>
      </c>
      <c r="F58" s="162" t="s">
        <v>5403</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p"&amp;"uede acumular con varias piezas del equipo.")</f>
        <v>Ataque mágico: 20
Defensa mágica: 45
1. Reduce el consumo de durabilidad de las armas mágicas.
2. Aumenta el ataque mágico según la cantidad de Fragmentos de Piedra Celestial (cada fragmento aumenta en 10).
3. Esta habilidad es un efecto único; no se puede acumular con varias piezas del equipo.</v>
      </c>
      <c r="K58" s="335" t="str">
        <f>IFERROR(__xludf.DUMMYFUNCTION("GOOGLETRANSLATE(A58,""zh-tw"",""KO"")"),"붉은 홍옥수 펜던트")</f>
        <v>붉은 홍옥수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33" t="s">
        <v>5402</v>
      </c>
      <c r="P58" s="161" t="s">
        <v>5404</v>
      </c>
      <c r="Q58" s="352" t="s">
        <v>5405</v>
      </c>
      <c r="R58" s="353" t="s">
        <v>5406</v>
      </c>
      <c r="S58" s="17"/>
      <c r="T58" s="17"/>
      <c r="U58" s="17"/>
      <c r="V58" s="17"/>
      <c r="W58" s="17"/>
      <c r="X58" s="17"/>
      <c r="Y58" s="17"/>
      <c r="Z58" s="17"/>
    </row>
    <row r="59">
      <c r="A59" s="335" t="s">
        <v>5407</v>
      </c>
      <c r="B59" s="162" t="s">
        <v>5408</v>
      </c>
      <c r="C59" s="333" t="s">
        <v>4323</v>
      </c>
      <c r="D59" s="162" t="s">
        <v>5409</v>
      </c>
      <c r="E59" s="335" t="s">
        <v>5410</v>
      </c>
      <c r="F59" s="161" t="s">
        <v>5411</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3" t="s">
        <v>5412</v>
      </c>
      <c r="P59" s="161" t="s">
        <v>5413</v>
      </c>
      <c r="Q59" s="354" t="s">
        <v>5414</v>
      </c>
      <c r="R59" s="325" t="s">
        <v>5415</v>
      </c>
      <c r="S59" s="17"/>
      <c r="T59" s="17"/>
      <c r="U59" s="17"/>
      <c r="V59" s="17"/>
      <c r="W59" s="17"/>
      <c r="X59" s="17"/>
      <c r="Y59" s="17"/>
      <c r="Z59" s="17"/>
    </row>
    <row r="60">
      <c r="A60" s="335" t="s">
        <v>5416</v>
      </c>
      <c r="B60" s="162" t="s">
        <v>5417</v>
      </c>
      <c r="C60" s="354" t="s">
        <v>5418</v>
      </c>
      <c r="D60" s="186" t="s">
        <v>5419</v>
      </c>
      <c r="E60" s="333" t="s">
        <v>5420</v>
      </c>
      <c r="F60" s="161" t="s">
        <v>5421</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IFERROR(__xludf.DUMMYFUNCTION("GOOGLETRANSLATE(A60,""zh-tw"",""es-MX"")"),"Onda de Cupido")</f>
        <v>Onda de Cupido</v>
      </c>
      <c r="J60" s="162"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5422</v>
      </c>
      <c r="P60" s="161" t="s">
        <v>5423</v>
      </c>
      <c r="Q60" s="352" t="s">
        <v>5424</v>
      </c>
      <c r="R60" s="325" t="s">
        <v>5425</v>
      </c>
      <c r="S60" s="355"/>
      <c r="T60" s="355"/>
      <c r="U60" s="355"/>
      <c r="V60" s="355"/>
      <c r="W60" s="355"/>
      <c r="X60" s="355"/>
      <c r="Y60" s="355"/>
      <c r="Z60" s="355"/>
    </row>
    <row r="61">
      <c r="A61" s="333" t="s">
        <v>5426</v>
      </c>
      <c r="B61" s="161" t="s">
        <v>5427</v>
      </c>
      <c r="C61" s="346" t="s">
        <v>5428</v>
      </c>
      <c r="D61" s="185" t="s">
        <v>5429</v>
      </c>
      <c r="E61" s="333" t="s">
        <v>5430</v>
      </c>
      <c r="F61" s="161" t="s">
        <v>5431</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5432</v>
      </c>
      <c r="P61" s="161" t="s">
        <v>5433</v>
      </c>
      <c r="Q61" s="337" t="s">
        <v>5434</v>
      </c>
      <c r="R61" s="338" t="s">
        <v>5435</v>
      </c>
      <c r="S61" s="17"/>
      <c r="T61" s="17"/>
      <c r="U61" s="17"/>
      <c r="V61" s="17"/>
      <c r="W61" s="17"/>
      <c r="X61" s="17"/>
      <c r="Y61" s="17"/>
      <c r="Z61" s="17"/>
    </row>
    <row r="62">
      <c r="A62" s="339" t="s">
        <v>5436</v>
      </c>
      <c r="B62" s="161" t="s">
        <v>5437</v>
      </c>
      <c r="C62" s="339" t="s">
        <v>5438</v>
      </c>
      <c r="D62" s="161" t="s">
        <v>5439</v>
      </c>
      <c r="E62" s="339" t="s">
        <v>5440</v>
      </c>
      <c r="F62" s="161" t="s">
        <v>5441</v>
      </c>
      <c r="G62" s="335" t="str">
        <f>IFERROR(__xludf.DUMMYFUNCTION("GOOGLETRANSLATE(A62,""zh-tw"",""zh"")"),"火蝾螈之卷")</f>
        <v>火蝾螈之卷</v>
      </c>
      <c r="H62" s="162" t="str">
        <f>IFERROR(__xludf.DUMMYFUNCTION("GOOGLETRANSLATE(B62,""zh-tw"",""zh"")"),"魔攻：25
魔防：15
强化火焰元素")</f>
        <v>魔攻：25
魔防：15
强化火焰元素</v>
      </c>
      <c r="I62" s="335" t="str">
        <f>IFERROR(__xludf.DUMMYFUNCTION("GOOGLETRANSLATE(A62,""zh-tw"",""es-MX"")"),"Pergamino de la Salamandra de Fuego")</f>
        <v>Pergamino de la Salamandra de Fuego</v>
      </c>
      <c r="J62" s="162" t="str">
        <f>IFERROR(__xludf.DUMMYFUNCTION("GOOGLETRANSLATE(B62,""zh-tw"",""es-MX"")"),"Ataque mágico: 25
Defensa mágica: 15
Elemento fuego potenciado")</f>
        <v>Ataque mágico: 25
Defensa mágica: 15
Elemento fuego potenciado</v>
      </c>
      <c r="K62" s="335" t="str">
        <f>IFERROR(__xludf.DUMMYFUNCTION("GOOGLETRANSLATE(A62,""zh-tw"",""KO"")"),"불도롱뇽 두루마리")</f>
        <v>불도롱뇽 두루마리</v>
      </c>
      <c r="L62" s="162" t="str">
        <f>IFERROR(__xludf.DUMMYFUNCTION("GOOGLETRANSLATE(B62,""zh-tw"",""KO"")"),"마법 공격력: 25
마법 방어력: 15
향상된 화속성")</f>
        <v>마법 공격력: 25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35" t="s">
        <v>5442</v>
      </c>
      <c r="P62" s="161" t="s">
        <v>5443</v>
      </c>
      <c r="Q62" s="337" t="s">
        <v>5444</v>
      </c>
      <c r="R62" s="323" t="s">
        <v>5445</v>
      </c>
      <c r="S62" s="17"/>
      <c r="T62" s="17"/>
      <c r="U62" s="17"/>
      <c r="V62" s="17"/>
      <c r="W62" s="17"/>
      <c r="X62" s="17"/>
      <c r="Y62" s="17"/>
      <c r="Z62" s="17"/>
    </row>
    <row r="63">
      <c r="A63" s="339" t="s">
        <v>5446</v>
      </c>
      <c r="B63" s="322" t="s">
        <v>5447</v>
      </c>
      <c r="C63" s="346" t="s">
        <v>5448</v>
      </c>
      <c r="D63" s="185" t="s">
        <v>5449</v>
      </c>
      <c r="E63" s="339" t="s">
        <v>5450</v>
      </c>
      <c r="F63" s="322" t="s">
        <v>5451</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5452</v>
      </c>
      <c r="P63" s="162" t="s">
        <v>5453</v>
      </c>
      <c r="Q63" s="337" t="s">
        <v>5454</v>
      </c>
      <c r="R63" s="338" t="s">
        <v>5455</v>
      </c>
      <c r="S63" s="17"/>
      <c r="T63" s="17"/>
      <c r="U63" s="17"/>
      <c r="V63" s="17"/>
      <c r="W63" s="17"/>
      <c r="X63" s="17"/>
      <c r="Y63" s="17"/>
      <c r="Z63" s="17"/>
    </row>
    <row r="64">
      <c r="A64" s="333" t="s">
        <v>5456</v>
      </c>
      <c r="B64" s="161" t="s">
        <v>5457</v>
      </c>
      <c r="C64" s="335" t="str">
        <f>IFERROR(__xludf.DUMMYFUNCTION("GOOGLETRANSLATE(A64,""zh-tw"",""ja"")"),"ハンターの衣装")</f>
        <v>ハンターの衣装</v>
      </c>
      <c r="D64" s="162" t="str">
        <f>IFERROR(__xludf.DUMMYFUNCTION("GOOGLETRANSLATE(B64,""zh-tw"",""ja"")"),"物理防御力：3
魔法耐性：10
草の上に立っている間、スタミナが回復します")</f>
        <v>物理防御力：3
魔法耐性：10
草の上に立っている間、スタミナが回復します</v>
      </c>
      <c r="E64" s="333" t="s">
        <v>5458</v>
      </c>
      <c r="F64" s="161" t="s">
        <v>5459</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IFERROR(__xludf.DUMMYFUNCTION("GOOGLETRANSLATE(A64,""zh-tw"",""es-MX"")"),"El atuendo del cazador")</f>
        <v>El atuendo del cazador</v>
      </c>
      <c r="J64" s="162" t="str">
        <f>IFERROR(__xludf.DUMMYFUNCTION("GOOGLETRANSLATE(B64,""zh-tw"",""es-MX"")"),"Defensa física: 3
Resistencia mágica: 10")</f>
        <v>Defensa física: 3
Resistencia mágica: 10</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beim Stehen auf Gras")</f>
        <v>Physische Verteidigung: 3
Magieresistenz: 10
Regeneriert Ausdauer beim Stehen auf Gras</v>
      </c>
      <c r="Q64" s="337" t="s">
        <v>5460</v>
      </c>
      <c r="R64" s="338" t="s">
        <v>5461</v>
      </c>
      <c r="S64" s="17"/>
      <c r="T64" s="17"/>
      <c r="U64" s="17"/>
      <c r="V64" s="17"/>
      <c r="W64" s="17"/>
      <c r="X64" s="17"/>
      <c r="Y64" s="17"/>
      <c r="Z64" s="17"/>
    </row>
    <row r="65">
      <c r="A65" s="333" t="s">
        <v>5462</v>
      </c>
      <c r="B65" s="161" t="s">
        <v>5463</v>
      </c>
      <c r="C65" s="335"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3" t="s">
        <v>5464</v>
      </c>
      <c r="F65" s="161" t="s">
        <v>5465</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6" t="str">
        <f>IFERROR(__xludf.DUMMYFUNCTION("GOOGLETRANSLATE(A65,""zh-tw"",""de"")"),"Jägergürtel")</f>
        <v>Jägergürtel</v>
      </c>
      <c r="P65" s="31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7" t="s">
        <v>5466</v>
      </c>
      <c r="R65" s="338" t="s">
        <v>5467</v>
      </c>
      <c r="S65" s="17"/>
      <c r="T65" s="17"/>
      <c r="U65" s="17"/>
      <c r="V65" s="17"/>
      <c r="W65" s="17"/>
      <c r="X65" s="17"/>
      <c r="Y65" s="17"/>
      <c r="Z65" s="17"/>
    </row>
    <row r="66">
      <c r="A66" s="333" t="s">
        <v>5468</v>
      </c>
      <c r="B66" s="161" t="s">
        <v>5469</v>
      </c>
      <c r="C66" s="335" t="str">
        <f>IFERROR(__xludf.DUMMYFUNCTION("GOOGLETRANSLATE(A66,""zh-tw"",""ja"")"),"ハンターの短剣")</f>
        <v>ハンターの短剣</v>
      </c>
      <c r="D66" s="162" t="str">
        <f>IFERROR(__xludf.DUMMYFUNCTION("GOOGLETRANSLATE(B66,""zh-tw"",""ja"")"),"物理攻撃力: 6
幸運: 20
肉のドロップ率が2倍（魚のフライを含む）")</f>
        <v>物理攻撃力: 6
幸運: 20
肉のドロップ率が2倍（魚のフライを含む）</v>
      </c>
      <c r="E66" s="333" t="s">
        <v>5470</v>
      </c>
      <c r="F66" s="161" t="s">
        <v>5471</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5472</v>
      </c>
      <c r="R66" s="338" t="s">
        <v>5473</v>
      </c>
      <c r="S66" s="17"/>
      <c r="T66" s="17"/>
      <c r="U66" s="17"/>
      <c r="V66" s="17"/>
      <c r="W66" s="17"/>
      <c r="X66" s="17"/>
      <c r="Y66" s="17"/>
      <c r="Z66" s="17"/>
    </row>
    <row r="67">
      <c r="A67" s="333" t="s">
        <v>5474</v>
      </c>
      <c r="B67" s="161" t="s">
        <v>5475</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5476</v>
      </c>
      <c r="F67" s="161" t="s">
        <v>5477</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f>
        <v>Defensa física: 20
Resistencia mágica: 60</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5478</v>
      </c>
      <c r="R67" s="338" t="s">
        <v>5479</v>
      </c>
      <c r="S67" s="17"/>
      <c r="T67" s="17"/>
      <c r="U67" s="17"/>
      <c r="V67" s="17"/>
      <c r="W67" s="17"/>
      <c r="X67" s="17"/>
      <c r="Y67" s="17"/>
      <c r="Z67" s="17"/>
    </row>
    <row r="68">
      <c r="A68" s="333" t="s">
        <v>5480</v>
      </c>
      <c r="B68" s="161" t="s">
        <v>5481</v>
      </c>
      <c r="C68" s="335" t="str">
        <f>IFERROR(__xludf.DUMMYFUNCTION("GOOGLETRANSLATE(A68,""zh-tw"",""ja"")"),"宝石の剣")</f>
        <v>宝石の剣</v>
      </c>
      <c r="D68" s="162" t="str">
        <f>IFERROR(__xludf.DUMMYFUNCTION("GOOGLETRANSLATE(B68,""zh-tw"",""ja"")"),"魔法攻撃力: 15
魔法耐性: 20
幸運: 20 宝石を消費して攻撃力を強化。")</f>
        <v>魔法攻撃力: 15
魔法耐性: 20
幸運: 20 宝石を消費して攻撃力を強化。</v>
      </c>
      <c r="E68" s="333" t="s">
        <v>5482</v>
      </c>
      <c r="F68" s="161" t="s">
        <v>5483</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enjoyada")</f>
        <v>Espada enjoyada</v>
      </c>
      <c r="J68" s="162" t="str">
        <f>IFERROR(__xludf.DUMMYFUNCTION("GOOGLETRANSLATE(B68,""zh-tw"",""es-MX"")"),"Ataque mágico: 15
Resistencia mágica: 20
Suerte: 20 Consume gemas para aumentar el ataque.")</f>
        <v>Ataque mágico: 15
Resistencia mágica: 20
Suerte: 20 Consume gemas para aumentar el ataque.</v>
      </c>
      <c r="K68" s="335" t="str">
        <f>IFERROR(__xludf.DUMMYFUNCTION("GOOGLETRANSLATE(A68,""zh-tw"",""KO"")"),"보석 검")</f>
        <v>보석 검</v>
      </c>
      <c r="L68" s="162" t="str">
        <f>IFERROR(__xludf.DUMMYFUNCTION("GOOGLETRANSLATE(B68,""zh-tw"",""KO"")"),"마법 공격력: 15
마법 저항력: 20
행운: 20 보석을 소모하여 공격력을 강화합니다.")</f>
        <v>마법 공격력: 15
마법 저항력: 20
행운: 20 보석을 소모하여 공격력을 강화합니다.</v>
      </c>
      <c r="M68" s="336" t="str">
        <f>IFERROR(__xludf.DUMMYFUNCTION("GOOGLETRANSLATE(A68,""zh-tw"",""ru"")"),"Драгоценный меч")</f>
        <v>Драгоценный меч</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5484</v>
      </c>
      <c r="R68" s="338" t="s">
        <v>5485</v>
      </c>
      <c r="S68" s="17"/>
      <c r="T68" s="17"/>
      <c r="U68" s="17"/>
      <c r="V68" s="17"/>
      <c r="W68" s="17"/>
      <c r="X68" s="17"/>
      <c r="Y68" s="17"/>
      <c r="Z68" s="17"/>
    </row>
    <row r="69">
      <c r="A69" s="333" t="s">
        <v>5486</v>
      </c>
      <c r="B69" s="161" t="s">
        <v>5487</v>
      </c>
      <c r="C69" s="335" t="str">
        <f>IFERROR(__xludf.DUMMYFUNCTION("GOOGLETRANSLATE(A69,""zh-tw"",""ja"")"),"安全手袋")</f>
        <v>安全手袋</v>
      </c>
      <c r="D69" s="162" t="str">
        <f>IFERROR(__xludf.DUMMYFUNCTION("GOOGLETRANSLATE(B69,""zh-tw"",""ja"")"),"物理攻撃力: 1
物理防御力: 2
魔法耐性: 45
雷撃防御力")</f>
        <v>物理攻撃力: 1
物理防御力: 2
魔法耐性: 45
雷撃防御力</v>
      </c>
      <c r="E69" s="333" t="s">
        <v>5488</v>
      </c>
      <c r="F69" s="161" t="s">
        <v>5489</v>
      </c>
      <c r="G69" s="335" t="str">
        <f>IFERROR(__xludf.DUMMYFUNCTION("GOOGLETRANSLATE(A69,""zh-tw"",""zh"")"),"安全手套")</f>
        <v>安全手套</v>
      </c>
      <c r="H69" s="162" t="str">
        <f>IFERROR(__xludf.DUMMYFUNCTION("GOOGLETRANSLATE(B69,""zh-tw"",""zh"")"),"物攻：1
物防：2
魔抗：45
防御雷电")</f>
        <v>物攻：1
物防：2
魔抗：45
防御雷电</v>
      </c>
      <c r="I69" s="335" t="str">
        <f>IFERROR(__xludf.DUMMYFUNCTION("GOOGLETRANSLATE(A69,""zh-tw"",""es-MX"")"),"guantes de seguridad")</f>
        <v>guantes de seguridad</v>
      </c>
      <c r="J69" s="162" t="str">
        <f>IFERROR(__xludf.DUMMYFUNCTION("GOOGLETRANSLATE(B69,""zh-tw"",""es-MX"")"),"Ataque físico: 1
Defensa física: 2
Resistencia mágica: 45
Defensa contra rayos")</f>
        <v>Ataque físico: 1
Defensa física: 2
Resistencia mágica: 45
Defensa contra rayos</v>
      </c>
      <c r="K69" s="335" t="str">
        <f>IFERROR(__xludf.DUMMYFUNCTION("GOOGLETRANSLATE(A69,""zh-tw"",""KO"")"),"안전 장갑")</f>
        <v>안전 장갑</v>
      </c>
      <c r="L69" s="162" t="str">
        <f>IFERROR(__xludf.DUMMYFUNCTION("GOOGLETRANSLATE(B69,""zh-tw"",""KO"")"),"물리 공격력: 1
물리 방어력: 2
마법 저항력: 45
번개 방어력")</f>
        <v>물리 공격력: 1
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IFERROR(__xludf.DUMMYFUNCTION("GOOGLETRANSLATE(B69,""zh-tw"",""de"")"),"Physischer Angriff: 1
Physische Verteidigung: 2
Magieresistenz: 45
Blitzabwehr")</f>
        <v>Physischer Angriff: 1
Physische Verteidigung: 2
Magieresistenz: 45
Blitzabwehr</v>
      </c>
      <c r="Q69" s="337" t="s">
        <v>5490</v>
      </c>
      <c r="R69" s="323" t="s">
        <v>5491</v>
      </c>
      <c r="S69" s="17"/>
      <c r="T69" s="17"/>
      <c r="U69" s="17"/>
      <c r="V69" s="17"/>
      <c r="W69" s="17"/>
      <c r="X69" s="17"/>
      <c r="Y69" s="17"/>
      <c r="Z69" s="17"/>
    </row>
    <row r="70">
      <c r="A70" s="333" t="s">
        <v>5492</v>
      </c>
      <c r="B70" s="161" t="s">
        <v>5493</v>
      </c>
      <c r="C70" s="335" t="str">
        <f>IFERROR(__xludf.DUMMYFUNCTION("GOOGLETRANSLATE(A70,""zh-tw"",""ja"")"),"シャープブレードリング")</f>
        <v>シャープブレードリング</v>
      </c>
      <c r="D70" s="162" t="str">
        <f>IFERROR(__xludf.DUMMYFUNCTION("GOOGLETRANSLATE(B70,""zh-tw"",""ja"")"),"物理攻撃力：4
物理防御力：1
物理攻撃力 +15%
")</f>
        <v>物理攻撃力：4
物理防御力：1
物理攻撃力 +15%
</v>
      </c>
      <c r="E70" s="333" t="s">
        <v>5494</v>
      </c>
      <c r="F70" s="161" t="s">
        <v>5495</v>
      </c>
      <c r="G70" s="335" t="str">
        <f>IFERROR(__xludf.DUMMYFUNCTION("GOOGLETRANSLATE(A70,""zh-tw"",""zh"")"),"锐刃指环")</f>
        <v>锐刃指环</v>
      </c>
      <c r="H70" s="162" t="str">
        <f>IFERROR(__xludf.DUMMYFUNCTION("GOOGLETRANSLATE(B70,""zh-tw"",""zh"")"),"物攻：4
物防：1
物攻+15%
")</f>
        <v>物攻：4
物防：1
物攻+15%
</v>
      </c>
      <c r="I70" s="335" t="str">
        <f>IFERROR(__xludf.DUMMYFUNCTION("GOOGLETRANSLATE(A70,""zh-tw"",""es-MX"")"),"Anillo de hoja afilada")</f>
        <v>Anillo de hoja afilada</v>
      </c>
      <c r="J70" s="162" t="str">
        <f>IFERROR(__xludf.DUMMYFUNCTION("GOOGLETRANSLATE(B70,""zh-tw"",""es-MX"")"),"Ataque físico: 4
Defensa física: 1
Ataque físico +15%
")</f>
        <v>Ataque físico: 4
Defensa física: 1
Ataque físico +15%
</v>
      </c>
      <c r="K70" s="335" t="str">
        <f>IFERROR(__xludf.DUMMYFUNCTION("GOOGLETRANSLATE(A70,""zh-tw"",""KO"")"),"날카로운 칼날 반지")</f>
        <v>날카로운 칼날 반지</v>
      </c>
      <c r="L70" s="162" t="str">
        <f>IFERROR(__xludf.DUMMYFUNCTION("GOOGLETRANSLATE(B70,""zh-tw"",""KO"")"),"물리 공격력: 4
물리 방어력: 1
물리 공격력 +15%
")</f>
        <v>물리 공격력: 4
물리 방어력: 1
물리 공격력 +15%
</v>
      </c>
      <c r="M70" s="336" t="str">
        <f>IFERROR(__xludf.DUMMYFUNCTION("GOOGLETRANSLATE(A70,""zh-tw"",""ru"")"),"Кольцо с острым лезвием")</f>
        <v>Кольцо с острым лезвием</v>
      </c>
      <c r="N70" s="31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36" t="str">
        <f>IFERROR(__xludf.DUMMYFUNCTION("GOOGLETRANSLATE(A70,""zh-tw"",""de"")"),"Scharfer Klingenring")</f>
        <v>Scharfer Klingenring</v>
      </c>
      <c r="P70" s="315" t="str">
        <f>IFERROR(__xludf.DUMMYFUNCTION("GOOGLETRANSLATE(B70,""zh-tw"",""de"")"),"Physischer Angriff: 4
Physische Verteidigung: 1
Physischer Angriff +15 %
")</f>
        <v>Physischer Angriff: 4
Physische Verteidigung: 1
Physischer Angriff +15 %
</v>
      </c>
      <c r="Q70" s="337" t="s">
        <v>5496</v>
      </c>
      <c r="R70" s="323" t="s">
        <v>5497</v>
      </c>
      <c r="S70" s="17"/>
      <c r="T70" s="17"/>
      <c r="U70" s="17"/>
      <c r="V70" s="17"/>
      <c r="W70" s="17"/>
      <c r="X70" s="17"/>
      <c r="Y70" s="17"/>
      <c r="Z70" s="17"/>
    </row>
    <row r="71">
      <c r="A71" s="333" t="s">
        <v>5498</v>
      </c>
      <c r="B71" s="161" t="s">
        <v>5499</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5500</v>
      </c>
      <c r="F71" s="161" t="s">
        <v>5501</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IFERROR(__xludf.DUMMYFUNCTION("GOOGLETRANSLATE(A71,""zh-tw"",""ru"")"),"Такизаши")</f>
        <v>Такизаши</v>
      </c>
      <c r="N71" s="315"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5500</v>
      </c>
      <c r="R71" s="338" t="s">
        <v>5502</v>
      </c>
      <c r="S71" s="17"/>
      <c r="T71" s="17"/>
      <c r="U71" s="17"/>
      <c r="V71" s="17"/>
      <c r="W71" s="17"/>
      <c r="X71" s="17"/>
      <c r="Y71" s="17"/>
      <c r="Z71" s="17"/>
    </row>
    <row r="72">
      <c r="A72" s="333" t="s">
        <v>5503</v>
      </c>
      <c r="B72" s="161" t="s">
        <v>5504</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5505</v>
      </c>
      <c r="F72" s="161" t="s">
        <v>5506</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5507</v>
      </c>
      <c r="R72" s="338" t="s">
        <v>5508</v>
      </c>
      <c r="S72" s="17"/>
      <c r="T72" s="17"/>
      <c r="U72" s="17"/>
      <c r="V72" s="17"/>
      <c r="W72" s="17"/>
      <c r="X72" s="17"/>
      <c r="Y72" s="17"/>
      <c r="Z72" s="17"/>
    </row>
    <row r="73">
      <c r="A73" s="333" t="s">
        <v>5509</v>
      </c>
      <c r="B73" s="161" t="s">
        <v>5510</v>
      </c>
      <c r="C73" s="335" t="str">
        <f>IFERROR(__xludf.DUMMYFUNCTION("GOOGLETRANSLATE(A73,""zh-tw"",""ja"")"),"五剣くんのバッジ")</f>
        <v>五剣くんのバッジ</v>
      </c>
      <c r="D73" s="162"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33" t="s">
        <v>5511</v>
      </c>
      <c r="F73" s="161" t="s">
        <v>5512</v>
      </c>
      <c r="G73" s="335" t="str">
        <f>IFERROR(__xludf.DUMMYFUNCTION("GOOGLETRANSLATE(A73,""zh-tw"",""zh"")"),"护刃众的徽章")</f>
        <v>护刃众的徽章</v>
      </c>
      <c r="H73" s="162" t="str">
        <f>IFERROR(__xludf.DUMMYFUNCTION("GOOGLETRANSLATE(B73,""zh-tw"",""zh"")"),"减少攻击力、攻击上限降低至200
降低武器耐久度消耗")</f>
        <v>减少攻击力、攻击上限降低至200
降低武器耐久度消耗</v>
      </c>
      <c r="I73" s="335" t="str">
        <f>IFERROR(__xludf.DUMMYFUNCTION("GOOGLETRANSLATE(A73,""zh-tw"",""es-MX"")"),"Insignias de Goken-kun")</f>
        <v>Insignias de Goken-kun</v>
      </c>
      <c r="J73" s="162" t="str">
        <f>IFERROR(__xludf.DUMMYFUNCTION("GOOGLETRANSLATE(B73,""zh-tw"",""es-MX"")"),"Poder de ataque reducido, límite de ataque reducido a 200. Consumo de durabilidad de armas reducido.")</f>
        <v>Poder de ataque reducido, límite de ataque reducido a 200. Consumo de durabilidad de armas reducido.</v>
      </c>
      <c r="K73" s="335" t="str">
        <f>IFERROR(__xludf.DUMMYFUNCTION("GOOGLETRANSLATE(A73,""zh-tw"",""KO"")"),"고켄군의 배지")</f>
        <v>고켄군의 배지</v>
      </c>
      <c r="L73" s="16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36" t="str">
        <f>IFERROR(__xludf.DUMMYFUNCTION("GOOGLETRANSLATE(A73,""zh-tw"",""ru"")"),"Значки Гокен-куна")</f>
        <v>Значки Гокен-куна</v>
      </c>
      <c r="N73" s="31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36" t="str">
        <f>IFERROR(__xludf.DUMMYFUNCTION("GOOGLETRANSLATE(A73,""zh-tw"",""de"")"),"Abzeichen des Goken-kun")</f>
        <v>Abzeichen des Goken-kun</v>
      </c>
      <c r="P73" s="315" t="str">
        <f>IFERROR(__xludf.DUMMYFUNCTION("GOOGLETRANSLATE(B73,""zh-tw"",""de"")"),"Reduzierte Angriffskraft, Angriffslimit auf 200 gesenkt. Reduzierter Verbrauch der Waffenhaltbarkeit.")</f>
        <v>Reduzierte Angriffskraft, Angriffslimit auf 200 gesenkt. Reduzierter Verbrauch der Waffenhaltbarkeit.</v>
      </c>
      <c r="Q73" s="337" t="s">
        <v>5513</v>
      </c>
      <c r="R73" s="323" t="s">
        <v>5514</v>
      </c>
      <c r="S73" s="17"/>
      <c r="T73" s="17"/>
      <c r="U73" s="17"/>
      <c r="V73" s="17"/>
      <c r="W73" s="17"/>
      <c r="X73" s="17"/>
      <c r="Y73" s="17"/>
      <c r="Z73" s="17"/>
    </row>
    <row r="74">
      <c r="A74" s="333" t="s">
        <v>5515</v>
      </c>
      <c r="B74" s="161" t="s">
        <v>5516</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5517</v>
      </c>
      <c r="F74" s="161" t="s">
        <v>5518</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IFERROR(__xludf.DUMMYFUNCTION("GOOGLETRANSLATE(A74,""zh-tw"",""es-MX"")"),"¡Recuperemos las fresas!")</f>
        <v>¡Recuperemos las fresas!</v>
      </c>
      <c r="J74" s="162" t="str">
        <f>IFERROR(__xludf.DUMMYFUNCTION("GOOGLETRANSLATE(B74,""zh-tw"",""es-MX"")"),"Equipo de tipo comando
(Ver espacios para habilidades)")</f>
        <v>Equipo de tipo comando
(Ver espacios para habilidades)</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5519</v>
      </c>
      <c r="R74" s="338" t="s">
        <v>5520</v>
      </c>
      <c r="S74" s="17"/>
      <c r="T74" s="17"/>
      <c r="U74" s="17"/>
      <c r="V74" s="17"/>
      <c r="W74" s="17"/>
      <c r="X74" s="17"/>
      <c r="Y74" s="17"/>
      <c r="Z74" s="17"/>
    </row>
    <row r="75">
      <c r="A75" s="339" t="s">
        <v>4375</v>
      </c>
      <c r="B75" s="161" t="s">
        <v>5521</v>
      </c>
      <c r="C75" s="346" t="s">
        <v>5522</v>
      </c>
      <c r="D75" s="185" t="s">
        <v>5523</v>
      </c>
      <c r="E75" s="333" t="s">
        <v>4381</v>
      </c>
      <c r="F75" s="161" t="s">
        <v>5524</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4384</v>
      </c>
      <c r="P75" s="161" t="s">
        <v>5525</v>
      </c>
      <c r="Q75" s="337" t="s">
        <v>4387</v>
      </c>
      <c r="R75" s="338" t="s">
        <v>5526</v>
      </c>
      <c r="S75" s="17"/>
      <c r="T75" s="17"/>
      <c r="U75" s="17"/>
      <c r="V75" s="17"/>
      <c r="W75" s="17"/>
      <c r="X75" s="17"/>
      <c r="Y75" s="17"/>
      <c r="Z75" s="17"/>
    </row>
    <row r="76">
      <c r="A76" s="335" t="s">
        <v>4390</v>
      </c>
      <c r="B76" s="161" t="s">
        <v>5527</v>
      </c>
      <c r="C76" s="335" t="s">
        <v>4390</v>
      </c>
      <c r="D76" s="185" t="s">
        <v>5528</v>
      </c>
      <c r="E76" s="333" t="s">
        <v>4394</v>
      </c>
      <c r="F76" s="161" t="s">
        <v>5529</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4396</v>
      </c>
      <c r="P76" s="161" t="s">
        <v>5530</v>
      </c>
      <c r="Q76" s="352" t="s">
        <v>4398</v>
      </c>
      <c r="R76" s="338" t="s">
        <v>5531</v>
      </c>
      <c r="S76" s="17"/>
      <c r="T76" s="17"/>
      <c r="U76" s="17"/>
      <c r="V76" s="17"/>
      <c r="W76" s="17"/>
      <c r="X76" s="17"/>
      <c r="Y76" s="17"/>
      <c r="Z76" s="17"/>
    </row>
    <row r="77">
      <c r="A77" s="335" t="s">
        <v>5532</v>
      </c>
      <c r="B77" s="161" t="s">
        <v>5533</v>
      </c>
      <c r="C77" s="346" t="s">
        <v>5534</v>
      </c>
      <c r="D77" s="185" t="s">
        <v>5535</v>
      </c>
      <c r="E77" s="333" t="s">
        <v>5536</v>
      </c>
      <c r="F77" s="161" t="s">
        <v>5537</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puede ser eliminado. Suerte: 40")</f>
        <v>Ataque arrojadizo. Desaparece al contacto con el agua; puede ser eliminado. Suerte: 40</v>
      </c>
      <c r="K77" s="335"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6" t="str">
        <f>IFERROR(__xludf.DUMMYFUNCTION("GOOGLETRANSLATE(A77,""zh-tw"",""ru"")"),"◉▽◉(Розовый)")</f>
        <v>◉▽◉(Розовый)</v>
      </c>
      <c r="N77" s="31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3" t="s">
        <v>5538</v>
      </c>
      <c r="P77" s="161" t="s">
        <v>5539</v>
      </c>
      <c r="Q77" s="352" t="s">
        <v>5540</v>
      </c>
      <c r="R77" s="338" t="s">
        <v>5541</v>
      </c>
      <c r="S77" s="17"/>
      <c r="T77" s="17"/>
      <c r="U77" s="17"/>
      <c r="V77" s="17"/>
      <c r="W77" s="17"/>
      <c r="X77" s="17"/>
      <c r="Y77" s="17"/>
      <c r="Z77" s="17"/>
    </row>
    <row r="78">
      <c r="A78" s="333" t="s">
        <v>5542</v>
      </c>
      <c r="B78" s="161" t="s">
        <v>5543</v>
      </c>
      <c r="C78" s="346" t="s">
        <v>5544</v>
      </c>
      <c r="D78" s="185" t="s">
        <v>5545</v>
      </c>
      <c r="E78" s="333" t="s">
        <v>5546</v>
      </c>
      <c r="F78" s="161" t="s">
        <v>5547</v>
      </c>
      <c r="G78" s="335" t="str">
        <f>IFERROR(__xludf.DUMMYFUNCTION("GOOGLETRANSLATE(A78,""zh-tw"",""zh"")"),"初号机枢I~VII")</f>
        <v>初号机枢I~VII</v>
      </c>
      <c r="H78" s="16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35" t="str">
        <f>IFERROR(__xludf.DUMMYFUNCTION("GOOGLETRANSLATE(A78,""zh-tw"",""es-MX"")"),"Unidad 1-VII")</f>
        <v>Unidad 1-VII</v>
      </c>
      <c r="J78" s="162" t="str">
        <f>IFERROR(__xludf.DUMMYFUNCTION("GOOGLETRANSLATE(B78,""zh-tw"",""es-MX"")"),"Puedes mejorar la forma de tu meca consumiendo objetos específicos en las ranuras de habilidades, obteniendo así nuevas capacidades.
Resistencia mágica: 20~??
*No se puede descartar ni destruir.
(Consulta los CONSEJOS para más detalles)")</f>
        <v>Puedes mejorar la forma de tu meca consumiendo objetos específicos en las ranuras de habilidades, obteniendo así nuevas capacidades.
Resistencia mágica: 20~??
*No se puede descartar ni destruir.
(Consulta los CONSEJOS para más detalles)</v>
      </c>
      <c r="K78" s="335" t="str">
        <f>IFERROR(__xludf.DUMMYFUNCTION("GOOGLETRANSLATE(A78,""zh-tw"",""KO"")"),"단원 1-7")</f>
        <v>단원 1-7</v>
      </c>
      <c r="L78" s="16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36" t="str">
        <f>IFERROR(__xludf.DUMMYFUNCTION("GOOGLETRANSLATE(A78,""zh-tw"",""ru"")"),"Блок 1-VII")</f>
        <v>Блок 1-VII</v>
      </c>
      <c r="N78" s="315"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333" t="s">
        <v>5548</v>
      </c>
      <c r="P78" s="161" t="s">
        <v>5549</v>
      </c>
      <c r="Q78" s="337" t="s">
        <v>5546</v>
      </c>
      <c r="R78" s="323" t="s">
        <v>5550</v>
      </c>
      <c r="S78" s="17"/>
      <c r="T78" s="17"/>
      <c r="U78" s="17"/>
      <c r="V78" s="17"/>
      <c r="W78" s="17"/>
      <c r="X78" s="17"/>
      <c r="Y78" s="17"/>
      <c r="Z78" s="17"/>
    </row>
    <row r="79">
      <c r="A79" s="333" t="s">
        <v>5551</v>
      </c>
      <c r="B79" s="161" t="s">
        <v>5552</v>
      </c>
      <c r="C79" s="346" t="s">
        <v>5553</v>
      </c>
      <c r="D79" s="185" t="s">
        <v>5554</v>
      </c>
      <c r="E79" s="333" t="s">
        <v>5555</v>
      </c>
      <c r="F79" s="161" t="s">
        <v>5556</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5557</v>
      </c>
      <c r="R79" s="323" t="s">
        <v>5558</v>
      </c>
      <c r="S79" s="17"/>
      <c r="T79" s="17"/>
      <c r="U79" s="17"/>
      <c r="V79" s="17"/>
      <c r="W79" s="17"/>
      <c r="X79" s="17"/>
      <c r="Y79" s="17"/>
      <c r="Z79" s="17"/>
    </row>
    <row r="80">
      <c r="A80" s="333" t="s">
        <v>5559</v>
      </c>
      <c r="B80" s="161" t="s">
        <v>5560</v>
      </c>
      <c r="C80" s="346" t="s">
        <v>5561</v>
      </c>
      <c r="D80" s="185" t="s">
        <v>5562</v>
      </c>
      <c r="E80" s="333" t="s">
        <v>5563</v>
      </c>
      <c r="F80" s="161" t="s">
        <v>5564</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trampa)")</f>
        <v>Regenera salud por segundo (objeto de trampa)</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5565</v>
      </c>
      <c r="R80" s="323" t="s">
        <v>5566</v>
      </c>
      <c r="S80" s="17"/>
      <c r="T80" s="17"/>
      <c r="U80" s="17"/>
      <c r="V80" s="17"/>
      <c r="W80" s="17"/>
      <c r="X80" s="17"/>
      <c r="Y80" s="17"/>
      <c r="Z80" s="17"/>
    </row>
    <row r="81">
      <c r="A81" s="333" t="s">
        <v>5567</v>
      </c>
      <c r="B81" s="161" t="s">
        <v>5568</v>
      </c>
      <c r="C81" s="346" t="s">
        <v>5569</v>
      </c>
      <c r="D81" s="185" t="s">
        <v>5570</v>
      </c>
      <c r="E81" s="333" t="s">
        <v>5571</v>
      </c>
      <c r="F81" s="161" t="s">
        <v>5572</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5573</v>
      </c>
      <c r="R81" s="323" t="s">
        <v>5574</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5575</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5576</v>
      </c>
      <c r="S1" s="300"/>
      <c r="T1" s="300"/>
      <c r="U1" s="300"/>
      <c r="V1" s="300"/>
    </row>
    <row r="2">
      <c r="A2" s="328" t="s">
        <v>5577</v>
      </c>
      <c r="B2" s="72" t="s">
        <v>5578</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 la propiedad")</f>
        <v>Nombre de la propiedad</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5579</v>
      </c>
      <c r="P2" s="72" t="s">
        <v>5580</v>
      </c>
      <c r="Q2" s="359" t="s">
        <v>5581</v>
      </c>
      <c r="R2" s="360" t="s">
        <v>5582</v>
      </c>
      <c r="S2" s="361"/>
      <c r="T2" s="361"/>
      <c r="U2" s="361"/>
      <c r="V2" s="361"/>
    </row>
    <row r="3">
      <c r="A3" s="333" t="s">
        <v>5583</v>
      </c>
      <c r="B3" s="161" t="s">
        <v>5584</v>
      </c>
      <c r="C3" s="333" t="s">
        <v>5585</v>
      </c>
      <c r="D3" s="161" t="s">
        <v>5586</v>
      </c>
      <c r="E3" s="333" t="s">
        <v>5587</v>
      </c>
      <c r="F3" s="161" t="s">
        <v>5588</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5" t="str">
        <f>IFERROR(__xludf.DUMMYFUNCTION("GOOGLETRANSLATE(A3,""zh-tw"",""KO"")"),"맛있는 우유")</f>
        <v>맛있는 우유</v>
      </c>
      <c r="L3" s="161" t="s">
        <v>5589</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5590</v>
      </c>
      <c r="P3" s="161" t="s">
        <v>5591</v>
      </c>
      <c r="Q3" s="340" t="s">
        <v>5592</v>
      </c>
      <c r="R3" s="164" t="s">
        <v>5593</v>
      </c>
      <c r="S3" s="17"/>
      <c r="T3" s="17"/>
      <c r="U3" s="17"/>
      <c r="V3" s="17"/>
    </row>
    <row r="4">
      <c r="A4" s="333" t="s">
        <v>5594</v>
      </c>
      <c r="B4" s="161" t="s">
        <v>5595</v>
      </c>
      <c r="C4" s="333" t="s">
        <v>5596</v>
      </c>
      <c r="D4" s="161" t="s">
        <v>5597</v>
      </c>
      <c r="E4" s="333" t="s">
        <v>5598</v>
      </c>
      <c r="F4" s="161" t="s">
        <v>5599</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de resistencia y elimina el estado anormal.")</f>
        <v>Restaura 75 de resistencia y elimina el estado anormal.</v>
      </c>
      <c r="K4" s="335" t="str">
        <f>IFERROR(__xludf.DUMMYFUNCTION("GOOGLETRANSLATE(A4,""zh-tw"",""KO"")"),"당근 우유")</f>
        <v>당근 우유</v>
      </c>
      <c r="L4" s="161" t="s">
        <v>5600</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5601</v>
      </c>
      <c r="P4" s="161" t="s">
        <v>5602</v>
      </c>
      <c r="Q4" s="340" t="s">
        <v>5603</v>
      </c>
      <c r="R4" s="164" t="s">
        <v>5604</v>
      </c>
      <c r="S4" s="17"/>
      <c r="T4" s="17"/>
      <c r="U4" s="17"/>
      <c r="V4" s="17"/>
    </row>
    <row r="5">
      <c r="A5" s="333" t="s">
        <v>5605</v>
      </c>
      <c r="B5" s="161" t="s">
        <v>5606</v>
      </c>
      <c r="C5" s="333" t="s">
        <v>5607</v>
      </c>
      <c r="D5" s="161" t="s">
        <v>5608</v>
      </c>
      <c r="E5" s="333" t="s">
        <v>5609</v>
      </c>
      <c r="F5" s="161" t="s">
        <v>5610</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3" t="s">
        <v>5611</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5612</v>
      </c>
      <c r="P5" s="161" t="s">
        <v>5613</v>
      </c>
      <c r="Q5" s="340" t="s">
        <v>5614</v>
      </c>
      <c r="R5" s="164" t="s">
        <v>5615</v>
      </c>
      <c r="S5" s="17"/>
      <c r="T5" s="17"/>
      <c r="U5" s="17"/>
      <c r="V5" s="17"/>
    </row>
    <row r="6">
      <c r="A6" s="333" t="s">
        <v>5616</v>
      </c>
      <c r="B6" s="161" t="s">
        <v>5617</v>
      </c>
      <c r="C6" s="333" t="s">
        <v>5618</v>
      </c>
      <c r="D6" s="161" t="s">
        <v>5619</v>
      </c>
      <c r="E6" s="333" t="s">
        <v>5620</v>
      </c>
      <c r="F6" s="161" t="s">
        <v>5621</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puntos de resistencia y aumenta el poder mágico en un 50%.")</f>
        <v>Restaura 75 puntos de resistencia y aumenta el poder mágico en un 50%.</v>
      </c>
      <c r="K6" s="333" t="s">
        <v>5622</v>
      </c>
      <c r="L6" s="162" t="str">
        <f>IFERROR(__xludf.DUMMYFUNCTION("GOOGLETRANSLATE(B6,""zh-tw"",""KO"")"),"체력을 75 회복하고 마법력을 50% 증가시킵니다.")</f>
        <v>체력을 75 회복하고 마법력을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3" t="s">
        <v>5623</v>
      </c>
      <c r="P6" s="161" t="s">
        <v>5624</v>
      </c>
      <c r="Q6" s="340" t="s">
        <v>5625</v>
      </c>
      <c r="R6" s="164" t="s">
        <v>5626</v>
      </c>
      <c r="S6" s="17"/>
      <c r="T6" s="17"/>
      <c r="U6" s="17"/>
      <c r="V6" s="17"/>
    </row>
    <row r="7">
      <c r="A7" s="333" t="s">
        <v>5627</v>
      </c>
      <c r="B7" s="161" t="s">
        <v>5628</v>
      </c>
      <c r="C7" s="333" t="s">
        <v>5629</v>
      </c>
      <c r="D7" s="161" t="s">
        <v>5630</v>
      </c>
      <c r="E7" s="333" t="s">
        <v>5631</v>
      </c>
      <c r="F7" s="161" t="s">
        <v>5632</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puntos de resistencia y aumenta la velocidad de movimiento.")</f>
        <v>Restaura 75 puntos de resistencia y aumenta la velocidad de movimiento.</v>
      </c>
      <c r="K7" s="335" t="str">
        <f>IFERROR(__xludf.DUMMYFUNCTION("GOOGLETRANSLATE(A7,""zh-tw"",""KO"")"),"바나나맛 우유")</f>
        <v>바나나맛 우유</v>
      </c>
      <c r="L7" s="161" t="s">
        <v>5633</v>
      </c>
      <c r="M7" s="335" t="str">
        <f>IFERROR(__xludf.DUMMYFUNCTION("GOOGLETRANSLATE(A7,""zh-tw"",""ru"")"),"Банановое молоко")</f>
        <v>Банановое молоко</v>
      </c>
      <c r="N7" s="162"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3" t="s">
        <v>5634</v>
      </c>
      <c r="P7" s="161" t="s">
        <v>5635</v>
      </c>
      <c r="Q7" s="340" t="s">
        <v>5636</v>
      </c>
      <c r="R7" s="164" t="s">
        <v>5637</v>
      </c>
      <c r="S7" s="17"/>
      <c r="T7" s="17"/>
      <c r="U7" s="17"/>
      <c r="V7" s="17"/>
    </row>
    <row r="8">
      <c r="A8" s="333" t="s">
        <v>5638</v>
      </c>
      <c r="B8" s="161" t="s">
        <v>5639</v>
      </c>
      <c r="C8" s="333" t="s">
        <v>5640</v>
      </c>
      <c r="D8" s="161" t="s">
        <v>5641</v>
      </c>
      <c r="E8" s="333" t="s">
        <v>5642</v>
      </c>
      <c r="F8" s="161" t="s">
        <v>5643</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puntos de resistencia y otorga invulnerabilidad.
(Aún no implementado)")</f>
        <v>Restaura 78 puntos de resistencia y otorga invulnerabilidad.
(Aún no implementado)</v>
      </c>
      <c r="K8" s="333" t="s">
        <v>5644</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5645</v>
      </c>
      <c r="P8" s="161" t="s">
        <v>5646</v>
      </c>
      <c r="Q8" s="340" t="s">
        <v>5647</v>
      </c>
      <c r="R8" s="164" t="s">
        <v>5648</v>
      </c>
      <c r="S8" s="17"/>
      <c r="T8" s="17"/>
      <c r="U8" s="17"/>
      <c r="V8" s="17"/>
    </row>
    <row r="9">
      <c r="A9" s="333" t="s">
        <v>5649</v>
      </c>
      <c r="B9" s="161" t="s">
        <v>5650</v>
      </c>
      <c r="C9" s="333" t="s">
        <v>5651</v>
      </c>
      <c r="D9" s="161" t="s">
        <v>5652</v>
      </c>
      <c r="E9" s="333" t="s">
        <v>5653</v>
      </c>
      <c r="F9" s="161" t="s">
        <v>5654</v>
      </c>
      <c r="G9" s="333" t="str">
        <f>IFERROR(__xludf.DUMMYFUNCTION("GOOGLETRANSLATE(A9,""zh-tw"",""zh"")"),"逆流可乐")</f>
        <v>逆流可乐</v>
      </c>
      <c r="H9" s="161" t="str">
        <f>IFERROR(__xludf.DUMMYFUNCTION("GOOGLETRANSLATE(B9,""zh-tw"",""zh"")"),"(战斗效果未实装)")</f>
        <v>(战斗效果未实装)</v>
      </c>
      <c r="I9" s="333" t="s">
        <v>5653</v>
      </c>
      <c r="J9" s="162" t="str">
        <f>IFERROR(__xludf.DUMMYFUNCTION("GOOGLETRANSLATE(B9,""zh-tw"",""es-MX"")"),"(Efectos de combate aún no implementados)")</f>
        <v>(Efectos de combate aún no implementados)</v>
      </c>
      <c r="K9" s="333" t="s">
        <v>5655</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5653</v>
      </c>
      <c r="P9" s="161" t="s">
        <v>5656</v>
      </c>
      <c r="Q9" s="340" t="s">
        <v>5653</v>
      </c>
      <c r="R9" s="164" t="s">
        <v>5657</v>
      </c>
      <c r="S9" s="17"/>
      <c r="T9" s="17"/>
      <c r="U9" s="17"/>
      <c r="V9" s="17"/>
    </row>
    <row r="10">
      <c r="A10" s="333" t="s">
        <v>5658</v>
      </c>
      <c r="B10" s="161" t="s">
        <v>5659</v>
      </c>
      <c r="C10" s="333" t="s">
        <v>5660</v>
      </c>
      <c r="D10" s="161" t="s">
        <v>5661</v>
      </c>
      <c r="E10" s="333" t="s">
        <v>5662</v>
      </c>
      <c r="F10" s="161" t="s">
        <v>5663</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3" t="s">
        <v>5664</v>
      </c>
      <c r="L10" s="161" t="s">
        <v>5665</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5666</v>
      </c>
      <c r="P10" s="161" t="s">
        <v>5667</v>
      </c>
      <c r="Q10" s="340" t="s">
        <v>5668</v>
      </c>
      <c r="R10" s="164" t="s">
        <v>5669</v>
      </c>
      <c r="S10" s="17"/>
      <c r="T10" s="17"/>
      <c r="U10" s="17"/>
      <c r="V10" s="17"/>
    </row>
    <row r="11">
      <c r="A11" s="333" t="s">
        <v>5670</v>
      </c>
      <c r="B11" s="161" t="s">
        <v>5671</v>
      </c>
      <c r="C11" s="333" t="s">
        <v>5672</v>
      </c>
      <c r="D11" s="161" t="s">
        <v>5673</v>
      </c>
      <c r="E11" s="333" t="s">
        <v>5674</v>
      </c>
      <c r="F11" s="161" t="s">
        <v>5675</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3" t="s">
        <v>5676</v>
      </c>
      <c r="L11" s="161" t="s">
        <v>5677</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5678</v>
      </c>
      <c r="P11" s="161" t="s">
        <v>5679</v>
      </c>
      <c r="Q11" s="340" t="s">
        <v>5680</v>
      </c>
      <c r="R11" s="164" t="s">
        <v>5681</v>
      </c>
      <c r="S11" s="17"/>
      <c r="T11" s="17"/>
      <c r="U11" s="17"/>
      <c r="V11" s="17"/>
    </row>
    <row r="12">
      <c r="A12" s="333" t="s">
        <v>5682</v>
      </c>
      <c r="B12" s="161" t="s">
        <v>5683</v>
      </c>
      <c r="C12" s="333" t="s">
        <v>5684</v>
      </c>
      <c r="D12" s="161" t="s">
        <v>593</v>
      </c>
      <c r="E12" s="333" t="s">
        <v>5685</v>
      </c>
      <c r="F12" s="161" t="s">
        <v>5686</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5687</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5688</v>
      </c>
      <c r="P12" s="161" t="s">
        <v>2480</v>
      </c>
      <c r="Q12" s="340" t="s">
        <v>5689</v>
      </c>
      <c r="R12" s="164" t="s">
        <v>5690</v>
      </c>
      <c r="S12" s="17"/>
      <c r="T12" s="17"/>
      <c r="U12" s="17"/>
      <c r="V12" s="17"/>
    </row>
    <row r="13">
      <c r="A13" s="333" t="s">
        <v>5691</v>
      </c>
      <c r="B13" s="161" t="s">
        <v>5692</v>
      </c>
      <c r="C13" s="333" t="s">
        <v>5693</v>
      </c>
      <c r="D13" s="161" t="s">
        <v>5694</v>
      </c>
      <c r="E13" s="333" t="s">
        <v>5695</v>
      </c>
      <c r="F13" s="161" t="s">
        <v>5696</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5" t="str">
        <f>IFERROR(__xludf.DUMMYFUNCTION("GOOGLETRANSLATE(A13,""zh-tw"",""KO"")"),"천상의 돌 조각들")</f>
        <v>천상의 돌 조각들</v>
      </c>
      <c r="L13" s="161" t="s">
        <v>5697</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5698</v>
      </c>
      <c r="P13" s="161" t="s">
        <v>5699</v>
      </c>
      <c r="Q13" s="340" t="s">
        <v>5700</v>
      </c>
      <c r="R13" s="186" t="s">
        <v>5701</v>
      </c>
      <c r="S13" s="17"/>
      <c r="T13" s="17"/>
      <c r="U13" s="17"/>
      <c r="V13" s="17"/>
    </row>
    <row r="14">
      <c r="A14" s="333" t="s">
        <v>5702</v>
      </c>
      <c r="B14" s="161" t="s">
        <v>5703</v>
      </c>
      <c r="C14" s="333" t="s">
        <v>5704</v>
      </c>
      <c r="D14" s="161" t="s">
        <v>5705</v>
      </c>
      <c r="E14" s="333" t="s">
        <v>5706</v>
      </c>
      <c r="F14" s="161" t="s">
        <v>5707</v>
      </c>
      <c r="G14" s="333" t="str">
        <f>IFERROR(__xludf.DUMMYFUNCTION("GOOGLETRANSLATE(A14,""zh-tw"",""zh"")"),"卢恩符文A")</f>
        <v>卢恩符文A</v>
      </c>
      <c r="H14" s="161" t="s">
        <v>5708</v>
      </c>
      <c r="I14" s="335" t="str">
        <f>IFERROR(__xludf.DUMMYFUNCTION("GOOGLETRANSLATE(A14,""zh-tw"",""es-MX"")"),"Runa A")</f>
        <v>Runa A</v>
      </c>
      <c r="J14" s="162" t="str">
        <f>IFERROR(__xludf.DUMMYFUNCTION("GOOGLETRANSLATE(B14,""zh-tw"",""es-MX"")"),"Deje constancia escrita")</f>
        <v>Deje constancia escrita</v>
      </c>
      <c r="K14" s="333" t="s">
        <v>5709</v>
      </c>
      <c r="L14" s="161" t="s">
        <v>5710</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5711</v>
      </c>
      <c r="P14" s="161" t="s">
        <v>5712</v>
      </c>
      <c r="Q14" s="354" t="s">
        <v>5713</v>
      </c>
      <c r="R14" s="164" t="s">
        <v>5714</v>
      </c>
      <c r="S14" s="17"/>
      <c r="T14" s="17"/>
      <c r="U14" s="17"/>
      <c r="V14" s="17"/>
    </row>
    <row r="15">
      <c r="A15" s="333" t="s">
        <v>5715</v>
      </c>
      <c r="B15" s="161" t="s">
        <v>5716</v>
      </c>
      <c r="C15" s="333" t="s">
        <v>5717</v>
      </c>
      <c r="D15" s="161" t="s">
        <v>5718</v>
      </c>
      <c r="E15" s="333" t="s">
        <v>5719</v>
      </c>
      <c r="F15" s="161" t="s">
        <v>5720</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IFERROR(__xludf.DUMMYFUNCTION("GOOGLETRANSLATE(B15,""zh-tw"",""es-MX"")"),"Después de lanzar, haz clic con el ratón en la posición de R para intercambiar.")</f>
        <v>Después de lanzar, haz clic con el ratón en la posición de R para intercambiar.</v>
      </c>
      <c r="K15" s="333" t="s">
        <v>5721</v>
      </c>
      <c r="L15" s="161" t="s">
        <v>5722</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5723</v>
      </c>
      <c r="P15" s="161" t="s">
        <v>5724</v>
      </c>
      <c r="Q15" s="354" t="s">
        <v>5725</v>
      </c>
      <c r="R15" s="164" t="s">
        <v>5726</v>
      </c>
      <c r="S15" s="17"/>
      <c r="T15" s="17"/>
      <c r="U15" s="17"/>
      <c r="V15" s="17"/>
    </row>
    <row r="16">
      <c r="A16" s="333" t="s">
        <v>5727</v>
      </c>
      <c r="B16" s="161" t="s">
        <v>5728</v>
      </c>
      <c r="C16" s="333" t="s">
        <v>5729</v>
      </c>
      <c r="D16" s="161" t="s">
        <v>5730</v>
      </c>
      <c r="E16" s="333" t="s">
        <v>5731</v>
      </c>
      <c r="F16" s="161" t="s">
        <v>5732</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IFERROR(__xludf.DUMMYFUNCTION("GOOGLETRANSLATE(B16,""zh-tw"",""es-MX"")"),"Tras lanzar, intercambie posiciones con el objetivo.")</f>
        <v>Tras lanzar, intercambie posiciones con el objetivo.</v>
      </c>
      <c r="K16" s="333" t="s">
        <v>5733</v>
      </c>
      <c r="L16" s="161" t="s">
        <v>5734</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5735</v>
      </c>
      <c r="P16" s="161" t="s">
        <v>5736</v>
      </c>
      <c r="Q16" s="354" t="s">
        <v>5737</v>
      </c>
      <c r="R16" s="164" t="s">
        <v>5738</v>
      </c>
      <c r="S16" s="17"/>
      <c r="T16" s="17"/>
      <c r="U16" s="17"/>
      <c r="V16" s="17"/>
    </row>
    <row r="17">
      <c r="A17" s="333" t="s">
        <v>5739</v>
      </c>
      <c r="B17" s="161" t="s">
        <v>5740</v>
      </c>
      <c r="C17" s="333" t="s">
        <v>5741</v>
      </c>
      <c r="D17" s="161" t="s">
        <v>5742</v>
      </c>
      <c r="E17" s="333" t="s">
        <v>5743</v>
      </c>
      <c r="F17" s="161" t="s">
        <v>5744</v>
      </c>
      <c r="G17" s="333" t="str">
        <f>IFERROR(__xludf.DUMMYFUNCTION("GOOGLETRANSLATE(A17,""zh-tw"",""zh"")"),"节制")</f>
        <v>节制</v>
      </c>
      <c r="H17" s="161" t="str">
        <f>IFERROR(__xludf.DUMMYFUNCTION("GOOGLETRANSLATE(B17,""zh-tw"",""zh"")"),"召唤扭蛋机")</f>
        <v>召唤扭蛋机</v>
      </c>
      <c r="I17" s="335" t="str">
        <f>IFERROR(__xludf.DUMMYFUNCTION("GOOGLETRANSLATE(A17,""zh-tw"",""es-MX"")"),"control")</f>
        <v>control</v>
      </c>
      <c r="J17" s="162" t="str">
        <f>IFERROR(__xludf.DUMMYFUNCTION("GOOGLETRANSLATE(B17,""zh-tw"",""es-MX"")"),"Máquina de invocación Gashapon")</f>
        <v>Máquina de invocación Gashapon</v>
      </c>
      <c r="K17" s="333" t="s">
        <v>5745</v>
      </c>
      <c r="L17" s="162" t="str">
        <f>IFERROR(__xludf.DUMMYFUNCTION("GOOGLETRANSLATE(B17,""zh-tw"",""KO"")"),"소환 가샤폰 머신")</f>
        <v>소환 가샤폰 머신</v>
      </c>
      <c r="M17" s="335" t="str">
        <f>IFERROR(__xludf.DUMMYFUNCTION("GOOGLETRANSLATE(A17,""zh-tw"",""ru"")"),"контроль")</f>
        <v>контроль</v>
      </c>
      <c r="N17" s="162" t="str">
        <f>IFERROR(__xludf.DUMMYFUNCTION("GOOGLETRANSLATE(B17,""zh-tw"",""ru"")"),"Вызов Гасяпон-машины")</f>
        <v>Вызов Гасяпон-машины</v>
      </c>
      <c r="O17" s="333" t="s">
        <v>5746</v>
      </c>
      <c r="P17" s="161" t="s">
        <v>5747</v>
      </c>
      <c r="Q17" s="340" t="s">
        <v>5743</v>
      </c>
      <c r="R17" s="164" t="s">
        <v>5748</v>
      </c>
      <c r="S17" s="17"/>
      <c r="T17" s="17"/>
      <c r="U17" s="17"/>
      <c r="V17" s="17"/>
    </row>
    <row r="18">
      <c r="A18" s="333" t="s">
        <v>5749</v>
      </c>
      <c r="B18" s="161" t="s">
        <v>5750</v>
      </c>
      <c r="C18" s="333" t="s">
        <v>5751</v>
      </c>
      <c r="D18" s="161" t="s">
        <v>5752</v>
      </c>
      <c r="E18" s="333" t="s">
        <v>5753</v>
      </c>
      <c r="F18" s="161" t="s">
        <v>5754</v>
      </c>
      <c r="G18" s="333" t="str">
        <f>IFERROR(__xludf.DUMMYFUNCTION("GOOGLETRANSLATE(A18,""zh-tw"",""zh"")"),"正义")</f>
        <v>正义</v>
      </c>
      <c r="H18" s="161" t="str">
        <f>IFERROR(__xludf.DUMMYFUNCTION("GOOGLETRANSLATE(B18,""zh-tw"",""zh"")"),"消除状态")</f>
        <v>消除状态</v>
      </c>
      <c r="I18" s="335" t="str">
        <f>IFERROR(__xludf.DUMMYFUNCTION("GOOGLETRANSLATE(A18,""zh-tw"",""es-MX"")"),"justicia")</f>
        <v>justicia</v>
      </c>
      <c r="J18" s="162" t="str">
        <f>IFERROR(__xludf.DUMMYFUNCTION("GOOGLETRANSLATE(B18,""zh-tw"",""es-MX"")"),"Eliminar estado")</f>
        <v>Eliminar estado</v>
      </c>
      <c r="K18" s="333" t="s">
        <v>5755</v>
      </c>
      <c r="L18" s="317" t="s">
        <v>5756</v>
      </c>
      <c r="M18" s="335" t="str">
        <f>IFERROR(__xludf.DUMMYFUNCTION("GOOGLETRANSLATE(A18,""zh-tw"",""ru"")"),"справедливость")</f>
        <v>справедливость</v>
      </c>
      <c r="N18" s="162" t="str">
        <f>IFERROR(__xludf.DUMMYFUNCTION("GOOGLETRANSLATE(B18,""zh-tw"",""ru"")"),"Устранить состояние")</f>
        <v>Устранить состояние</v>
      </c>
      <c r="O18" s="333" t="s">
        <v>5757</v>
      </c>
      <c r="P18" s="161" t="s">
        <v>5758</v>
      </c>
      <c r="Q18" s="340" t="s">
        <v>5753</v>
      </c>
      <c r="R18" s="164" t="s">
        <v>5754</v>
      </c>
      <c r="S18" s="17"/>
      <c r="T18" s="17"/>
      <c r="U18" s="17"/>
      <c r="V18" s="17"/>
    </row>
    <row r="19">
      <c r="A19" s="333" t="s">
        <v>5759</v>
      </c>
      <c r="B19" s="161" t="s">
        <v>5760</v>
      </c>
      <c r="C19" s="333" t="s">
        <v>5761</v>
      </c>
      <c r="D19" s="161" t="s">
        <v>5762</v>
      </c>
      <c r="E19" s="333" t="s">
        <v>5763</v>
      </c>
      <c r="F19" s="161" t="s">
        <v>5764</v>
      </c>
      <c r="G19" s="333" t="str">
        <f>IFERROR(__xludf.DUMMYFUNCTION("GOOGLETRANSLATE(A19,""zh-tw"",""zh"")"),"力")</f>
        <v>力</v>
      </c>
      <c r="H19" s="161" t="str">
        <f>IFERROR(__xludf.DUMMYFUNCTION("GOOGLETRANSLATE(B19,""zh-tw"",""zh"")"),"武器巨大化增强")</f>
        <v>武器巨大化增强</v>
      </c>
      <c r="I19" s="335" t="str">
        <f>IFERROR(__xludf.DUMMYFUNCTION("GOOGLETRANSLATE(A19,""zh-tw"",""es-MX"")"),"fuerza")</f>
        <v>fuerza</v>
      </c>
      <c r="J19" s="162" t="str">
        <f>IFERROR(__xludf.DUMMYFUNCTION("GOOGLETRANSLATE(B19,""zh-tw"",""es-MX"")"),"mejora del tamaño del arma")</f>
        <v>mejora del tamaño del arma</v>
      </c>
      <c r="K19" s="335" t="str">
        <f>IFERROR(__xludf.DUMMYFUNCTION("GOOGLETRANSLATE(A19,""zh-tw"",""KO"")"),"힘")</f>
        <v>힘</v>
      </c>
      <c r="L19" s="161" t="s">
        <v>5765</v>
      </c>
      <c r="M19" s="335" t="str">
        <f>IFERROR(__xludf.DUMMYFUNCTION("GOOGLETRANSLATE(A19,""zh-tw"",""ru"")"),"сила")</f>
        <v>сила</v>
      </c>
      <c r="N19" s="162" t="str">
        <f>IFERROR(__xludf.DUMMYFUNCTION("GOOGLETRANSLATE(B19,""zh-tw"",""ru"")"),"Улучшение увеличения оружия")</f>
        <v>Улучшение увеличения оружия</v>
      </c>
      <c r="O19" s="333" t="s">
        <v>5766</v>
      </c>
      <c r="P19" s="161" t="s">
        <v>5767</v>
      </c>
      <c r="Q19" s="340" t="s">
        <v>5763</v>
      </c>
      <c r="R19" s="164" t="s">
        <v>5768</v>
      </c>
      <c r="S19" s="17"/>
      <c r="T19" s="17"/>
      <c r="U19" s="17"/>
      <c r="V19" s="17"/>
    </row>
    <row r="20">
      <c r="A20" s="333" t="s">
        <v>5769</v>
      </c>
      <c r="B20" s="161" t="s">
        <v>5770</v>
      </c>
      <c r="C20" s="333" t="s">
        <v>5771</v>
      </c>
      <c r="D20" s="161" t="s">
        <v>5772</v>
      </c>
      <c r="E20" s="333" t="s">
        <v>5773</v>
      </c>
      <c r="F20" s="161" t="s">
        <v>5774</v>
      </c>
      <c r="G20" s="333" t="str">
        <f>IFERROR(__xludf.DUMMYFUNCTION("GOOGLETRANSLATE(A20,""zh-tw"",""zh"")"),"皇帝")</f>
        <v>皇帝</v>
      </c>
      <c r="H20" s="161" t="str">
        <f>IFERROR(__xludf.DUMMYFUNCTION("GOOGLETRANSLATE(B20,""zh-tw"",""zh"")"),"巨龙咆啸")</f>
        <v>巨龙咆啸</v>
      </c>
      <c r="I20" s="335" t="str">
        <f>IFERROR(__xludf.DUMMYFUNCTION("GOOGLETRANSLATE(A20,""zh-tw"",""es-MX"")"),"emperador")</f>
        <v>emperador</v>
      </c>
      <c r="J20" s="162" t="str">
        <f>IFERROR(__xludf.DUMMYFUNCTION("GOOGLETRANSLATE(B20,""zh-tw"",""es-MX"")"),"Rugido de dragón")</f>
        <v>Rugido de dragón</v>
      </c>
      <c r="K20" s="335" t="str">
        <f>IFERROR(__xludf.DUMMYFUNCTION("GOOGLETRANSLATE(A20,""zh-tw"",""KO"")"),"황제")</f>
        <v>황제</v>
      </c>
      <c r="L20" s="161" t="s">
        <v>5775</v>
      </c>
      <c r="M20" s="335" t="str">
        <f>IFERROR(__xludf.DUMMYFUNCTION("GOOGLETRANSLATE(A20,""zh-tw"",""ru"")"),"император")</f>
        <v>император</v>
      </c>
      <c r="N20" s="162" t="str">
        <f>IFERROR(__xludf.DUMMYFUNCTION("GOOGLETRANSLATE(B20,""zh-tw"",""ru"")"),"Рев Дракона")</f>
        <v>Рев Дракона</v>
      </c>
      <c r="O20" s="333" t="s">
        <v>5776</v>
      </c>
      <c r="P20" s="161" t="s">
        <v>5777</v>
      </c>
      <c r="Q20" s="340" t="s">
        <v>5773</v>
      </c>
      <c r="R20" s="164" t="s">
        <v>5778</v>
      </c>
      <c r="S20" s="17"/>
      <c r="T20" s="17"/>
      <c r="U20" s="17"/>
      <c r="V20" s="17"/>
    </row>
    <row r="21">
      <c r="A21" s="333" t="s">
        <v>5779</v>
      </c>
      <c r="B21" s="161" t="s">
        <v>5780</v>
      </c>
      <c r="C21" s="333" t="str">
        <f>IFERROR(__xludf.DUMMYFUNCTION("GOOGLETRANSLATE(A21,""zh-tw"",""ja"")"),"星")</f>
        <v>星</v>
      </c>
      <c r="D21" s="161" t="s">
        <v>5781</v>
      </c>
      <c r="E21" s="333" t="s">
        <v>5782</v>
      </c>
      <c r="F21" s="161" t="s">
        <v>5783</v>
      </c>
      <c r="G21" s="333" t="str">
        <f>IFERROR(__xludf.DUMMYFUNCTION("GOOGLETRANSLATE(A21,""zh-tw"",""zh"")"),"星")</f>
        <v>星</v>
      </c>
      <c r="H21" s="161" t="str">
        <f>IFERROR(__xludf.DUMMYFUNCTION("GOOGLETRANSLATE(B21,""zh-tw"",""zh"")"),"星之门")</f>
        <v>星之门</v>
      </c>
      <c r="I21" s="335" t="str">
        <f>IFERROR(__xludf.DUMMYFUNCTION("GOOGLETRANSLATE(A21,""zh-tw"",""es-MX"")"),"estrella")</f>
        <v>estrella</v>
      </c>
      <c r="J21" s="162" t="str">
        <f>IFERROR(__xludf.DUMMYFUNCTION("GOOGLETRANSLATE(B21,""zh-tw"",""es-MX"")"),"Puerta Estelar")</f>
        <v>Puerta Estelar</v>
      </c>
      <c r="K21" s="335" t="str">
        <f>IFERROR(__xludf.DUMMYFUNCTION("GOOGLETRANSLATE(A21,""zh-tw"",""KO"")"),"별")</f>
        <v>별</v>
      </c>
      <c r="L21" s="161" t="s">
        <v>5784</v>
      </c>
      <c r="M21" s="335" t="str">
        <f>IFERROR(__xludf.DUMMYFUNCTION("GOOGLETRANSLATE(A21,""zh-tw"",""ru"")"),"звезда")</f>
        <v>звезда</v>
      </c>
      <c r="N21" s="162" t="str">
        <f>IFERROR(__xludf.DUMMYFUNCTION("GOOGLETRANSLATE(B21,""zh-tw"",""ru"")"),"Звездные Врата")</f>
        <v>Звездные Врата</v>
      </c>
      <c r="O21" s="333" t="s">
        <v>5785</v>
      </c>
      <c r="P21" s="161" t="s">
        <v>5786</v>
      </c>
      <c r="Q21" s="340" t="s">
        <v>5782</v>
      </c>
      <c r="R21" s="164" t="s">
        <v>5787</v>
      </c>
      <c r="S21" s="17"/>
      <c r="T21" s="17"/>
      <c r="U21" s="17"/>
      <c r="V21" s="17"/>
    </row>
    <row r="22">
      <c r="A22" s="333" t="s">
        <v>5788</v>
      </c>
      <c r="B22" s="161" t="s">
        <v>5789</v>
      </c>
      <c r="C22" s="333" t="s">
        <v>5790</v>
      </c>
      <c r="D22" s="161" t="s">
        <v>5791</v>
      </c>
      <c r="E22" s="333" t="s">
        <v>5792</v>
      </c>
      <c r="F22" s="161" t="s">
        <v>5793</v>
      </c>
      <c r="G22" s="333" t="str">
        <f>IFERROR(__xludf.DUMMYFUNCTION("GOOGLETRANSLATE(A22,""zh-tw"",""zh"")"),"战车")</f>
        <v>战车</v>
      </c>
      <c r="H22" s="161" t="str">
        <f>IFERROR(__xludf.DUMMYFUNCTION("GOOGLETRANSLATE(B22,""zh-tw"",""zh"")"),"召唤猫娘商店车")</f>
        <v>召唤猫娘商店车</v>
      </c>
      <c r="I22" s="335" t="str">
        <f>IFERROR(__xludf.DUMMYFUNCTION("GOOGLETRANSLATE(A22,""zh-tw"",""es-MX"")"),"tanque")</f>
        <v>tanque</v>
      </c>
      <c r="J22" s="162" t="str">
        <f>IFERROR(__xludf.DUMMYFUNCTION("GOOGLETRANSLATE(B22,""zh-tw"",""es-MX"")"),"Carrito de la tienda de la chica gato invocable")</f>
        <v>Carrito de la tienda de la chica gato invocable</v>
      </c>
      <c r="K22" s="333" t="s">
        <v>5794</v>
      </c>
      <c r="L22" s="162" t="str">
        <f>IFERROR(__xludf.DUMMYFUNCTION("GOOGLETRANSLATE(B22,""zh-tw"",""KO"")"),"고양이 소녀 상점 카트 소환")</f>
        <v>고양이 소녀 상점 카트 소환</v>
      </c>
      <c r="M22" s="335" t="str">
        <f>IFERROR(__xludf.DUMMYFUNCTION("GOOGLETRANSLATE(A22,""zh-tw"",""ru"")"),"танк")</f>
        <v>танк</v>
      </c>
      <c r="N22" s="162" t="str">
        <f>IFERROR(__xludf.DUMMYFUNCTION("GOOGLETRANSLATE(B22,""zh-tw"",""ru"")"),"Корзина магазина «Призыв девушки-кошки»")</f>
        <v>Корзина магазина «Призыв девушки-кошки»</v>
      </c>
      <c r="O22" s="333" t="s">
        <v>5795</v>
      </c>
      <c r="P22" s="161" t="s">
        <v>5796</v>
      </c>
      <c r="Q22" s="340" t="s">
        <v>5792</v>
      </c>
      <c r="R22" s="164" t="s">
        <v>5797</v>
      </c>
      <c r="S22" s="17"/>
      <c r="T22" s="17"/>
      <c r="U22" s="17"/>
      <c r="V22" s="17"/>
    </row>
    <row r="23">
      <c r="A23" s="333" t="s">
        <v>5798</v>
      </c>
      <c r="B23" s="161" t="s">
        <v>5799</v>
      </c>
      <c r="C23" s="333" t="s">
        <v>5800</v>
      </c>
      <c r="D23" s="161" t="s">
        <v>5801</v>
      </c>
      <c r="E23" s="333" t="s">
        <v>5802</v>
      </c>
      <c r="F23" s="161" t="s">
        <v>5803</v>
      </c>
      <c r="G23" s="333" t="str">
        <f>IFERROR(__xludf.DUMMYFUNCTION("GOOGLETRANSLATE(A23,""zh-tw"",""zh"")"),"女祭司")</f>
        <v>女祭司</v>
      </c>
      <c r="H23" s="161" t="str">
        <f>IFERROR(__xludf.DUMMYFUNCTION("GOOGLETRANSLATE(B23,""zh-tw"",""zh"")"),"召唤教堂")</f>
        <v>召唤教堂</v>
      </c>
      <c r="I23" s="335" t="str">
        <f>IFERROR(__xludf.DUMMYFUNCTION("GOOGLETRANSLATE(A23,""zh-tw"",""es-MX"")"),"Sacerdotisa")</f>
        <v>Sacerdotisa</v>
      </c>
      <c r="J23" s="162" t="str">
        <f>IFERROR(__xludf.DUMMYFUNCTION("GOOGLETRANSLATE(B23,""zh-tw"",""es-MX"")"),"Iglesia de la Convocatoria")</f>
        <v>Iglesia de la Convocatoria</v>
      </c>
      <c r="K23" s="333" t="s">
        <v>5804</v>
      </c>
      <c r="L23" s="161" t="s">
        <v>5805</v>
      </c>
      <c r="M23" s="335" t="str">
        <f>IFERROR(__xludf.DUMMYFUNCTION("GOOGLETRANSLATE(A23,""zh-tw"",""ru"")"),"Жрица")</f>
        <v>Жрица</v>
      </c>
      <c r="N23" s="162" t="str">
        <f>IFERROR(__xludf.DUMMYFUNCTION("GOOGLETRANSLATE(B23,""zh-tw"",""ru"")"),"Церковь призыва")</f>
        <v>Церковь призыва</v>
      </c>
      <c r="O23" s="333" t="s">
        <v>5806</v>
      </c>
      <c r="P23" s="161" t="s">
        <v>5807</v>
      </c>
      <c r="Q23" s="340" t="s">
        <v>5802</v>
      </c>
      <c r="R23" s="164" t="s">
        <v>5808</v>
      </c>
      <c r="S23" s="17"/>
      <c r="T23" s="17"/>
      <c r="U23" s="17"/>
      <c r="V23" s="17"/>
    </row>
    <row r="24">
      <c r="A24" s="333" t="s">
        <v>5809</v>
      </c>
      <c r="B24" s="161" t="s">
        <v>5810</v>
      </c>
      <c r="C24" s="333" t="s">
        <v>5811</v>
      </c>
      <c r="D24" s="161" t="s">
        <v>5812</v>
      </c>
      <c r="E24" s="333" t="s">
        <v>5813</v>
      </c>
      <c r="F24" s="161" t="s">
        <v>5814</v>
      </c>
      <c r="G24" s="333" t="str">
        <f>IFERROR(__xludf.DUMMYFUNCTION("GOOGLETRANSLATE(A24,""zh-tw"",""zh"")"),"命运之轮")</f>
        <v>命运之轮</v>
      </c>
      <c r="H24" s="161" t="str">
        <f>IFERROR(__xludf.DUMMYFUNCTION("GOOGLETRANSLATE(B24,""zh-tw"",""zh"")"),"随机BUFF效果")</f>
        <v>随机BUFF效果</v>
      </c>
      <c r="I24" s="335" t="str">
        <f>IFERROR(__xludf.DUMMYFUNCTION("GOOGLETRANSLATE(A24,""zh-tw"",""es-MX"")"),"La rueda de la fortuna")</f>
        <v>La rueda de la fortuna</v>
      </c>
      <c r="J24" s="162" t="str">
        <f>IFERROR(__xludf.DUMMYFUNCTION("GOOGLETRANSLATE(B24,""zh-tw"",""es-MX"")"),"efectos de mejora aleatorios")</f>
        <v>efectos de mejora aleatorios</v>
      </c>
      <c r="K24" s="333" t="s">
        <v>5815</v>
      </c>
      <c r="L24" s="161" t="s">
        <v>5816</v>
      </c>
      <c r="M24" s="335" t="str">
        <f>IFERROR(__xludf.DUMMYFUNCTION("GOOGLETRANSLATE(A24,""zh-tw"",""ru"")"),"Колесо Фортуны")</f>
        <v>Колесо Фортуны</v>
      </c>
      <c r="N24" s="162" t="str">
        <f>IFERROR(__xludf.DUMMYFUNCTION("GOOGLETRANSLATE(B24,""zh-tw"",""ru"")"),"Случайные положительные эффекты")</f>
        <v>Случайные положительные эффекты</v>
      </c>
      <c r="O24" s="333" t="s">
        <v>5817</v>
      </c>
      <c r="P24" s="161" t="s">
        <v>5818</v>
      </c>
      <c r="Q24" s="340" t="s">
        <v>5813</v>
      </c>
      <c r="R24" s="164" t="s">
        <v>5819</v>
      </c>
      <c r="S24" s="17"/>
      <c r="T24" s="17"/>
      <c r="U24" s="17"/>
      <c r="V24" s="17"/>
    </row>
    <row r="25">
      <c r="A25" s="333" t="s">
        <v>5820</v>
      </c>
      <c r="B25" s="161" t="s">
        <v>5821</v>
      </c>
      <c r="C25" s="333" t="s">
        <v>5822</v>
      </c>
      <c r="D25" s="161" t="s">
        <v>5823</v>
      </c>
      <c r="E25" s="333" t="s">
        <v>5824</v>
      </c>
      <c r="F25" s="161" t="s">
        <v>5825</v>
      </c>
      <c r="G25" s="333" t="str">
        <f>IFERROR(__xludf.DUMMYFUNCTION("GOOGLETRANSLATE(A25,""zh-tw"",""zh"")"),"世界")</f>
        <v>世界</v>
      </c>
      <c r="H25" s="161" t="str">
        <f>IFERROR(__xludf.DUMMYFUNCTION("GOOGLETRANSLATE(B25,""zh-tw"",""zh"")"),"重制场地")</f>
        <v>重制场地</v>
      </c>
      <c r="I25" s="335" t="str">
        <f>IFERROR(__xludf.DUMMYFUNCTION("GOOGLETRANSLATE(A25,""zh-tw"",""es-MX"")"),"mundo")</f>
        <v>mundo</v>
      </c>
      <c r="J25" s="162" t="str">
        <f>IFERROR(__xludf.DUMMYFUNCTION("GOOGLETRANSLATE(B25,""zh-tw"",""es-MX"")"),"Sitio de reconstrucción")</f>
        <v>Sitio de reconstrucción</v>
      </c>
      <c r="K25" s="335" t="str">
        <f>IFERROR(__xludf.DUMMYFUNCTION("GOOGLETRANSLATE(A25,""zh-tw"",""KO"")"),"세계")</f>
        <v>세계</v>
      </c>
      <c r="L25" s="161" t="s">
        <v>5826</v>
      </c>
      <c r="M25" s="335" t="str">
        <f>IFERROR(__xludf.DUMMYFUNCTION("GOOGLETRANSLATE(A25,""zh-tw"",""ru"")"),"мир")</f>
        <v>мир</v>
      </c>
      <c r="N25" s="162" t="str">
        <f>IFERROR(__xludf.DUMMYFUNCTION("GOOGLETRANSLATE(B25,""zh-tw"",""ru"")"),"Место реконструкции")</f>
        <v>Место реконструкции</v>
      </c>
      <c r="O25" s="333" t="s">
        <v>5827</v>
      </c>
      <c r="P25" s="161" t="s">
        <v>5828</v>
      </c>
      <c r="Q25" s="340" t="s">
        <v>5824</v>
      </c>
      <c r="R25" s="164" t="s">
        <v>5829</v>
      </c>
      <c r="S25" s="17"/>
      <c r="T25" s="17"/>
      <c r="U25" s="17"/>
      <c r="V25" s="17"/>
    </row>
    <row r="26">
      <c r="A26" s="333" t="s">
        <v>5830</v>
      </c>
      <c r="B26" s="161" t="s">
        <v>5831</v>
      </c>
      <c r="C26" s="346" t="s">
        <v>5832</v>
      </c>
      <c r="D26" s="347" t="str">
        <f>IFERROR(__xludf.DUMMYFUNCTION("GOOGLETRANSLATE(B26,""zh-tw"",""ja"")"),"一定時間内に1回復活することができます。")</f>
        <v>一定時間内に1回復活することができます。</v>
      </c>
      <c r="E26" s="333" t="s">
        <v>5833</v>
      </c>
      <c r="F26" s="161" t="s">
        <v>5834</v>
      </c>
      <c r="G26" s="333" t="str">
        <f>IFERROR(__xludf.DUMMYFUNCTION("GOOGLETRANSLATE(A26,""zh-tw"",""zh"")"),"日")</f>
        <v>日</v>
      </c>
      <c r="H26" s="161" t="str">
        <f>IFERROR(__xludf.DUMMYFUNCTION("GOOGLETRANSLATE(B26,""zh-tw"",""zh"")"),"一定时间内，可复活一次")</f>
        <v>一定时间内，可复活一次</v>
      </c>
      <c r="I26" s="335" t="str">
        <f>IFERROR(__xludf.DUMMYFUNCTION("GOOGLETRANSLATE(A26,""zh-tw"",""es-MX"")"),"día")</f>
        <v>día</v>
      </c>
      <c r="J26" s="162" t="str">
        <f>IFERROR(__xludf.DUMMYFUNCTION("GOOGLETRANSLATE(B26,""zh-tw"",""es-MX"")"),"Puedes revivir una vez dentro de un cierto período de tiempo.")</f>
        <v>Puedes revivir una vez dentro de un cierto período de tiempo.</v>
      </c>
      <c r="K26" s="362" t="s">
        <v>5835</v>
      </c>
      <c r="L26" s="161" t="s">
        <v>5836</v>
      </c>
      <c r="M26" s="335" t="str">
        <f>IFERROR(__xludf.DUMMYFUNCTION("GOOGLETRANSLATE(A26,""zh-tw"",""ru"")"),"день")</f>
        <v>день</v>
      </c>
      <c r="N26" s="162"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3" t="s">
        <v>5837</v>
      </c>
      <c r="P26" s="161" t="s">
        <v>5838</v>
      </c>
      <c r="Q26" s="340" t="s">
        <v>5833</v>
      </c>
      <c r="R26" s="164" t="s">
        <v>5839</v>
      </c>
      <c r="S26" s="17"/>
      <c r="T26" s="17"/>
      <c r="U26" s="17"/>
      <c r="V26" s="17"/>
    </row>
    <row r="27">
      <c r="A27" s="339" t="s">
        <v>5840</v>
      </c>
      <c r="B27" s="161" t="s">
        <v>5841</v>
      </c>
      <c r="C27" s="339" t="s">
        <v>5842</v>
      </c>
      <c r="D27" s="161" t="s">
        <v>5843</v>
      </c>
      <c r="E27" s="339" t="s">
        <v>5844</v>
      </c>
      <c r="F27" s="322" t="s">
        <v>5845</v>
      </c>
      <c r="G27" s="333" t="str">
        <f>IFERROR(__xludf.DUMMYFUNCTION("GOOGLETRANSLATE(A27,""zh-tw"",""zh"")"),"塔罗牌-死神")</f>
        <v>塔罗牌-死神</v>
      </c>
      <c r="H27" s="161"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5" t="str">
        <f>IFERROR(__xludf.DUMMYFUNCTION("GOOGLETRANSLATE(A27,""zh-tw"",""es-MX"")"),"Carta del Tarot - La Muerte")</f>
        <v>Carta del Tarot - La Muerte</v>
      </c>
      <c r="J27" s="162"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actualmen"&amp;"te efectos interactivos.")</f>
        <v>Ha aparecido el Demonio de la Muerte. Elimina a todas las criaturas.
(Ineficaz contra PNJs, objetos del mapa y objetos destructibles)
(Eficaz contra el Espantapájaros y el Carro de la Tienda de Asaba con dos puntos de vida)
Los PNJs no tienen actualmente efectos interactivos.</v>
      </c>
      <c r="K27" s="335" t="str">
        <f>IFERROR(__xludf.DUMMYFUNCTION("GOOGLETRANSLATE(A27,""zh-tw"",""KO"")"),"타로 카드 - 죽음")</f>
        <v>타로 카드 - 죽음</v>
      </c>
      <c r="L27" s="162"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5" t="str">
        <f>IFERROR(__xludf.DUMMYFUNCTION("GOOGLETRANSLATE(A27,""zh-tw"",""ru"")"),"Карта Таро - Смерть")</f>
        <v>Карта Таро - Смерть</v>
      </c>
      <c r="N27" s="162"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3" t="s">
        <v>5846</v>
      </c>
      <c r="P27" s="161" t="s">
        <v>5847</v>
      </c>
      <c r="Q27" s="340" t="s">
        <v>5844</v>
      </c>
      <c r="R27" s="164" t="s">
        <v>5848</v>
      </c>
      <c r="S27" s="17"/>
      <c r="T27" s="17"/>
      <c r="U27" s="17"/>
      <c r="V27" s="17"/>
    </row>
    <row r="28">
      <c r="A28" s="333" t="s">
        <v>5849</v>
      </c>
      <c r="B28" s="161" t="s">
        <v>5850</v>
      </c>
      <c r="C28" s="333" t="str">
        <f>IFERROR(__xludf.DUMMYFUNCTION("GOOGLETRANSLATE(A28,""zh-tw"",""ja"")"),"ジャック・ボム")</f>
        <v>ジャック・ボム</v>
      </c>
      <c r="D28" s="161" t="s">
        <v>5851</v>
      </c>
      <c r="E28" s="333" t="s">
        <v>5852</v>
      </c>
      <c r="F28" s="161" t="s">
        <v>5853</v>
      </c>
      <c r="G28" s="333" t="str">
        <f>IFERROR(__xludf.DUMMYFUNCTION("GOOGLETRANSLATE(A28,""zh-tw"",""zh"")"),"杰克爆弹")</f>
        <v>杰克爆弹</v>
      </c>
      <c r="H28" s="161" t="str">
        <f>IFERROR(__xludf.DUMMYFUNCTION("GOOGLETRANSLATE(B28,""zh-tw"",""zh"")"),"炸弹(无视防御)")</f>
        <v>炸弹(无视防御)</v>
      </c>
      <c r="I28" s="335" t="str">
        <f>IFERROR(__xludf.DUMMYFUNCTION("GOOGLETRANSLATE(A28,""zh-tw"",""es-MX"")"),"Bomba Jack")</f>
        <v>Bomba Jack</v>
      </c>
      <c r="J28" s="162" t="str">
        <f>IFERROR(__xludf.DUMMYFUNCTION("GOOGLETRANSLATE(B28,""zh-tw"",""es-MX"")"),"Bomba (ignora la defensa)")</f>
        <v>Bomba (ignora la defensa)</v>
      </c>
      <c r="K28" s="333" t="s">
        <v>5854</v>
      </c>
      <c r="L28" s="162" t="str">
        <f>IFERROR(__xludf.DUMMYFUNCTION("GOOGLETRANSLATE(B28,""zh-tw"",""KO"")"),"폭탄(방어 무시)")</f>
        <v>폭탄(방어 무시)</v>
      </c>
      <c r="M28" s="335" t="str">
        <f>IFERROR(__xludf.DUMMYFUNCTION("GOOGLETRANSLATE(A28,""zh-tw"",""ru"")"),"Джек Бомба")</f>
        <v>Джек Бомба</v>
      </c>
      <c r="N28" s="162" t="str">
        <f>IFERROR(__xludf.DUMMYFUNCTION("GOOGLETRANSLATE(B28,""zh-tw"",""ru"")"),"Бомба (игнорирует защиту)")</f>
        <v>Бомба (игнорирует защиту)</v>
      </c>
      <c r="O28" s="333" t="s">
        <v>5855</v>
      </c>
      <c r="P28" s="161" t="s">
        <v>5856</v>
      </c>
      <c r="Q28" s="340" t="s">
        <v>5852</v>
      </c>
      <c r="R28" s="164" t="s">
        <v>5857</v>
      </c>
      <c r="S28" s="17"/>
      <c r="T28" s="17"/>
      <c r="U28" s="17"/>
      <c r="V28" s="17"/>
    </row>
    <row r="29">
      <c r="A29" s="333" t="s">
        <v>5858</v>
      </c>
      <c r="B29" s="161" t="s">
        <v>5859</v>
      </c>
      <c r="C29" s="333" t="s">
        <v>5860</v>
      </c>
      <c r="D29" s="161" t="s">
        <v>5861</v>
      </c>
      <c r="E29" s="333" t="s">
        <v>5862</v>
      </c>
      <c r="F29" s="161" t="s">
        <v>5863</v>
      </c>
      <c r="G29" s="333" t="str">
        <f>IFERROR(__xludf.DUMMYFUNCTION("GOOGLETRANSLATE(A29,""zh-tw"",""zh"")"),"冰霜杰克爆弹")</f>
        <v>冰霜杰克爆弹</v>
      </c>
      <c r="H29" s="161" t="str">
        <f>IFERROR(__xludf.DUMMYFUNCTION("GOOGLETRANSLATE(B29,""zh-tw"",""zh"")"),"冰属性炸弹")</f>
        <v>冰属性炸弹</v>
      </c>
      <c r="I29" s="335" t="str">
        <f>IFERROR(__xludf.DUMMYFUNCTION("GOOGLETRANSLATE(A29,""zh-tw"",""es-MX"")"),"Bomba Frost Jack")</f>
        <v>Bomba Frost Jack</v>
      </c>
      <c r="J29" s="162" t="str">
        <f>IFERROR(__xludf.DUMMYFUNCTION("GOOGLETRANSLATE(B29,""zh-tw"",""es-MX"")"),"Bomba de hielo")</f>
        <v>Bomba de hielo</v>
      </c>
      <c r="K29" s="335" t="str">
        <f>IFERROR(__xludf.DUMMYFUNCTION("GOOGLETRANSLATE(A29,""zh-tw"",""KO"")"),"프로스트 잭 폭탄")</f>
        <v>프로스트 잭 폭탄</v>
      </c>
      <c r="L29" s="161" t="s">
        <v>5864</v>
      </c>
      <c r="M29" s="335" t="str">
        <f>IFERROR(__xludf.DUMMYFUNCTION("GOOGLETRANSLATE(A29,""zh-tw"",""ru"")"),"Фрост Джек Бомба")</f>
        <v>Фрост Джек Бомба</v>
      </c>
      <c r="N29" s="162" t="str">
        <f>IFERROR(__xludf.DUMMYFUNCTION("GOOGLETRANSLATE(B29,""zh-tw"",""ru"")"),"Ледяная бомба")</f>
        <v>Ледяная бомба</v>
      </c>
      <c r="O29" s="333" t="s">
        <v>5865</v>
      </c>
      <c r="P29" s="161" t="s">
        <v>5866</v>
      </c>
      <c r="Q29" s="340" t="s">
        <v>5862</v>
      </c>
      <c r="R29" s="164" t="s">
        <v>5867</v>
      </c>
      <c r="S29" s="17"/>
      <c r="T29" s="17"/>
      <c r="U29" s="17"/>
      <c r="V29" s="17"/>
    </row>
    <row r="30">
      <c r="A30" s="333" t="s">
        <v>5868</v>
      </c>
      <c r="B30" s="161" t="s">
        <v>5869</v>
      </c>
      <c r="C30" s="333" t="s">
        <v>5870</v>
      </c>
      <c r="D30" s="161" t="s">
        <v>5871</v>
      </c>
      <c r="E30" s="333" t="s">
        <v>5872</v>
      </c>
      <c r="F30" s="161" t="s">
        <v>5873</v>
      </c>
      <c r="G30" s="333" t="str">
        <f>IFERROR(__xludf.DUMMYFUNCTION("GOOGLETRANSLATE(A30,""zh-tw"",""zh"")"),"猛毒杰克爆弹")</f>
        <v>猛毒杰克爆弹</v>
      </c>
      <c r="H30" s="161" t="str">
        <f>IFERROR(__xludf.DUMMYFUNCTION("GOOGLETRANSLATE(B30,""zh-tw"",""zh"")"),"毒属性炸弹")</f>
        <v>毒属性炸弹</v>
      </c>
      <c r="I30" s="335" t="str">
        <f>IFERROR(__xludf.DUMMYFUNCTION("GOOGLETRANSLATE(A30,""zh-tw"",""es-MX"")"),"Bomba Venom Jack")</f>
        <v>Bomba Venom Jack</v>
      </c>
      <c r="J30" s="162" t="str">
        <f>IFERROR(__xludf.DUMMYFUNCTION("GOOGLETRANSLATE(B30,""zh-tw"",""es-MX"")"),"bomba venenosa")</f>
        <v>bomba venenosa</v>
      </c>
      <c r="K30" s="333" t="s">
        <v>5874</v>
      </c>
      <c r="L30" s="161" t="s">
        <v>5875</v>
      </c>
      <c r="M30" s="335" t="str">
        <f>IFERROR(__xludf.DUMMYFUNCTION("GOOGLETRANSLATE(A30,""zh-tw"",""ru"")"),"Веном Джек Бомба")</f>
        <v>Веном Джек Бомба</v>
      </c>
      <c r="N30" s="162" t="str">
        <f>IFERROR(__xludf.DUMMYFUNCTION("GOOGLETRANSLATE(B30,""zh-tw"",""ru"")"),"Ядовитая бомба")</f>
        <v>Ядовитая бомба</v>
      </c>
      <c r="O30" s="333" t="s">
        <v>5876</v>
      </c>
      <c r="P30" s="161" t="s">
        <v>5877</v>
      </c>
      <c r="Q30" s="340" t="s">
        <v>5872</v>
      </c>
      <c r="R30" s="164" t="s">
        <v>5878</v>
      </c>
      <c r="S30" s="17"/>
      <c r="T30" s="17"/>
      <c r="U30" s="17"/>
      <c r="V30" s="17"/>
    </row>
    <row r="31">
      <c r="A31" s="333" t="s">
        <v>5879</v>
      </c>
      <c r="B31" s="161" t="s">
        <v>5880</v>
      </c>
      <c r="C31" s="333" t="str">
        <f>IFERROR(__xludf.DUMMYFUNCTION("GOOGLETRANSLATE(A31,""zh-tw"",""ja"")"),"密封された時計")</f>
        <v>密封された時計</v>
      </c>
      <c r="D31" s="161" t="s">
        <v>5881</v>
      </c>
      <c r="E31" s="333" t="s">
        <v>5882</v>
      </c>
      <c r="F31" s="161" t="s">
        <v>5883</v>
      </c>
      <c r="G31" s="333" t="str">
        <f>IFERROR(__xludf.DUMMYFUNCTION("GOOGLETRANSLATE(A31,""zh-tw"",""zh"")"),"封存的时计")</f>
        <v>封存的时计</v>
      </c>
      <c r="H31" s="161" t="str">
        <f>IFERROR(__xludf.DUMMYFUNCTION("GOOGLETRANSLATE(B31,""zh-tw"",""zh"")"),"范围暂停")</f>
        <v>范围暂停</v>
      </c>
      <c r="I31" s="335" t="str">
        <f>IFERROR(__xludf.DUMMYFUNCTION("GOOGLETRANSLATE(A31,""zh-tw"",""es-MX"")"),"Relojes sellados")</f>
        <v>Relojes sellados</v>
      </c>
      <c r="J31" s="162" t="str">
        <f>IFERROR(__xludf.DUMMYFUNCTION("GOOGLETRANSLATE(B31,""zh-tw"",""es-MX"")"),"Pausa de rango")</f>
        <v>Pausa de rango</v>
      </c>
      <c r="K31" s="333" t="s">
        <v>5884</v>
      </c>
      <c r="L31" s="161" t="s">
        <v>5885</v>
      </c>
      <c r="M31" s="335" t="str">
        <f>IFERROR(__xludf.DUMMYFUNCTION("GOOGLETRANSLATE(A31,""zh-tw"",""ru"")"),"Герметичные часы")</f>
        <v>Герметичные часы</v>
      </c>
      <c r="N31" s="162" t="str">
        <f>IFERROR(__xludf.DUMMYFUNCTION("GOOGLETRANSLATE(B31,""zh-tw"",""ru"")"),"Пауза диапазона")</f>
        <v>Пауза диапазона</v>
      </c>
      <c r="O31" s="333" t="s">
        <v>5886</v>
      </c>
      <c r="P31" s="161" t="s">
        <v>5887</v>
      </c>
      <c r="Q31" s="340" t="s">
        <v>5888</v>
      </c>
      <c r="R31" s="164" t="s">
        <v>5889</v>
      </c>
      <c r="S31" s="17"/>
      <c r="T31" s="17"/>
      <c r="U31" s="17"/>
      <c r="V31" s="17"/>
    </row>
    <row r="32">
      <c r="A32" s="333" t="s">
        <v>5890</v>
      </c>
      <c r="B32" s="161" t="s">
        <v>5891</v>
      </c>
      <c r="C32" s="333" t="str">
        <f>IFERROR(__xludf.DUMMYFUNCTION("GOOGLETRANSLATE(A32,""zh-tw"",""ja"")"),"寿司プリン")</f>
        <v>寿司プリン</v>
      </c>
      <c r="D32" s="161" t="s">
        <v>5892</v>
      </c>
      <c r="E32" s="333" t="s">
        <v>5893</v>
      </c>
      <c r="F32" s="161" t="s">
        <v>5894</v>
      </c>
      <c r="G32" s="333" t="str">
        <f>IFERROR(__xludf.DUMMYFUNCTION("GOOGLETRANSLATE(A32,""zh-tw"",""zh"")"),"寿司布丁")</f>
        <v>寿司布丁</v>
      </c>
      <c r="H32" s="161" t="str">
        <f>IFERROR(__xludf.DUMMYFUNCTION("GOOGLETRANSLATE(B32,""zh-tw"",""zh"")"),"飞向恶魔商店的位置")</f>
        <v>飞向恶魔商店的位置</v>
      </c>
      <c r="I32" s="335" t="str">
        <f>IFERROR(__xludf.DUMMYFUNCTION("GOOGLETRANSLATE(A32,""zh-tw"",""es-MX"")"),"Pudín de sushi")</f>
        <v>Pudín de sushi</v>
      </c>
      <c r="J32" s="162" t="str">
        <f>IFERROR(__xludf.DUMMYFUNCTION("GOOGLETRANSLATE(B32,""zh-tw"",""es-MX"")"),"Vuela hasta la ubicación de la Tienda de Demonios")</f>
        <v>Vuela hasta la ubicación de la Tienda de Demonios</v>
      </c>
      <c r="K32" s="335" t="str">
        <f>IFERROR(__xludf.DUMMYFUNCTION("GOOGLETRANSLATE(A32,""zh-tw"",""KO"")"),"스시 푸딩")</f>
        <v>스시 푸딩</v>
      </c>
      <c r="L32" s="162" t="str">
        <f>IFERROR(__xludf.DUMMYFUNCTION("GOOGLETRANSLATE(B32,""zh-tw"",""KO"")"),"악마상점 위치로 날아가세요")</f>
        <v>악마상점 위치로 날아가세요</v>
      </c>
      <c r="M32" s="335" t="str">
        <f>IFERROR(__xludf.DUMMYFUNCTION("GOOGLETRANSLATE(A32,""zh-tw"",""ru"")"),"Суши-пудинг")</f>
        <v>Суши-пудинг</v>
      </c>
      <c r="N32" s="162" t="str">
        <f>IFERROR(__xludf.DUMMYFUNCTION("GOOGLETRANSLATE(B32,""zh-tw"",""ru"")"),"Летите к месту расположения Демонического Магазина.")</f>
        <v>Летите к месту расположения Демонического Магазина.</v>
      </c>
      <c r="O32" s="333" t="s">
        <v>5893</v>
      </c>
      <c r="P32" s="161" t="s">
        <v>5895</v>
      </c>
      <c r="Q32" s="340" t="s">
        <v>5893</v>
      </c>
      <c r="R32" s="164" t="s">
        <v>5896</v>
      </c>
      <c r="S32" s="17"/>
      <c r="T32" s="17"/>
      <c r="U32" s="17"/>
      <c r="V32" s="17"/>
    </row>
    <row r="33">
      <c r="A33" s="333" t="s">
        <v>5897</v>
      </c>
      <c r="B33" s="161" t="s">
        <v>5898</v>
      </c>
      <c r="C33" s="333" t="str">
        <f>IFERROR(__xludf.DUMMYFUNCTION("GOOGLETRANSLATE(A33,""zh-tw"",""ja"")"),"ポラロイド 1～35")</f>
        <v>ポラロイド 1～35</v>
      </c>
      <c r="D33" s="161" t="s">
        <v>5899</v>
      </c>
      <c r="E33" s="333" t="s">
        <v>5900</v>
      </c>
      <c r="F33" s="161" t="s">
        <v>5901</v>
      </c>
      <c r="G33" s="333" t="str">
        <f>IFERROR(__xludf.DUMMYFUNCTION("GOOGLETRANSLATE(A33,""zh-tw"",""zh"")"),"拍立得1~35")</f>
        <v>拍立得1~35</v>
      </c>
      <c r="H33" s="161" t="str">
        <f>IFERROR(__xludf.DUMMYFUNCTION("GOOGLETRANSLATE(B33,""zh-tw"",""zh"")"),"查看优质照片")</f>
        <v>查看优质照片</v>
      </c>
      <c r="I33" s="335" t="str">
        <f>IFERROR(__xludf.DUMMYFUNCTION("GOOGLETRANSLATE(A33,""zh-tw"",""es-MX"")"),"Polaroid 1~35")</f>
        <v>Polaroid 1~35</v>
      </c>
      <c r="J33" s="162" t="str">
        <f>IFERROR(__xludf.DUMMYFUNCTION("GOOGLETRANSLATE(B33,""zh-tw"",""es-MX"")"),"Ver fotos de alta calidad")</f>
        <v>Ver fotos de alta calidad</v>
      </c>
      <c r="K33" s="335" t="str">
        <f>IFERROR(__xludf.DUMMYFUNCTION("GOOGLETRANSLATE(A33,""zh-tw"",""KO"")"),"폴라로이드 1~35")</f>
        <v>폴라로이드 1~35</v>
      </c>
      <c r="L33" s="162" t="str">
        <f>IFERROR(__xludf.DUMMYFUNCTION("GOOGLETRANSLATE(B33,""zh-tw"",""KO"")"),"고품질 사진 보기")</f>
        <v>고품질 사진 보기</v>
      </c>
      <c r="M33" s="335" t="str">
        <f>IFERROR(__xludf.DUMMYFUNCTION("GOOGLETRANSLATE(A33,""zh-tw"",""ru"")"),"Полароид 1~35")</f>
        <v>Полароид 1~35</v>
      </c>
      <c r="N33" s="162" t="str">
        <f>IFERROR(__xludf.DUMMYFUNCTION("GOOGLETRANSLATE(B33,""zh-tw"",""ru"")"),"Посмотреть качественные фотографии")</f>
        <v>Посмотреть качественные фотографии</v>
      </c>
      <c r="O33" s="333" t="s">
        <v>5902</v>
      </c>
      <c r="P33" s="161" t="s">
        <v>5903</v>
      </c>
      <c r="Q33" s="340" t="s">
        <v>5900</v>
      </c>
      <c r="R33" s="164" t="s">
        <v>5904</v>
      </c>
      <c r="S33" s="17"/>
      <c r="T33" s="17"/>
      <c r="U33" s="17"/>
      <c r="V33" s="17"/>
    </row>
    <row r="34">
      <c r="A34" s="333" t="s">
        <v>5905</v>
      </c>
      <c r="B34" s="161" t="s">
        <v>5906</v>
      </c>
      <c r="C34" s="333" t="s">
        <v>5907</v>
      </c>
      <c r="D34" s="161" t="s">
        <v>5908</v>
      </c>
      <c r="E34" s="333" t="s">
        <v>5909</v>
      </c>
      <c r="F34" s="161" t="s">
        <v>5910</v>
      </c>
      <c r="G34" s="333" t="str">
        <f>IFERROR(__xludf.DUMMYFUNCTION("GOOGLETRANSLATE(A34,""zh-tw"",""zh"")"),"魔力小凝胶")</f>
        <v>魔力小凝胶</v>
      </c>
      <c r="H34" s="161" t="str">
        <f>IFERROR(__xludf.DUMMYFUNCTION("GOOGLETRANSLATE(B34,""zh-tw"",""zh"")"),"扩充格子")</f>
        <v>扩充格子</v>
      </c>
      <c r="I34" s="335" t="str">
        <f>IFERROR(__xludf.DUMMYFUNCTION("GOOGLETRANSLATE(A34,""zh-tw"",""es-MX"")"),"Gel mágico")</f>
        <v>Gel mágico</v>
      </c>
      <c r="J34" s="162" t="str">
        <f>IFERROR(__xludf.DUMMYFUNCTION("GOOGLETRANSLATE(B34,""zh-tw"",""es-MX"")"),"Expandir la cuadrícula")</f>
        <v>Expandir la cuadrícula</v>
      </c>
      <c r="K34" s="334" t="s">
        <v>5911</v>
      </c>
      <c r="L34" s="162" t="str">
        <f>IFERROR(__xludf.DUMMYFUNCTION("GOOGLETRANSLATE(B34,""zh-tw"",""KO"")"),"그리드 확장")</f>
        <v>그리드 확장</v>
      </c>
      <c r="M34" s="335" t="str">
        <f>IFERROR(__xludf.DUMMYFUNCTION("GOOGLETRANSLATE(A34,""zh-tw"",""ru"")"),"Волшебный гель")</f>
        <v>Волшебный гель</v>
      </c>
      <c r="N34" s="162" t="str">
        <f>IFERROR(__xludf.DUMMYFUNCTION("GOOGLETRANSLATE(B34,""zh-tw"",""ru"")"),"Развернуть сетку")</f>
        <v>Развернуть сетку</v>
      </c>
      <c r="O34" s="333" t="s">
        <v>5912</v>
      </c>
      <c r="P34" s="161" t="s">
        <v>5913</v>
      </c>
      <c r="Q34" s="340" t="s">
        <v>5914</v>
      </c>
      <c r="R34" s="164" t="s">
        <v>5915</v>
      </c>
      <c r="S34" s="17"/>
      <c r="T34" s="17"/>
      <c r="U34" s="17"/>
      <c r="V34" s="17"/>
    </row>
    <row r="35">
      <c r="A35" s="333" t="s">
        <v>5916</v>
      </c>
      <c r="B35" s="161" t="s">
        <v>5917</v>
      </c>
      <c r="C35" s="333" t="s">
        <v>5918</v>
      </c>
      <c r="D35" s="161" t="s">
        <v>5919</v>
      </c>
      <c r="E35" s="333" t="s">
        <v>5920</v>
      </c>
      <c r="F35" s="161" t="s">
        <v>5921</v>
      </c>
      <c r="G35" s="333" t="str">
        <f>IFERROR(__xludf.DUMMYFUNCTION("GOOGLETRANSLATE(A35,""zh-tw"",""zh"")"),"百合同人本")</f>
        <v>百合同人本</v>
      </c>
      <c r="H35" s="161" t="str">
        <f>IFERROR(__xludf.DUMMYFUNCTION("GOOGLETRANSLATE(B35,""zh-tw"",""zh"")"),"提升性欲
(战车商店贩售)")</f>
        <v>提升性欲
(战车商店贩售)</v>
      </c>
      <c r="I35" s="335" t="str">
        <f>IFERROR(__xludf.DUMMYFUNCTION("GOOGLETRANSLATE(A35,""zh-tw"",""es-MX"")"),"Baihehehehehe")</f>
        <v>Baihehehehehe</v>
      </c>
      <c r="J35" s="162" t="str">
        <f>IFERROR(__xludf.DUMMYFUNCTION("GOOGLETRANSLATE(B35,""zh-tw"",""es-MX"")"),"Aumenta la libido
(Disponible en la tienda Tank Shop)")</f>
        <v>Aumenta la libido
(Disponible en la tienda Tank Shop)</v>
      </c>
      <c r="K35" s="335" t="str">
        <f>IFERROR(__xludf.DUMMYFUNCTION("GOOGLETRANSLATE(A35,""zh-tw"",""KO"")"),"바이헤헤헤헤헤")</f>
        <v>바이헤헤헤헤헤</v>
      </c>
      <c r="L35" s="161" t="s">
        <v>5922</v>
      </c>
      <c r="M35" s="335" t="str">
        <f>IFERROR(__xludf.DUMMYFUNCTION("GOOGLETRANSLATE(A35,""zh-tw"",""ru"")"),"Байхехехехе")</f>
        <v>Байхехехехе</v>
      </c>
      <c r="N35" s="162" t="str">
        <f>IFERROR(__xludf.DUMMYFUNCTION("GOOGLETRANSLATE(B35,""zh-tw"",""ru"")"),"Повышает либидо
(Продаётся в магазине Tank Shop)")</f>
        <v>Повышает либидо
(Продаётся в магазине Tank Shop)</v>
      </c>
      <c r="O35" s="333" t="s">
        <v>5923</v>
      </c>
      <c r="P35" s="161" t="s">
        <v>5924</v>
      </c>
      <c r="Q35" s="340" t="s">
        <v>5925</v>
      </c>
      <c r="R35" s="164" t="s">
        <v>5926</v>
      </c>
      <c r="S35" s="17"/>
      <c r="T35" s="17"/>
      <c r="U35" s="17"/>
      <c r="V35" s="17"/>
    </row>
    <row r="36">
      <c r="A36" s="333" t="s">
        <v>5927</v>
      </c>
      <c r="B36" s="161" t="s">
        <v>5917</v>
      </c>
      <c r="C36" s="333" t="s">
        <v>5928</v>
      </c>
      <c r="D36" s="161" t="s">
        <v>5929</v>
      </c>
      <c r="E36" s="333" t="s">
        <v>5930</v>
      </c>
      <c r="F36" s="161" t="s">
        <v>5921</v>
      </c>
      <c r="G36" s="333" t="str">
        <f>IFERROR(__xludf.DUMMYFUNCTION("GOOGLETRANSLATE(A36,""zh-tw"",""zh"")"),"萌萌同人本")</f>
        <v>萌萌同人本</v>
      </c>
      <c r="H36" s="161" t="str">
        <f>IFERROR(__xludf.DUMMYFUNCTION("GOOGLETRANSLATE(B36,""zh-tw"",""zh"")"),"提升性欲
(战车商店贩售)")</f>
        <v>提升性欲
(战车商店贩售)</v>
      </c>
      <c r="I36" s="335" t="str">
        <f>IFERROR(__xludf.DUMMYFUNCTION("GOOGLETRANSLATE(A36,""zh-tw"",""es-MX"")"),"lindo doujinshi")</f>
        <v>lindo doujinshi</v>
      </c>
      <c r="J36" s="162" t="str">
        <f>IFERROR(__xludf.DUMMYFUNCTION("GOOGLETRANSLATE(B36,""zh-tw"",""es-MX"")"),"Aumenta la libido
(Disponible en la tienda Tank Shop)")</f>
        <v>Aumenta la libido
(Disponible en la tienda Tank Shop)</v>
      </c>
      <c r="K36" s="334" t="s">
        <v>5911</v>
      </c>
      <c r="L36" s="162" t="str">
        <f>IFERROR(__xludf.DUMMYFUNCTION("GOOGLETRANSLATE(B36,""zh-tw"",""KO"")"),"성욕 증진
(탱크샵에서 구매 가능)")</f>
        <v>성욕 증진
(탱크샵에서 구매 가능)</v>
      </c>
      <c r="M36" s="335" t="str">
        <f>IFERROR(__xludf.DUMMYFUNCTION("GOOGLETRANSLATE(A36,""zh-tw"",""ru"")"),"Милый додзинси")</f>
        <v>Милый додзинси</v>
      </c>
      <c r="N36" s="162" t="str">
        <f>IFERROR(__xludf.DUMMYFUNCTION("GOOGLETRANSLATE(B36,""zh-tw"",""ru"")"),"Повышает либидо
(Продаётся в магазине Tank Shop)")</f>
        <v>Повышает либидо
(Продаётся в магазине Tank Shop)</v>
      </c>
      <c r="O36" s="333" t="s">
        <v>5912</v>
      </c>
      <c r="P36" s="161" t="s">
        <v>5913</v>
      </c>
      <c r="Q36" s="340" t="s">
        <v>5931</v>
      </c>
      <c r="R36" s="164" t="s">
        <v>5926</v>
      </c>
      <c r="S36" s="17"/>
      <c r="T36" s="17"/>
      <c r="U36" s="17"/>
      <c r="V36" s="17"/>
    </row>
    <row r="37">
      <c r="A37" s="333" t="s">
        <v>5932</v>
      </c>
      <c r="B37" s="161" t="s">
        <v>5933</v>
      </c>
      <c r="C37" s="333" t="s">
        <v>5934</v>
      </c>
      <c r="D37" s="161" t="s">
        <v>5935</v>
      </c>
      <c r="E37" s="333" t="s">
        <v>5936</v>
      </c>
      <c r="F37" s="161" t="s">
        <v>5937</v>
      </c>
      <c r="G37" s="333" t="str">
        <f>IFERROR(__xludf.DUMMYFUNCTION("GOOGLETRANSLATE(A37,""zh-tw"",""zh"")"),"电风扇")</f>
        <v>电风扇</v>
      </c>
      <c r="H37" s="161" t="str">
        <f>IFERROR(__xludf.DUMMYFUNCTION("GOOGLETRANSLATE(B37,""zh-tw"",""zh"")"),"炎热剧情道具
(战车商店贩售)")</f>
        <v>炎热剧情道具
(战车商店贩售)</v>
      </c>
      <c r="I37" s="335" t="str">
        <f>IFERROR(__xludf.DUMMYFUNCTION("GOOGLETRANSLATE(A37,""zh-tw"",""es-MX"")"),"ventilador eléctrico")</f>
        <v>ventilador eléctrico</v>
      </c>
      <c r="J37" s="162" t="str">
        <f>IFERROR(__xludf.DUMMYFUNCTION("GOOGLETRANSLATE(B37,""zh-tw"",""es-MX"")"),"Artículos de la historia con temática de calor
(Se venden en la tienda de tanques)")</f>
        <v>Artículos de la historia con temática de calor
(Se venden en la tienda de tanques)</v>
      </c>
      <c r="K37" s="335" t="str">
        <f>IFERROR(__xludf.DUMMYFUNCTION("GOOGLETRANSLATE(A37,""zh-tw"",""KO"")"),"선풍기")</f>
        <v>선풍기</v>
      </c>
      <c r="L37" s="161" t="s">
        <v>5922</v>
      </c>
      <c r="M37" s="335" t="str">
        <f>IFERROR(__xludf.DUMMYFUNCTION("GOOGLETRANSLATE(A37,""zh-tw"",""ru"")"),"электрический вентилятор")</f>
        <v>электрический вентилятор</v>
      </c>
      <c r="N37" s="162"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3" t="s">
        <v>5923</v>
      </c>
      <c r="P37" s="161" t="s">
        <v>5924</v>
      </c>
      <c r="Q37" s="340" t="s">
        <v>5938</v>
      </c>
      <c r="R37" s="164" t="s">
        <v>5939</v>
      </c>
      <c r="S37" s="17"/>
      <c r="T37" s="17"/>
      <c r="U37" s="17"/>
      <c r="V37" s="17"/>
    </row>
    <row r="38">
      <c r="A38" s="339" t="s">
        <v>5940</v>
      </c>
      <c r="B38" s="162" t="s">
        <v>5941</v>
      </c>
      <c r="C38" s="335" t="s">
        <v>5942</v>
      </c>
      <c r="D38" s="162" t="s">
        <v>5943</v>
      </c>
      <c r="E38" s="335" t="s">
        <v>5944</v>
      </c>
      <c r="F38" s="162" t="s">
        <v>5945</v>
      </c>
      <c r="G38" s="333" t="str">
        <f>IFERROR(__xludf.DUMMYFUNCTION("GOOGLETRANSLATE(A38,""zh-tw"",""zh"")"),"茶点心券")</f>
        <v>茶点心券</v>
      </c>
      <c r="H38" s="161"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5" t="str">
        <f>IFERROR(__xludf.DUMMYFUNCTION("GOOGLETRANSLATE(A38,""zh-tw"",""es-MX"")"),"cupones para té y refrigerios")</f>
        <v>cupones para té y refrigerios</v>
      </c>
      <c r="J38" s="162"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5" t="str">
        <f>IFERROR(__xludf.DUMMYFUNCTION("GOOGLETRANSLATE(A38,""zh-tw"",""KO"")"),"차와 간식 쿠폰")</f>
        <v>차와 간식 쿠폰</v>
      </c>
      <c r="L38" s="162"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5" t="str">
        <f>IFERROR(__xludf.DUMMYFUNCTION("GOOGLETRANSLATE(A38,""zh-tw"",""ru"")"),"Купоны на чай и закуски")</f>
        <v>Купоны на чай и закуски</v>
      </c>
      <c r="N38" s="162"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3" t="s">
        <v>5946</v>
      </c>
      <c r="P38" s="161" t="s">
        <v>5947</v>
      </c>
      <c r="Q38" s="340" t="s">
        <v>5948</v>
      </c>
      <c r="R38" s="186" t="s">
        <v>5949</v>
      </c>
      <c r="S38" s="17"/>
      <c r="T38" s="17"/>
      <c r="U38" s="17"/>
      <c r="V38" s="17"/>
    </row>
    <row r="39">
      <c r="A39" s="333" t="s">
        <v>5950</v>
      </c>
      <c r="B39" s="161" t="s">
        <v>5951</v>
      </c>
      <c r="C39" s="333" t="s">
        <v>5952</v>
      </c>
      <c r="D39" s="161" t="s">
        <v>5953</v>
      </c>
      <c r="E39" s="333" t="s">
        <v>5954</v>
      </c>
      <c r="F39" s="161" t="s">
        <v>5955</v>
      </c>
      <c r="G39" s="333" t="str">
        <f>IFERROR(__xludf.DUMMYFUNCTION("GOOGLETRANSLATE(A39,""zh-tw"",""zh"")"),"超敏软Q水馒头")</f>
        <v>超敏软Q水馒头</v>
      </c>
      <c r="H39" s="161" t="str">
        <f>IFERROR(__xludf.DUMMYFUNCTION("GOOGLETRANSLATE(B39,""zh-tw"",""zh"")"),"于AKI商店购买
提升敏感度")</f>
        <v>于AKI商店购买
提升敏感度</v>
      </c>
      <c r="I39" s="335" t="str">
        <f>IFERROR(__xludf.DUMMYFUNCTION("GOOGLETRANSLATE(A39,""zh-tw"",""es-MX"")"),"Bollos al vapor súper suaves y masticables")</f>
        <v>Bollos al vapor súper suaves y masticables</v>
      </c>
      <c r="J39" s="162" t="str">
        <f>IFERROR(__xludf.DUMMYFUNCTION("GOOGLETRANSLATE(B39,""zh-tw"",""es-MX"")"),"Adquirido en AKI Store")</f>
        <v>Adquirido en AKI Store</v>
      </c>
      <c r="K39" s="335" t="str">
        <f>IFERROR(__xludf.DUMMYFUNCTION("GOOGLETRANSLATE(A39,""zh-tw"",""KO"")"),"초민감성 부드럽고 쫄깃한 찐빵")</f>
        <v>초민감성 부드럽고 쫄깃한 찐빵</v>
      </c>
      <c r="L39" s="162" t="str">
        <f>IFERROR(__xludf.DUMMYFUNCTION("GOOGLETRANSLATE(B39,""zh-tw"",""KO"")"),"AKI 스토어에서 구매
민감도 증가")</f>
        <v>AKI 스토어에서 구매
민감도 증가</v>
      </c>
      <c r="M39" s="335"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2" t="str">
        <f>IFERROR(__xludf.DUMMYFUNCTION("GOOGLETRANSLATE(B39,""zh-tw"",""ru"")"),"Куплено в магазине AKI
Повышает чувствительность")</f>
        <v>Куплено в магазине AKI
Повышает чувствительность</v>
      </c>
      <c r="O39" s="333" t="s">
        <v>5956</v>
      </c>
      <c r="P39" s="161" t="s">
        <v>5957</v>
      </c>
      <c r="Q39" s="340" t="s">
        <v>5958</v>
      </c>
      <c r="R39" s="164" t="s">
        <v>5959</v>
      </c>
      <c r="S39" s="17"/>
      <c r="T39" s="17"/>
      <c r="U39" s="17"/>
      <c r="V39" s="17"/>
    </row>
    <row r="40">
      <c r="A40" s="339" t="s">
        <v>5960</v>
      </c>
      <c r="B40" s="162" t="s">
        <v>5961</v>
      </c>
      <c r="C40" s="335" t="s">
        <v>5962</v>
      </c>
      <c r="D40" s="162" t="s">
        <v>5963</v>
      </c>
      <c r="E40" s="335" t="s">
        <v>5964</v>
      </c>
      <c r="F40" s="162" t="s">
        <v>5965</v>
      </c>
      <c r="G40" s="333" t="str">
        <f>IFERROR(__xludf.DUMMYFUNCTION("GOOGLETRANSLATE(A40,""zh-tw"",""zh"")"),"卢恩符文Kenaz")</f>
        <v>卢恩符文Kenaz</v>
      </c>
      <c r="H40" s="161" t="str">
        <f>IFERROR(__xludf.DUMMYFUNCTION("GOOGLETRANSLATE(B40,""zh-tw"",""zh"")"),"将目标变为炸弹
依照对方体型，影响爆炸范围")</f>
        <v>将目标变为炸弹
依照对方体型，影响爆炸范围</v>
      </c>
      <c r="I40" s="335" t="str">
        <f>IFERROR(__xludf.DUMMYFUNCTION("GOOGLETRANSLATE(A40,""zh-tw"",""es-MX"")"),"Runa Kenaz")</f>
        <v>Runa Kenaz</v>
      </c>
      <c r="J40" s="162" t="str">
        <f>IFERROR(__xludf.DUMMYFUNCTION("GOOGLETRANSLATE(B40,""zh-tw"",""es-MX"")"),"Convierte el objetivo en una bomba. Ajusta el radio de explosión según el tamaño del objetivo.")</f>
        <v>Convierte el objetivo en una bomba. Ajusta el radio de explosión según el tamaño del objetivo.</v>
      </c>
      <c r="K40" s="335" t="str">
        <f>IFERROR(__xludf.DUMMYFUNCTION("GOOGLETRANSLATE(A40,""zh-tw"",""KO"")"),"룬 케나즈")</f>
        <v>룬 케나즈</v>
      </c>
      <c r="L40" s="162" t="str">
        <f>IFERROR(__xludf.DUMMYFUNCTION("GOOGLETRANSLATE(B40,""zh-tw"",""KO"")"),"목표물을 폭탄으로 만듭니다. 목표물의 크기에 따라 폭발 반경을 조정하세요.")</f>
        <v>목표물을 폭탄으로 만듭니다. 목표물의 크기에 따라 폭발 반경을 조정하세요.</v>
      </c>
      <c r="M40" s="335" t="str">
        <f>IFERROR(__xludf.DUMMYFUNCTION("GOOGLETRANSLATE(A40,""zh-tw"",""ru"")"),"Руна Кеназ")</f>
        <v>Руна Кеназ</v>
      </c>
      <c r="N40" s="162"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5" t="s">
        <v>5964</v>
      </c>
      <c r="P40" s="162" t="s">
        <v>5965</v>
      </c>
      <c r="Q40" s="354" t="s">
        <v>5966</v>
      </c>
      <c r="R40" s="182" t="s">
        <v>5967</v>
      </c>
      <c r="S40" s="17"/>
      <c r="T40" s="17"/>
      <c r="U40" s="17"/>
      <c r="V40" s="17"/>
    </row>
    <row r="41">
      <c r="A41" s="333" t="s">
        <v>5968</v>
      </c>
      <c r="B41" s="161" t="s">
        <v>5969</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5970</v>
      </c>
      <c r="F41" s="161" t="s">
        <v>5971</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5972</v>
      </c>
      <c r="P41" s="317" t="s">
        <v>5973</v>
      </c>
      <c r="Q41" s="354" t="s">
        <v>5974</v>
      </c>
      <c r="R41" s="164" t="s">
        <v>5975</v>
      </c>
      <c r="S41" s="17"/>
      <c r="T41" s="17"/>
      <c r="U41" s="17"/>
      <c r="V41" s="17"/>
    </row>
    <row r="42">
      <c r="A42" s="333" t="s">
        <v>5976</v>
      </c>
      <c r="B42" s="161" t="s">
        <v>5969</v>
      </c>
      <c r="C42" s="333" t="s">
        <v>5977</v>
      </c>
      <c r="D42" s="161" t="s">
        <v>5978</v>
      </c>
      <c r="E42" s="333" t="s">
        <v>5979</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5980</v>
      </c>
      <c r="P42" s="161" t="s">
        <v>5981</v>
      </c>
      <c r="Q42" s="354" t="s">
        <v>5982</v>
      </c>
      <c r="R42" s="164" t="s">
        <v>3201</v>
      </c>
      <c r="S42" s="17"/>
      <c r="T42" s="17"/>
      <c r="U42" s="17"/>
      <c r="V42" s="17"/>
    </row>
    <row r="43">
      <c r="A43" s="339" t="s">
        <v>5983</v>
      </c>
      <c r="B43" s="162" t="s">
        <v>5984</v>
      </c>
      <c r="C43" s="333" t="s">
        <v>5985</v>
      </c>
      <c r="D43" s="161" t="s">
        <v>5986</v>
      </c>
      <c r="E43" s="333" t="s">
        <v>5987</v>
      </c>
      <c r="F43" s="161" t="s">
        <v>5988</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de Polaroid de Fiestas de Té")</f>
        <v>Colección de Polaroid de Fiestas de Té</v>
      </c>
      <c r="J43" s="162" t="str">
        <f>IFERROR(__xludf.DUMMYFUNCTION("GOOGLETRANSLATE(B43,""zh-tw"",""es-MX"")"),"Aumenta el valor de suerte al completarlo.")</f>
        <v>Aumenta el valor de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5989</v>
      </c>
      <c r="P43" s="161" t="s">
        <v>5990</v>
      </c>
      <c r="Q43" s="354" t="s">
        <v>5991</v>
      </c>
      <c r="R43" s="186" t="s">
        <v>5992</v>
      </c>
      <c r="S43" s="17"/>
      <c r="T43" s="17"/>
      <c r="U43" s="17"/>
      <c r="V43" s="17"/>
    </row>
    <row r="44">
      <c r="A44" s="333" t="s">
        <v>5993</v>
      </c>
      <c r="B44" s="161" t="s">
        <v>5994</v>
      </c>
      <c r="C44" s="333" t="s">
        <v>5995</v>
      </c>
      <c r="D44" s="161" t="s">
        <v>5996</v>
      </c>
      <c r="E44" s="333" t="s">
        <v>5997</v>
      </c>
      <c r="F44" s="161" t="s">
        <v>5998</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5997</v>
      </c>
      <c r="P44" s="186" t="s">
        <v>5999</v>
      </c>
      <c r="Q44" s="346" t="s">
        <v>5997</v>
      </c>
      <c r="R44" s="186" t="s">
        <v>6000</v>
      </c>
      <c r="S44" s="17"/>
      <c r="T44" s="17"/>
      <c r="U44" s="17"/>
      <c r="V44" s="17"/>
    </row>
    <row r="45">
      <c r="A45" s="333" t="s">
        <v>6001</v>
      </c>
      <c r="B45" s="161" t="s">
        <v>6002</v>
      </c>
      <c r="C45" s="333" t="s">
        <v>6003</v>
      </c>
      <c r="D45" s="161" t="s">
        <v>6004</v>
      </c>
      <c r="E45" s="333" t="s">
        <v>6005</v>
      </c>
      <c r="F45" s="161" t="s">
        <v>6006</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6007</v>
      </c>
      <c r="P45" s="186" t="s">
        <v>6008</v>
      </c>
      <c r="Q45" s="346" t="s">
        <v>6009</v>
      </c>
      <c r="R45" s="186" t="s">
        <v>6010</v>
      </c>
      <c r="S45" s="17"/>
      <c r="T45" s="17"/>
      <c r="U45" s="17"/>
      <c r="V45" s="17"/>
    </row>
    <row r="46">
      <c r="A46" s="333" t="s">
        <v>6011</v>
      </c>
      <c r="B46" s="161" t="s">
        <v>6012</v>
      </c>
      <c r="C46" s="333" t="s">
        <v>6013</v>
      </c>
      <c r="D46" s="161" t="s">
        <v>6014</v>
      </c>
      <c r="E46" s="333" t="s">
        <v>6015</v>
      </c>
      <c r="F46" s="161" t="s">
        <v>6016</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6017</v>
      </c>
      <c r="P46" s="186" t="s">
        <v>6018</v>
      </c>
      <c r="Q46" s="346" t="s">
        <v>6019</v>
      </c>
      <c r="R46" s="186" t="s">
        <v>6020</v>
      </c>
      <c r="S46" s="17"/>
      <c r="T46" s="17"/>
      <c r="U46" s="17"/>
      <c r="V46" s="17"/>
    </row>
    <row r="47">
      <c r="A47" s="333" t="s">
        <v>6021</v>
      </c>
      <c r="B47" s="161" t="s">
        <v>6022</v>
      </c>
      <c r="C47" s="333" t="s">
        <v>6023</v>
      </c>
      <c r="D47" s="161" t="s">
        <v>6024</v>
      </c>
      <c r="E47" s="333" t="s">
        <v>6025</v>
      </c>
      <c r="F47" s="161" t="s">
        <v>6026</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de médula roja")</f>
        <v>líquido de médula roja</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6027</v>
      </c>
      <c r="R47" s="186" t="s">
        <v>6028</v>
      </c>
      <c r="S47" s="17"/>
      <c r="T47" s="17"/>
      <c r="U47" s="17"/>
      <c r="V47" s="17"/>
    </row>
    <row r="48">
      <c r="A48" s="333" t="s">
        <v>6029</v>
      </c>
      <c r="B48" s="161" t="s">
        <v>6030</v>
      </c>
      <c r="C48" s="333" t="s">
        <v>6031</v>
      </c>
      <c r="D48" s="161" t="s">
        <v>6032</v>
      </c>
      <c r="E48" s="333" t="s">
        <v>6033</v>
      </c>
      <c r="F48" s="161" t="s">
        <v>6034</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6035</v>
      </c>
      <c r="R48" s="186" t="s">
        <v>6036</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6037</v>
      </c>
      <c r="B1" s="366" t="s">
        <v>236</v>
      </c>
      <c r="C1" s="367" t="s">
        <v>6038</v>
      </c>
      <c r="F1" s="365" t="s">
        <v>6039</v>
      </c>
      <c r="G1" s="366" t="s">
        <v>236</v>
      </c>
      <c r="H1" s="368" t="s">
        <v>6040</v>
      </c>
      <c r="K1" s="365" t="s">
        <v>6041</v>
      </c>
      <c r="L1" s="366" t="s">
        <v>236</v>
      </c>
      <c r="M1" s="368" t="s">
        <v>6042</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(prolonga la duración de las incursiones nocturnas)")</f>
        <v>El efecto de estar bien alimentado (prolonga la duración de las incursiones nocturnas)</v>
      </c>
      <c r="V1" s="366" t="s">
        <v>236</v>
      </c>
      <c r="W1" s="369"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5" t="str">
        <f>IFERROR(__xludf.DUMMYFUNCTION("GOOGLETRANSLATE(A1,""zh-tw"",""KO"")"),"배불리 먹는 효과 (야간 습격 지속 시간 연장)")</f>
        <v>배불리 먹는 효과 (야간 습격 지속 시간 연장)</v>
      </c>
      <c r="AA1" s="366" t="s">
        <v>236</v>
      </c>
      <c r="AB1" s="369"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236</v>
      </c>
      <c r="AG1" s="369"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70" t="s">
        <v>6043</v>
      </c>
      <c r="AK1" s="366" t="s">
        <v>236</v>
      </c>
      <c r="AL1" s="367" t="s">
        <v>6044</v>
      </c>
      <c r="AO1" s="371" t="s">
        <v>6045</v>
      </c>
      <c r="AP1" s="372" t="s">
        <v>236</v>
      </c>
      <c r="AQ1" s="183" t="s">
        <v>6046</v>
      </c>
    </row>
    <row r="2" ht="75.0" customHeight="1">
      <c r="A2" s="365" t="s">
        <v>6047</v>
      </c>
      <c r="B2" s="366" t="s">
        <v>787</v>
      </c>
      <c r="F2" s="365" t="s">
        <v>6048</v>
      </c>
      <c r="G2" s="366" t="s">
        <v>787</v>
      </c>
      <c r="K2" s="365" t="s">
        <v>6049</v>
      </c>
      <c r="L2" s="366" t="s">
        <v>787</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fortuito).")</f>
        <v>Mi hermana lloró porque la comida estaba muy picante (desencadenante fortuito).</v>
      </c>
      <c r="V2" s="366" t="s">
        <v>787</v>
      </c>
      <c r="Z2" s="365" t="str">
        <f>IFERROR(__xludf.DUMMYFUNCTION("GOOGLETRANSLATE(A2,""zh-tw"",""KO"")"),"언니는 음식이 너무 매워서 울었어요(우연에 의한 트리거).")</f>
        <v>언니는 음식이 너무 매워서 울었어요(우연에 의한 트리거).</v>
      </c>
      <c r="AA2" s="366" t="s">
        <v>787</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787</v>
      </c>
      <c r="AJ2" s="370" t="s">
        <v>6050</v>
      </c>
      <c r="AK2" s="366" t="s">
        <v>787</v>
      </c>
      <c r="AO2" s="181" t="s">
        <v>6051</v>
      </c>
      <c r="AP2" s="373" t="s">
        <v>787</v>
      </c>
    </row>
    <row r="3">
      <c r="A3" s="374" t="s">
        <v>6052</v>
      </c>
      <c r="B3" s="375" t="s">
        <v>5578</v>
      </c>
      <c r="F3" s="374" t="str">
        <f>IFERROR(__xludf.DUMMYFUNCTION("GOOGLETRANSLATE(A3,""zh-tw"",""ja"")"),"料理名")</f>
        <v>料理名</v>
      </c>
      <c r="G3" s="375" t="str">
        <f>IFERROR(__xludf.DUMMYFUNCTION("GOOGLETRANSLATE(B3,""zh-tw"",""ja"")"),"効果")</f>
        <v>効果</v>
      </c>
      <c r="K3" s="374" t="s">
        <v>6053</v>
      </c>
      <c r="L3" s="375" t="s">
        <v>6054</v>
      </c>
      <c r="P3" s="67" t="str">
        <f>IFERROR(__xludf.DUMMYFUNCTION("GOOGLETRANSLATE(A3,""zh-tw"",""zh"")"),"料理名")</f>
        <v>料理名</v>
      </c>
      <c r="Q3" s="66" t="str">
        <f>IFERROR(__xludf.DUMMYFUNCTION("GOOGLETRANSLATE(B3,""zh-tw"",""zh"")"),"效果")</f>
        <v>效果</v>
      </c>
      <c r="U3" s="374" t="str">
        <f>IFERROR(__xludf.DUMMYFUNCTION("GOOGLETRANSLATE(A3,""zh-tw"",""es-MX"")"),"Nombre del plato")</f>
        <v>Nombre del plato</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6055</v>
      </c>
      <c r="AK3" s="376" t="s">
        <v>6056</v>
      </c>
      <c r="AO3" s="378" t="s">
        <v>6057</v>
      </c>
      <c r="AP3" s="379" t="s">
        <v>4421</v>
      </c>
    </row>
    <row r="4">
      <c r="A4" s="380" t="s">
        <v>6058</v>
      </c>
      <c r="B4" s="381"/>
      <c r="C4" s="163" t="s">
        <v>6059</v>
      </c>
      <c r="D4" s="176"/>
      <c r="E4" s="176"/>
      <c r="F4" s="380" t="s">
        <v>6060</v>
      </c>
      <c r="G4" s="381"/>
      <c r="H4" s="163" t="s">
        <v>6061</v>
      </c>
      <c r="I4" s="176"/>
      <c r="J4" s="176"/>
      <c r="K4" s="103" t="s">
        <v>6062</v>
      </c>
      <c r="L4" s="381"/>
      <c r="M4" s="161" t="s">
        <v>6063</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baba")</f>
        <v>Gelatina de baba</v>
      </c>
      <c r="V4" s="375"/>
      <c r="W4" s="163" t="str">
        <f>IFERROR(__xludf.DUMMYFUNCTION("GOOGLETRANSLATE(C4,""zh-tw"",""es-MX"")"),"limo")</f>
        <v>limo</v>
      </c>
      <c r="X4" s="163"/>
      <c r="Y4" s="163"/>
      <c r="Z4" s="383" t="str">
        <f>IFERROR(__xludf.DUMMYFUNCTION("GOOGLETRANSLATE(A4,""zh-tw"",""KO"")"),"슬라임 젤리")</f>
        <v>슬라임 젤리</v>
      </c>
      <c r="AA4" s="376"/>
      <c r="AB4" s="161" t="s">
        <v>6064</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6065</v>
      </c>
      <c r="AK4" s="376"/>
      <c r="AL4" s="161" t="s">
        <v>6066</v>
      </c>
      <c r="AM4" s="162"/>
      <c r="AN4" s="162"/>
      <c r="AO4" s="180" t="s">
        <v>6067</v>
      </c>
      <c r="AP4" s="190"/>
      <c r="AQ4" s="182" t="s">
        <v>6068</v>
      </c>
      <c r="AR4" s="183"/>
      <c r="AS4" s="183"/>
    </row>
    <row r="5">
      <c r="A5" s="380" t="s">
        <v>6069</v>
      </c>
      <c r="B5" s="381"/>
      <c r="C5" s="163" t="s">
        <v>6070</v>
      </c>
      <c r="D5" s="163" t="s">
        <v>6071</v>
      </c>
      <c r="E5" s="176"/>
      <c r="F5" s="380" t="s">
        <v>6072</v>
      </c>
      <c r="G5" s="381"/>
      <c r="H5" s="163" t="s">
        <v>6073</v>
      </c>
      <c r="I5" s="163" t="s">
        <v>6074</v>
      </c>
      <c r="J5" s="176"/>
      <c r="K5" s="99" t="s">
        <v>6075</v>
      </c>
      <c r="L5" s="381"/>
      <c r="M5" s="161" t="s">
        <v>6076</v>
      </c>
      <c r="N5" s="161" t="s">
        <v>6077</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6078</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6079</v>
      </c>
      <c r="AK5" s="376"/>
      <c r="AL5" s="161" t="s">
        <v>6080</v>
      </c>
      <c r="AM5" s="161" t="s">
        <v>6081</v>
      </c>
      <c r="AN5" s="162"/>
      <c r="AO5" s="180" t="s">
        <v>6082</v>
      </c>
      <c r="AP5" s="190"/>
      <c r="AQ5" s="182" t="s">
        <v>6083</v>
      </c>
      <c r="AR5" s="182" t="s">
        <v>6084</v>
      </c>
      <c r="AS5" s="183"/>
    </row>
    <row r="6">
      <c r="A6" s="380" t="s">
        <v>6085</v>
      </c>
      <c r="B6" s="381"/>
      <c r="C6" s="163" t="s">
        <v>6086</v>
      </c>
      <c r="D6" s="163" t="s">
        <v>6087</v>
      </c>
      <c r="E6" s="176"/>
      <c r="F6" s="380" t="s">
        <v>6088</v>
      </c>
      <c r="G6" s="381"/>
      <c r="H6" s="163" t="s">
        <v>6089</v>
      </c>
      <c r="I6" s="163" t="s">
        <v>6090</v>
      </c>
      <c r="J6" s="176"/>
      <c r="K6" s="103" t="s">
        <v>6091</v>
      </c>
      <c r="L6" s="381"/>
      <c r="M6" s="161" t="s">
        <v>6092</v>
      </c>
      <c r="N6" s="161" t="s">
        <v>6093</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6094</v>
      </c>
      <c r="AK6" s="376"/>
      <c r="AL6" s="161" t="s">
        <v>6095</v>
      </c>
      <c r="AM6" s="161" t="s">
        <v>6096</v>
      </c>
      <c r="AN6" s="162"/>
      <c r="AO6" s="180" t="s">
        <v>6097</v>
      </c>
      <c r="AP6" s="190"/>
      <c r="AQ6" s="182" t="s">
        <v>6098</v>
      </c>
      <c r="AR6" s="182" t="s">
        <v>6099</v>
      </c>
      <c r="AS6" s="183"/>
    </row>
    <row r="7">
      <c r="A7" s="380" t="s">
        <v>6100</v>
      </c>
      <c r="B7" s="381"/>
      <c r="C7" s="163" t="s">
        <v>6086</v>
      </c>
      <c r="D7" s="176"/>
      <c r="E7" s="176"/>
      <c r="F7" s="380" t="s">
        <v>6101</v>
      </c>
      <c r="G7" s="381"/>
      <c r="H7" s="163" t="s">
        <v>6089</v>
      </c>
      <c r="I7" s="176"/>
      <c r="J7" s="176"/>
      <c r="K7" s="103" t="s">
        <v>6102</v>
      </c>
      <c r="L7" s="381"/>
      <c r="M7" s="161" t="s">
        <v>6092</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6103</v>
      </c>
      <c r="AK7" s="376"/>
      <c r="AL7" s="161" t="s">
        <v>6095</v>
      </c>
      <c r="AM7" s="162"/>
      <c r="AN7" s="162"/>
      <c r="AO7" s="180" t="s">
        <v>6104</v>
      </c>
      <c r="AP7" s="190"/>
      <c r="AQ7" s="182" t="s">
        <v>6098</v>
      </c>
      <c r="AR7" s="183"/>
      <c r="AS7" s="183"/>
    </row>
    <row r="8">
      <c r="A8" s="380" t="s">
        <v>6105</v>
      </c>
      <c r="B8" s="381"/>
      <c r="C8" s="163" t="s">
        <v>6106</v>
      </c>
      <c r="F8" s="380" t="s">
        <v>6107</v>
      </c>
      <c r="G8" s="381"/>
      <c r="H8" s="163" t="s">
        <v>593</v>
      </c>
      <c r="I8" s="176"/>
      <c r="J8" s="176"/>
      <c r="K8" s="103" t="s">
        <v>6108</v>
      </c>
      <c r="L8" s="381"/>
      <c r="M8" s="161" t="s">
        <v>6109</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peces en el río y obtener conchas marinas).")</f>
        <v>Aún no implementado (más adelante, podrás pescar peces en el río y obtener conchas marinas).</v>
      </c>
      <c r="Z8" s="384" t="s">
        <v>6110</v>
      </c>
      <c r="AA8" s="376"/>
      <c r="AB8" s="161" t="s">
        <v>602</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4" t="s">
        <v>6111</v>
      </c>
      <c r="AK8" s="376"/>
      <c r="AL8" s="161" t="s">
        <v>6112</v>
      </c>
      <c r="AO8" s="180" t="s">
        <v>6113</v>
      </c>
      <c r="AP8" s="190"/>
      <c r="AQ8" s="182" t="s">
        <v>6114</v>
      </c>
      <c r="AR8" s="183"/>
      <c r="AS8" s="183"/>
    </row>
    <row r="9">
      <c r="A9" s="380" t="s">
        <v>6115</v>
      </c>
      <c r="B9" s="381"/>
      <c r="C9" s="163" t="s">
        <v>6116</v>
      </c>
      <c r="D9" s="176"/>
      <c r="E9" s="176"/>
      <c r="F9" s="380" t="s">
        <v>6117</v>
      </c>
      <c r="G9" s="381"/>
      <c r="H9" s="163" t="s">
        <v>6116</v>
      </c>
      <c r="I9" s="176"/>
      <c r="J9" s="176"/>
      <c r="K9" s="103" t="s">
        <v>6118</v>
      </c>
      <c r="L9" s="381"/>
      <c r="M9" s="161" t="s">
        <v>6119</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6120</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6121</v>
      </c>
      <c r="AK9" s="376"/>
      <c r="AL9" s="161" t="s">
        <v>6122</v>
      </c>
      <c r="AM9" s="162"/>
      <c r="AN9" s="162"/>
      <c r="AO9" s="180" t="s">
        <v>6123</v>
      </c>
      <c r="AP9" s="190"/>
      <c r="AQ9" s="182" t="s">
        <v>6124</v>
      </c>
      <c r="AR9" s="183"/>
      <c r="AS9" s="183"/>
    </row>
    <row r="10">
      <c r="A10" s="380" t="s">
        <v>6125</v>
      </c>
      <c r="B10" s="381"/>
      <c r="C10" s="163" t="s">
        <v>4032</v>
      </c>
      <c r="D10" s="163" t="s">
        <v>4032</v>
      </c>
      <c r="E10" s="163" t="s">
        <v>4032</v>
      </c>
      <c r="F10" s="380" t="s">
        <v>6126</v>
      </c>
      <c r="G10" s="381"/>
      <c r="H10" s="163" t="s">
        <v>6127</v>
      </c>
      <c r="I10" s="163" t="s">
        <v>6127</v>
      </c>
      <c r="J10" s="163" t="s">
        <v>6127</v>
      </c>
      <c r="K10" s="103" t="s">
        <v>6128</v>
      </c>
      <c r="L10" s="381"/>
      <c r="M10" s="161" t="s">
        <v>4037</v>
      </c>
      <c r="N10" s="161" t="s">
        <v>4037</v>
      </c>
      <c r="O10" s="161" t="s">
        <v>4037</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6129</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6130</v>
      </c>
      <c r="AK10" s="376"/>
      <c r="AL10" s="161" t="s">
        <v>6131</v>
      </c>
      <c r="AM10" s="161" t="s">
        <v>6131</v>
      </c>
      <c r="AN10" s="161" t="s">
        <v>6131</v>
      </c>
      <c r="AO10" s="180" t="s">
        <v>6132</v>
      </c>
      <c r="AP10" s="190"/>
      <c r="AQ10" s="182" t="s">
        <v>4045</v>
      </c>
      <c r="AR10" s="182" t="s">
        <v>4045</v>
      </c>
      <c r="AS10" s="182" t="s">
        <v>4045</v>
      </c>
    </row>
    <row r="11">
      <c r="A11" s="385" t="s">
        <v>6133</v>
      </c>
      <c r="B11" s="381"/>
      <c r="C11" s="163" t="s">
        <v>6134</v>
      </c>
      <c r="D11" s="163" t="s">
        <v>4229</v>
      </c>
      <c r="E11" s="176"/>
      <c r="F11" s="380" t="s">
        <v>6135</v>
      </c>
      <c r="G11" s="381"/>
      <c r="H11" s="163" t="s">
        <v>6136</v>
      </c>
      <c r="I11" s="163" t="s">
        <v>6137</v>
      </c>
      <c r="J11" s="176"/>
      <c r="K11" s="103" t="s">
        <v>6138</v>
      </c>
      <c r="L11" s="381"/>
      <c r="M11" s="161" t="s">
        <v>6139</v>
      </c>
      <c r="N11" s="161" t="s">
        <v>4231</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6140</v>
      </c>
      <c r="AA11" s="376"/>
      <c r="AB11" s="161" t="s">
        <v>6141</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6142</v>
      </c>
      <c r="AK11" s="376"/>
      <c r="AL11" s="161" t="s">
        <v>6143</v>
      </c>
      <c r="AM11" s="161" t="s">
        <v>4234</v>
      </c>
      <c r="AN11" s="162"/>
      <c r="AO11" s="154" t="s">
        <v>6138</v>
      </c>
      <c r="AP11" s="190"/>
      <c r="AQ11" s="182" t="s">
        <v>6144</v>
      </c>
      <c r="AR11" s="182" t="s">
        <v>4236</v>
      </c>
      <c r="AS11" s="183"/>
    </row>
    <row r="12">
      <c r="A12" s="380" t="s">
        <v>6145</v>
      </c>
      <c r="B12" s="381"/>
      <c r="C12" s="163" t="s">
        <v>6070</v>
      </c>
      <c r="D12" s="176"/>
      <c r="E12" s="176"/>
      <c r="F12" s="380" t="s">
        <v>6146</v>
      </c>
      <c r="G12" s="381"/>
      <c r="H12" s="163" t="s">
        <v>6073</v>
      </c>
      <c r="I12" s="176"/>
      <c r="J12" s="176"/>
      <c r="K12" s="103" t="s">
        <v>6147</v>
      </c>
      <c r="L12" s="381"/>
      <c r="M12" s="161" t="s">
        <v>6076</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6148</v>
      </c>
      <c r="AK12" s="376"/>
      <c r="AL12" s="161" t="s">
        <v>6080</v>
      </c>
      <c r="AM12" s="162"/>
      <c r="AN12" s="162"/>
      <c r="AO12" s="180" t="s">
        <v>6149</v>
      </c>
      <c r="AP12" s="190"/>
      <c r="AQ12" s="182" t="s">
        <v>6083</v>
      </c>
      <c r="AR12" s="183"/>
      <c r="AS12" s="183"/>
    </row>
    <row r="13">
      <c r="A13" s="380" t="s">
        <v>6150</v>
      </c>
      <c r="B13" s="381"/>
      <c r="C13" s="163" t="s">
        <v>6070</v>
      </c>
      <c r="D13" s="163" t="s">
        <v>6071</v>
      </c>
      <c r="E13" s="163" t="s">
        <v>6134</v>
      </c>
      <c r="F13" s="380" t="s">
        <v>6151</v>
      </c>
      <c r="G13" s="381"/>
      <c r="H13" s="163" t="s">
        <v>6073</v>
      </c>
      <c r="I13" s="163" t="s">
        <v>6074</v>
      </c>
      <c r="J13" s="163" t="s">
        <v>6136</v>
      </c>
      <c r="K13" s="99" t="s">
        <v>6152</v>
      </c>
      <c r="L13" s="381"/>
      <c r="M13" s="161" t="s">
        <v>6076</v>
      </c>
      <c r="N13" s="161" t="s">
        <v>6077</v>
      </c>
      <c r="O13" s="161" t="s">
        <v>6139</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 de cerdo")</f>
        <v>Arroz al curry con chuleta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6153</v>
      </c>
      <c r="AA13" s="376"/>
      <c r="AB13" s="162" t="str">
        <f>IFERROR(__xludf.DUMMYFUNCTION("GOOGLETRANSLATE(C13,""zh-tw"",""KO"")"),"흰쌀")</f>
        <v>흰쌀</v>
      </c>
      <c r="AC13" s="161" t="s">
        <v>6078</v>
      </c>
      <c r="AD13" s="161" t="s">
        <v>6141</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6154</v>
      </c>
      <c r="AK13" s="376"/>
      <c r="AL13" s="161" t="s">
        <v>6080</v>
      </c>
      <c r="AM13" s="161" t="s">
        <v>6081</v>
      </c>
      <c r="AN13" s="161" t="s">
        <v>6143</v>
      </c>
      <c r="AO13" s="180" t="s">
        <v>6155</v>
      </c>
      <c r="AP13" s="190"/>
      <c r="AQ13" s="182" t="s">
        <v>6083</v>
      </c>
      <c r="AR13" s="182" t="s">
        <v>6084</v>
      </c>
      <c r="AS13" s="182" t="s">
        <v>6144</v>
      </c>
    </row>
    <row r="14">
      <c r="A14" s="380" t="s">
        <v>6156</v>
      </c>
      <c r="B14" s="366" t="s">
        <v>236</v>
      </c>
      <c r="C14" s="163" t="s">
        <v>6157</v>
      </c>
      <c r="D14" s="176"/>
      <c r="E14" s="176"/>
      <c r="F14" s="380" t="s">
        <v>6158</v>
      </c>
      <c r="G14" s="366" t="s">
        <v>236</v>
      </c>
      <c r="H14" s="163" t="s">
        <v>6159</v>
      </c>
      <c r="I14" s="176"/>
      <c r="J14" s="176"/>
      <c r="K14" s="103" t="s">
        <v>6160</v>
      </c>
      <c r="L14" s="366" t="s">
        <v>236</v>
      </c>
      <c r="M14" s="161" t="s">
        <v>4257</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IFERROR(__xludf.DUMMYFUNCTION("GOOGLETRANSLATE(C14,""zh-tw"",""es-MX"")"),"Trozos pequeños de carne")</f>
        <v>Trozos pequeños de carne</v>
      </c>
      <c r="X14" s="163"/>
      <c r="Y14" s="163"/>
      <c r="Z14" s="384" t="s">
        <v>6161</v>
      </c>
      <c r="AA14" s="376" t="s">
        <v>236</v>
      </c>
      <c r="AB14" s="161" t="s">
        <v>4259</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6162</v>
      </c>
      <c r="AK14" s="376" t="s">
        <v>236</v>
      </c>
      <c r="AL14" s="161" t="s">
        <v>6163</v>
      </c>
      <c r="AM14" s="162"/>
      <c r="AN14" s="162"/>
      <c r="AO14" s="180" t="s">
        <v>6164</v>
      </c>
      <c r="AP14" s="386" t="s">
        <v>236</v>
      </c>
      <c r="AQ14" s="182" t="s">
        <v>4263</v>
      </c>
      <c r="AR14" s="183"/>
      <c r="AS14" s="183"/>
    </row>
    <row r="15">
      <c r="A15" s="380" t="s">
        <v>6165</v>
      </c>
      <c r="B15" s="366" t="s">
        <v>236</v>
      </c>
      <c r="C15" s="163" t="s">
        <v>6134</v>
      </c>
      <c r="D15" s="176"/>
      <c r="E15" s="176"/>
      <c r="F15" s="380" t="s">
        <v>6166</v>
      </c>
      <c r="G15" s="366" t="s">
        <v>236</v>
      </c>
      <c r="H15" s="163" t="s">
        <v>6136</v>
      </c>
      <c r="I15" s="176"/>
      <c r="J15" s="176"/>
      <c r="K15" s="103" t="s">
        <v>6167</v>
      </c>
      <c r="L15" s="366" t="s">
        <v>236</v>
      </c>
      <c r="M15" s="161" t="s">
        <v>6139</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236</v>
      </c>
      <c r="AB15" s="161" t="s">
        <v>6141</v>
      </c>
      <c r="AC15" s="162"/>
      <c r="AD15" s="162"/>
      <c r="AE15" s="380" t="str">
        <f>IFERROR(__xludf.DUMMYFUNCTION("GOOGLETRANSLATE(A15,""zh-tw"",""ru"")"),"Кусочки жареного мяса")</f>
        <v>Кусочки жареного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6168</v>
      </c>
      <c r="AK15" s="376" t="s">
        <v>236</v>
      </c>
      <c r="AL15" s="161" t="s">
        <v>6143</v>
      </c>
      <c r="AM15" s="162"/>
      <c r="AN15" s="162"/>
      <c r="AO15" s="180" t="s">
        <v>6169</v>
      </c>
      <c r="AP15" s="386" t="s">
        <v>236</v>
      </c>
      <c r="AQ15" s="182" t="s">
        <v>6144</v>
      </c>
      <c r="AR15" s="183"/>
      <c r="AS15" s="183"/>
    </row>
    <row r="16">
      <c r="A16" s="380" t="s">
        <v>6170</v>
      </c>
      <c r="B16" s="366" t="s">
        <v>236</v>
      </c>
      <c r="C16" s="163" t="s">
        <v>6134</v>
      </c>
      <c r="D16" s="163" t="s">
        <v>6134</v>
      </c>
      <c r="E16" s="176"/>
      <c r="F16" s="380" t="s">
        <v>6171</v>
      </c>
      <c r="G16" s="366" t="s">
        <v>236</v>
      </c>
      <c r="H16" s="163" t="s">
        <v>6136</v>
      </c>
      <c r="I16" s="163" t="s">
        <v>6136</v>
      </c>
      <c r="J16" s="176"/>
      <c r="K16" s="103" t="s">
        <v>6172</v>
      </c>
      <c r="L16" s="366" t="s">
        <v>236</v>
      </c>
      <c r="M16" s="161" t="s">
        <v>6139</v>
      </c>
      <c r="N16" s="161" t="s">
        <v>6139</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6173</v>
      </c>
      <c r="AA16" s="376" t="s">
        <v>236</v>
      </c>
      <c r="AB16" s="161" t="s">
        <v>6141</v>
      </c>
      <c r="AC16" s="161" t="s">
        <v>6141</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6174</v>
      </c>
      <c r="AK16" s="376" t="s">
        <v>236</v>
      </c>
      <c r="AL16" s="161" t="s">
        <v>6143</v>
      </c>
      <c r="AM16" s="161" t="s">
        <v>6143</v>
      </c>
      <c r="AN16" s="162"/>
      <c r="AO16" s="180" t="s">
        <v>6175</v>
      </c>
      <c r="AP16" s="386" t="s">
        <v>236</v>
      </c>
      <c r="AQ16" s="182" t="s">
        <v>6144</v>
      </c>
      <c r="AR16" s="182" t="s">
        <v>6144</v>
      </c>
      <c r="AS16" s="183"/>
    </row>
    <row r="17">
      <c r="A17" s="385" t="s">
        <v>6176</v>
      </c>
      <c r="B17" s="366" t="s">
        <v>236</v>
      </c>
      <c r="C17" s="163" t="s">
        <v>6134</v>
      </c>
      <c r="D17" s="163" t="s">
        <v>6134</v>
      </c>
      <c r="E17" s="163" t="s">
        <v>6134</v>
      </c>
      <c r="F17" s="380" t="s">
        <v>6177</v>
      </c>
      <c r="G17" s="366" t="s">
        <v>236</v>
      </c>
      <c r="H17" s="163" t="s">
        <v>6136</v>
      </c>
      <c r="I17" s="163" t="s">
        <v>6136</v>
      </c>
      <c r="J17" s="163" t="s">
        <v>6136</v>
      </c>
      <c r="K17" s="103" t="s">
        <v>6178</v>
      </c>
      <c r="L17" s="366" t="s">
        <v>236</v>
      </c>
      <c r="M17" s="161" t="s">
        <v>6139</v>
      </c>
      <c r="N17" s="161" t="s">
        <v>6139</v>
      </c>
      <c r="O17" s="161" t="s">
        <v>6139</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6179</v>
      </c>
      <c r="AA17" s="376" t="s">
        <v>236</v>
      </c>
      <c r="AB17" s="161" t="s">
        <v>6141</v>
      </c>
      <c r="AC17" s="317" t="s">
        <v>6141</v>
      </c>
      <c r="AD17" s="317" t="s">
        <v>6141</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6180</v>
      </c>
      <c r="AK17" s="376" t="s">
        <v>236</v>
      </c>
      <c r="AL17" s="161" t="s">
        <v>6143</v>
      </c>
      <c r="AM17" s="161" t="s">
        <v>6143</v>
      </c>
      <c r="AN17" s="161" t="s">
        <v>6143</v>
      </c>
      <c r="AO17" s="154" t="s">
        <v>6181</v>
      </c>
      <c r="AP17" s="386" t="s">
        <v>236</v>
      </c>
      <c r="AQ17" s="182" t="s">
        <v>6144</v>
      </c>
      <c r="AR17" s="182" t="s">
        <v>6144</v>
      </c>
      <c r="AS17" s="182" t="s">
        <v>6144</v>
      </c>
    </row>
    <row r="18">
      <c r="A18" s="380" t="s">
        <v>6182</v>
      </c>
      <c r="B18" s="366" t="s">
        <v>236</v>
      </c>
      <c r="C18" s="163" t="s">
        <v>6070</v>
      </c>
      <c r="D18" s="163" t="s">
        <v>6134</v>
      </c>
      <c r="E18" s="176"/>
      <c r="F18" s="380" t="s">
        <v>6183</v>
      </c>
      <c r="G18" s="366" t="s">
        <v>236</v>
      </c>
      <c r="H18" s="163" t="s">
        <v>6073</v>
      </c>
      <c r="I18" s="163" t="s">
        <v>6136</v>
      </c>
      <c r="J18" s="176"/>
      <c r="K18" s="103" t="s">
        <v>6184</v>
      </c>
      <c r="L18" s="366" t="s">
        <v>236</v>
      </c>
      <c r="M18" s="161" t="s">
        <v>6185</v>
      </c>
      <c r="N18" s="161" t="s">
        <v>6139</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f>
        <v>Bola de arroz con carne</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6186</v>
      </c>
      <c r="AA18" s="376" t="s">
        <v>236</v>
      </c>
      <c r="AB18" s="162" t="str">
        <f>IFERROR(__xludf.DUMMYFUNCTION("GOOGLETRANSLATE(C18,""zh-tw"",""KO"")"),"흰쌀")</f>
        <v>흰쌀</v>
      </c>
      <c r="AC18" s="161" t="s">
        <v>6141</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6187</v>
      </c>
      <c r="AK18" s="376" t="s">
        <v>236</v>
      </c>
      <c r="AL18" s="161" t="s">
        <v>6080</v>
      </c>
      <c r="AM18" s="161" t="s">
        <v>6143</v>
      </c>
      <c r="AN18" s="162"/>
      <c r="AO18" s="180" t="s">
        <v>6188</v>
      </c>
      <c r="AP18" s="386" t="s">
        <v>236</v>
      </c>
      <c r="AQ18" s="182" t="s">
        <v>6083</v>
      </c>
      <c r="AR18" s="182" t="s">
        <v>6144</v>
      </c>
      <c r="AS18" s="183"/>
    </row>
    <row r="19">
      <c r="A19" s="380" t="s">
        <v>6189</v>
      </c>
      <c r="B19" s="381"/>
      <c r="C19" s="163" t="s">
        <v>6190</v>
      </c>
      <c r="D19" s="176"/>
      <c r="E19" s="176"/>
      <c r="F19" s="380" t="s">
        <v>6191</v>
      </c>
      <c r="G19" s="381"/>
      <c r="H19" s="163" t="s">
        <v>6192</v>
      </c>
      <c r="I19" s="176"/>
      <c r="J19" s="176"/>
      <c r="K19" s="99" t="s">
        <v>6193</v>
      </c>
      <c r="L19" s="381"/>
      <c r="M19" s="161" t="s">
        <v>6194</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viscosa extraña (azul)")</f>
        <v>Gelatina viscosa extraña (azul)</v>
      </c>
      <c r="V19" s="375"/>
      <c r="W19" s="163" t="str">
        <f>IFERROR(__xludf.DUMMYFUNCTION("GOOGLETRANSLATE(C19,""zh-tw"",""es-MX"")"),"Monstruo de agua viscoso")</f>
        <v>Monstruo de agua viscoso</v>
      </c>
      <c r="X19" s="163"/>
      <c r="Y19" s="163"/>
      <c r="Z19" s="383" t="str">
        <f>IFERROR(__xludf.DUMMYFUNCTION("GOOGLETRANSLATE(A19,""zh-tw"",""KO"")"),"이상한 슬라임 젤리(파란색)")</f>
        <v>이상한 슬라임 젤리(파란색)</v>
      </c>
      <c r="AA19" s="376"/>
      <c r="AB19" s="161" t="s">
        <v>6195</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6196</v>
      </c>
      <c r="AK19" s="376"/>
      <c r="AL19" s="161" t="s">
        <v>6197</v>
      </c>
      <c r="AM19" s="162"/>
      <c r="AN19" s="162"/>
      <c r="AO19" s="180" t="s">
        <v>6198</v>
      </c>
      <c r="AP19" s="190"/>
      <c r="AQ19" s="182" t="s">
        <v>6199</v>
      </c>
      <c r="AR19" s="183"/>
      <c r="AS19" s="183"/>
    </row>
    <row r="20">
      <c r="A20" s="380" t="s">
        <v>6200</v>
      </c>
      <c r="B20" s="381"/>
      <c r="C20" s="163" t="s">
        <v>6059</v>
      </c>
      <c r="D20" s="163" t="s">
        <v>3874</v>
      </c>
      <c r="E20" s="176"/>
      <c r="F20" s="380" t="s">
        <v>6201</v>
      </c>
      <c r="G20" s="381"/>
      <c r="H20" s="163" t="s">
        <v>6061</v>
      </c>
      <c r="I20" s="163" t="s">
        <v>6202</v>
      </c>
      <c r="J20" s="176"/>
      <c r="K20" s="103" t="s">
        <v>6203</v>
      </c>
      <c r="L20" s="381"/>
      <c r="M20" s="161" t="s">
        <v>6063</v>
      </c>
      <c r="N20" s="161" t="s">
        <v>3876</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IFERROR(__xludf.DUMMYFUNCTION("GOOGLETRANSLATE(A20,""zh-tw"",""es-MX"")"),"Extraña gelatina viscosa (rosa)")</f>
        <v>Extraña gelatina viscosa (rosa)</v>
      </c>
      <c r="V20" s="375"/>
      <c r="W20" s="163" t="str">
        <f>IFERROR(__xludf.DUMMYFUNCTION("GOOGLETRANSLATE(C20,""zh-tw"",""es-MX"")"),"limo")</f>
        <v>limo</v>
      </c>
      <c r="X20" s="163" t="str">
        <f>IFERROR(__xludf.DUMMYFUNCTION("GOOGLETRANSLATE(D20,""zh-tw"",""es-MX"")"),"Hada de la manzana")</f>
        <v>Hada de la manzana</v>
      </c>
      <c r="Y20" s="163"/>
      <c r="Z20" s="384" t="s">
        <v>6204</v>
      </c>
      <c r="AA20" s="376"/>
      <c r="AB20" s="161" t="s">
        <v>6064</v>
      </c>
      <c r="AC20" s="161" t="s">
        <v>3878</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6205</v>
      </c>
      <c r="AK20" s="376"/>
      <c r="AL20" s="161" t="s">
        <v>6066</v>
      </c>
      <c r="AM20" s="161" t="s">
        <v>3880</v>
      </c>
      <c r="AN20" s="162"/>
      <c r="AO20" s="180" t="s">
        <v>6206</v>
      </c>
      <c r="AP20" s="190"/>
      <c r="AQ20" s="182" t="s">
        <v>6068</v>
      </c>
      <c r="AR20" s="182" t="s">
        <v>6207</v>
      </c>
      <c r="AS20" s="183"/>
    </row>
    <row r="21">
      <c r="A21" s="380" t="s">
        <v>6208</v>
      </c>
      <c r="B21" s="381"/>
      <c r="C21" s="163" t="s">
        <v>6059</v>
      </c>
      <c r="D21" s="163" t="s">
        <v>6209</v>
      </c>
      <c r="E21" s="176"/>
      <c r="F21" s="380" t="s">
        <v>6210</v>
      </c>
      <c r="G21" s="381"/>
      <c r="H21" s="163" t="s">
        <v>6061</v>
      </c>
      <c r="I21" s="163" t="s">
        <v>6211</v>
      </c>
      <c r="J21" s="176"/>
      <c r="K21" s="103" t="s">
        <v>6212</v>
      </c>
      <c r="L21" s="381"/>
      <c r="M21" s="161" t="s">
        <v>6063</v>
      </c>
      <c r="N21" s="161" t="s">
        <v>6213</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IFERROR(__xludf.DUMMYFUNCTION("GOOGLETRANSLATE(A21,""zh-tw"",""es-MX"")"),"Extraña gelatina viscosa (negra)")</f>
        <v>Extraña gelatina viscosa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젤리(검은색)")</f>
        <v>이상한 슬라임 젤리(검은색)</v>
      </c>
      <c r="AA21" s="376"/>
      <c r="AB21" s="161" t="s">
        <v>6064</v>
      </c>
      <c r="AC21" s="162" t="str">
        <f>IFERROR(__xludf.DUMMYFUNCTION("GOOGLETRANSLATE(D21,""zh-tw"",""KO"")"),"쓰레기")</f>
        <v>쓰레기</v>
      </c>
      <c r="AD21" s="162"/>
      <c r="AE21" s="380" t="str">
        <f>IFERROR(__xludf.DUMMYFUNCTION("GOOGLETRANSLATE(A21,""zh-tw"",""ru"")"),"Странная слизь-желе (черная)")</f>
        <v>Странная слизь-желе (черная)</v>
      </c>
      <c r="AF21" s="375"/>
      <c r="AG21" s="163" t="str">
        <f>IFERROR(__xludf.DUMMYFUNCTION("GOOGLETRANSLATE(C21,""zh-tw"",""ru"")"),"слизь")</f>
        <v>слизь</v>
      </c>
      <c r="AH21" s="163" t="str">
        <f>IFERROR(__xludf.DUMMYFUNCTION("GOOGLETRANSLATE(D21,""zh-tw"",""ru"")"),"Мусор")</f>
        <v>Мусор</v>
      </c>
      <c r="AI21" s="163"/>
      <c r="AJ21" s="384" t="s">
        <v>6214</v>
      </c>
      <c r="AK21" s="376"/>
      <c r="AL21" s="161" t="s">
        <v>6066</v>
      </c>
      <c r="AM21" s="161" t="s">
        <v>6215</v>
      </c>
      <c r="AN21" s="162"/>
      <c r="AO21" s="180" t="s">
        <v>6216</v>
      </c>
      <c r="AP21" s="190"/>
      <c r="AQ21" s="182" t="s">
        <v>6068</v>
      </c>
      <c r="AR21" s="182" t="s">
        <v>6217</v>
      </c>
      <c r="AS21" s="183"/>
    </row>
    <row r="22">
      <c r="A22" s="380" t="s">
        <v>6218</v>
      </c>
      <c r="B22" s="381"/>
      <c r="C22" s="163" t="s">
        <v>6190</v>
      </c>
      <c r="D22" s="163" t="s">
        <v>543</v>
      </c>
      <c r="E22" s="176"/>
      <c r="F22" s="380" t="s">
        <v>6219</v>
      </c>
      <c r="G22" s="381"/>
      <c r="H22" s="163" t="s">
        <v>6061</v>
      </c>
      <c r="I22" s="163" t="s">
        <v>546</v>
      </c>
      <c r="J22" s="176"/>
      <c r="K22" s="103" t="s">
        <v>6220</v>
      </c>
      <c r="L22" s="381"/>
      <c r="M22" s="161" t="s">
        <v>6063</v>
      </c>
      <c r="N22" s="161" t="s">
        <v>6221</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IFERROR(__xludf.DUMMYFUNCTION("GOOGLETRANSLATE(A22,""zh-tw"",""es-MX"")"),"Extraña gelatina viscosa (colorida)")</f>
        <v>Extraña gelatina viscosa (colorida)</v>
      </c>
      <c r="V22" s="375"/>
      <c r="W22" s="163" t="str">
        <f>IFERROR(__xludf.DUMMYFUNCTION("GOOGLETRANSLATE(C22,""zh-tw"",""es-MX"")"),"Monstruo de agua viscoso")</f>
        <v>Monstruo de agua viscoso</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6195</v>
      </c>
      <c r="AC22" s="161" t="s">
        <v>555</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6222</v>
      </c>
      <c r="AK22" s="376"/>
      <c r="AL22" s="161" t="s">
        <v>6197</v>
      </c>
      <c r="AM22" s="161" t="s">
        <v>6223</v>
      </c>
      <c r="AN22" s="162"/>
      <c r="AO22" s="180" t="s">
        <v>6224</v>
      </c>
      <c r="AP22" s="190"/>
      <c r="AQ22" s="182" t="s">
        <v>6068</v>
      </c>
      <c r="AR22" s="182" t="s">
        <v>6225</v>
      </c>
      <c r="AS22" s="183"/>
    </row>
    <row r="23">
      <c r="A23" s="380" t="s">
        <v>6226</v>
      </c>
      <c r="B23" s="381"/>
      <c r="C23" s="163" t="s">
        <v>6227</v>
      </c>
      <c r="D23" s="176"/>
      <c r="E23" s="176"/>
      <c r="F23" s="380" t="s">
        <v>6228</v>
      </c>
      <c r="G23" s="381"/>
      <c r="H23" s="163" t="s">
        <v>6229</v>
      </c>
      <c r="I23" s="176"/>
      <c r="J23" s="176"/>
      <c r="K23" s="99" t="s">
        <v>6230</v>
      </c>
      <c r="L23" s="381"/>
      <c r="M23" s="161" t="s">
        <v>6231</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6232</v>
      </c>
      <c r="AK23" s="376"/>
      <c r="AL23" s="161" t="s">
        <v>6233</v>
      </c>
      <c r="AM23" s="162"/>
      <c r="AN23" s="162"/>
      <c r="AO23" s="180" t="s">
        <v>6234</v>
      </c>
      <c r="AP23" s="190"/>
      <c r="AQ23" s="182" t="s">
        <v>6235</v>
      </c>
      <c r="AR23" s="183"/>
      <c r="AS23" s="183"/>
    </row>
    <row r="24">
      <c r="A24" s="380" t="s">
        <v>6236</v>
      </c>
      <c r="B24" s="381"/>
      <c r="C24" s="163" t="s">
        <v>6157</v>
      </c>
      <c r="D24" s="163" t="s">
        <v>4229</v>
      </c>
      <c r="E24" s="163" t="s">
        <v>6237</v>
      </c>
      <c r="F24" s="380" t="s">
        <v>6238</v>
      </c>
      <c r="G24" s="381"/>
      <c r="H24" s="163" t="s">
        <v>6159</v>
      </c>
      <c r="I24" s="163" t="s">
        <v>6239</v>
      </c>
      <c r="J24" s="163" t="s">
        <v>6240</v>
      </c>
      <c r="K24" s="103" t="s">
        <v>6241</v>
      </c>
      <c r="L24" s="381"/>
      <c r="M24" s="161" t="s">
        <v>4257</v>
      </c>
      <c r="N24" s="161" t="s">
        <v>4231</v>
      </c>
      <c r="O24" s="161" t="s">
        <v>6242</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IFERROR(__xludf.DUMMYFUNCTION("GOOGLETRANSLATE(C24,""zh-tw"",""es-MX"")"),"Trozos pequeños de carne")</f>
        <v>Trozos pequeños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4259</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6243</v>
      </c>
      <c r="AK24" s="376"/>
      <c r="AL24" s="161" t="s">
        <v>6163</v>
      </c>
      <c r="AM24" s="161" t="s">
        <v>4234</v>
      </c>
      <c r="AN24" s="161" t="s">
        <v>4234</v>
      </c>
      <c r="AO24" s="180" t="s">
        <v>6244</v>
      </c>
      <c r="AP24" s="190"/>
      <c r="AQ24" s="182" t="s">
        <v>4263</v>
      </c>
      <c r="AR24" s="182" t="s">
        <v>4236</v>
      </c>
      <c r="AS24" s="182" t="s">
        <v>6245</v>
      </c>
    </row>
    <row r="25">
      <c r="A25" s="380" t="s">
        <v>6246</v>
      </c>
      <c r="B25" s="381"/>
      <c r="C25" s="163" t="s">
        <v>6247</v>
      </c>
      <c r="D25" s="176"/>
      <c r="E25" s="176"/>
      <c r="F25" s="380" t="s">
        <v>6248</v>
      </c>
      <c r="G25" s="381"/>
      <c r="H25" s="163" t="s">
        <v>6249</v>
      </c>
      <c r="I25" s="176"/>
      <c r="J25" s="176"/>
      <c r="K25" s="103" t="s">
        <v>6250</v>
      </c>
      <c r="L25" s="381"/>
      <c r="M25" s="161" t="s">
        <v>6251</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parrilla")</f>
        <v>Patas de pulpo a la parrilla</v>
      </c>
      <c r="V25" s="375"/>
      <c r="W25" s="163" t="str">
        <f>IFERROR(__xludf.DUMMYFUNCTION("GOOGLETRANSLATE(C25,""zh-tw"",""es-MX"")"),"patas de pulpo")</f>
        <v>patas de pulpo</v>
      </c>
      <c r="X25" s="163"/>
      <c r="Y25" s="163"/>
      <c r="Z25" s="384" t="s">
        <v>6252</v>
      </c>
      <c r="AA25" s="376"/>
      <c r="AB25" s="161" t="s">
        <v>6253</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6254</v>
      </c>
      <c r="AK25" s="376"/>
      <c r="AL25" s="161" t="s">
        <v>6255</v>
      </c>
      <c r="AM25" s="162"/>
      <c r="AN25" s="162"/>
      <c r="AO25" s="180" t="s">
        <v>6256</v>
      </c>
      <c r="AP25" s="190"/>
      <c r="AQ25" s="182" t="s">
        <v>6257</v>
      </c>
      <c r="AR25" s="183"/>
      <c r="AS25" s="183"/>
    </row>
    <row r="26">
      <c r="A26" s="385" t="s">
        <v>6258</v>
      </c>
      <c r="B26" s="381"/>
      <c r="C26" s="163" t="s">
        <v>6259</v>
      </c>
      <c r="D26" s="163" t="s">
        <v>6259</v>
      </c>
      <c r="E26" s="163" t="s">
        <v>6259</v>
      </c>
      <c r="F26" s="380" t="s">
        <v>6260</v>
      </c>
      <c r="G26" s="381"/>
      <c r="H26" s="163" t="s">
        <v>6240</v>
      </c>
      <c r="I26" s="163" t="s">
        <v>6240</v>
      </c>
      <c r="J26" s="163" t="s">
        <v>6240</v>
      </c>
      <c r="K26" s="99" t="s">
        <v>6261</v>
      </c>
      <c r="L26" s="381"/>
      <c r="M26" s="161" t="s">
        <v>6242</v>
      </c>
      <c r="N26" s="161" t="s">
        <v>6242</v>
      </c>
      <c r="O26" s="161" t="s">
        <v>6242</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6262</v>
      </c>
      <c r="AA26" s="376"/>
      <c r="AB26" s="387" t="s">
        <v>6263</v>
      </c>
      <c r="AC26" s="387" t="s">
        <v>6263</v>
      </c>
      <c r="AD26" s="161" t="s">
        <v>6263</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6264</v>
      </c>
      <c r="AK26" s="376"/>
      <c r="AL26" s="161" t="s">
        <v>6265</v>
      </c>
      <c r="AM26" s="161" t="s">
        <v>6265</v>
      </c>
      <c r="AN26" s="161" t="s">
        <v>6265</v>
      </c>
      <c r="AO26" s="154" t="s">
        <v>6266</v>
      </c>
      <c r="AP26" s="190"/>
      <c r="AQ26" s="182" t="s">
        <v>6245</v>
      </c>
      <c r="AR26" s="182" t="s">
        <v>6245</v>
      </c>
      <c r="AS26" s="182" t="s">
        <v>6245</v>
      </c>
    </row>
    <row r="27">
      <c r="A27" s="380" t="s">
        <v>6267</v>
      </c>
      <c r="B27" s="381"/>
      <c r="C27" s="163" t="s">
        <v>4229</v>
      </c>
      <c r="D27" s="176"/>
      <c r="E27" s="176"/>
      <c r="F27" s="380" t="s">
        <v>6268</v>
      </c>
      <c r="G27" s="381"/>
      <c r="H27" s="163" t="s">
        <v>6239</v>
      </c>
      <c r="I27" s="176"/>
      <c r="J27" s="176"/>
      <c r="K27" s="103" t="s">
        <v>6269</v>
      </c>
      <c r="L27" s="381"/>
      <c r="M27" s="161" t="s">
        <v>4231</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6270</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6271</v>
      </c>
      <c r="AK27" s="376"/>
      <c r="AL27" s="161" t="s">
        <v>4234</v>
      </c>
      <c r="AM27" s="162"/>
      <c r="AN27" s="162"/>
      <c r="AO27" s="180" t="s">
        <v>6272</v>
      </c>
      <c r="AP27" s="190"/>
      <c r="AQ27" s="182" t="s">
        <v>4236</v>
      </c>
      <c r="AR27" s="183"/>
      <c r="AS27" s="183"/>
    </row>
    <row r="28">
      <c r="A28" s="380" t="s">
        <v>6273</v>
      </c>
      <c r="B28" s="381"/>
      <c r="C28" s="163" t="s">
        <v>6237</v>
      </c>
      <c r="D28" s="163" t="s">
        <v>6274</v>
      </c>
      <c r="E28" s="176"/>
      <c r="F28" s="380" t="s">
        <v>6275</v>
      </c>
      <c r="G28" s="381"/>
      <c r="H28" s="163" t="s">
        <v>6240</v>
      </c>
      <c r="I28" s="163" t="s">
        <v>6276</v>
      </c>
      <c r="J28" s="176"/>
      <c r="K28" s="103" t="s">
        <v>6277</v>
      </c>
      <c r="L28" s="381"/>
      <c r="M28" s="161" t="s">
        <v>6242</v>
      </c>
      <c r="N28" s="161" t="s">
        <v>4037</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 y champiñones")</f>
        <v>Sopa de rábano y champiñones</v>
      </c>
      <c r="V28" s="375"/>
      <c r="W28" s="163" t="str">
        <f>IFERROR(__xludf.DUMMYFUNCTION("GOOGLETRANSLATE(C28,""zh-tw"",""es-MX"")"),"zanahoria")</f>
        <v>zanahoria</v>
      </c>
      <c r="X28" s="163" t="str">
        <f>IFERROR(__xludf.DUMMYFUNCTION("GOOGLETRANSLATE(D28,""zh-tw"",""es-MX"")"),"Hongos")</f>
        <v>Hongos</v>
      </c>
      <c r="Y28" s="163"/>
      <c r="Z28" s="384" t="s">
        <v>6278</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6279</v>
      </c>
      <c r="AK28" s="376"/>
      <c r="AL28" s="161" t="s">
        <v>6280</v>
      </c>
      <c r="AM28" s="162" t="str">
        <f>IFERROR(__xludf.DUMMYFUNCTION("GOOGLETRANSLATE(D28,""zh-tw"",""de"")"),"Pilze")</f>
        <v>Pilze</v>
      </c>
      <c r="AN28" s="162"/>
      <c r="AO28" s="180" t="s">
        <v>6281</v>
      </c>
      <c r="AP28" s="190"/>
      <c r="AQ28" s="182" t="s">
        <v>6245</v>
      </c>
      <c r="AR28" s="182" t="s">
        <v>4045</v>
      </c>
      <c r="AS28" s="183"/>
    </row>
    <row r="29">
      <c r="A29" s="380" t="s">
        <v>6282</v>
      </c>
      <c r="B29" s="381"/>
      <c r="C29" s="163" t="s">
        <v>6283</v>
      </c>
      <c r="D29" s="176"/>
      <c r="E29" s="176"/>
      <c r="F29" s="380" t="s">
        <v>6284</v>
      </c>
      <c r="G29" s="381"/>
      <c r="H29" s="163" t="s">
        <v>6285</v>
      </c>
      <c r="I29" s="176"/>
      <c r="J29" s="176"/>
      <c r="K29" s="103" t="s">
        <v>6286</v>
      </c>
      <c r="L29" s="381"/>
      <c r="M29" s="161" t="s">
        <v>6287</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6288</v>
      </c>
      <c r="AK29" s="376"/>
      <c r="AL29" s="161" t="s">
        <v>6287</v>
      </c>
      <c r="AM29" s="162"/>
      <c r="AN29" s="162"/>
      <c r="AO29" s="180" t="s">
        <v>6286</v>
      </c>
      <c r="AP29" s="190"/>
      <c r="AQ29" s="182" t="s">
        <v>6289</v>
      </c>
      <c r="AR29" s="183"/>
      <c r="AS29" s="183"/>
    </row>
    <row r="30">
      <c r="A30" s="380" t="s">
        <v>6290</v>
      </c>
      <c r="B30" s="381"/>
      <c r="C30" s="163" t="s">
        <v>6283</v>
      </c>
      <c r="D30" s="163" t="s">
        <v>6291</v>
      </c>
      <c r="E30" s="176"/>
      <c r="F30" s="380" t="s">
        <v>6292</v>
      </c>
      <c r="G30" s="381"/>
      <c r="H30" s="163" t="s">
        <v>6285</v>
      </c>
      <c r="I30" s="163" t="s">
        <v>6293</v>
      </c>
      <c r="J30" s="176"/>
      <c r="K30" s="103" t="s">
        <v>6294</v>
      </c>
      <c r="L30" s="381"/>
      <c r="M30" s="161" t="s">
        <v>6287</v>
      </c>
      <c r="N30" s="161" t="s">
        <v>6295</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con tomate")</f>
        <v>Pasta con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6296</v>
      </c>
      <c r="AK30" s="376"/>
      <c r="AL30" s="161" t="s">
        <v>6287</v>
      </c>
      <c r="AM30" s="161" t="s">
        <v>6297</v>
      </c>
      <c r="AN30" s="162"/>
      <c r="AO30" s="180" t="s">
        <v>6298</v>
      </c>
      <c r="AP30" s="190"/>
      <c r="AQ30" s="182" t="s">
        <v>6289</v>
      </c>
      <c r="AR30" s="182" t="s">
        <v>6299</v>
      </c>
      <c r="AS30" s="183"/>
    </row>
    <row r="31">
      <c r="A31" s="380" t="s">
        <v>6300</v>
      </c>
      <c r="B31" s="381"/>
      <c r="C31" s="163" t="s">
        <v>6283</v>
      </c>
      <c r="D31" s="163" t="s">
        <v>6301</v>
      </c>
      <c r="E31" s="176"/>
      <c r="F31" s="380" t="s">
        <v>6302</v>
      </c>
      <c r="G31" s="381"/>
      <c r="H31" s="163" t="s">
        <v>6285</v>
      </c>
      <c r="I31" s="163" t="s">
        <v>6303</v>
      </c>
      <c r="J31" s="176"/>
      <c r="K31" s="103" t="s">
        <v>6304</v>
      </c>
      <c r="L31" s="381"/>
      <c r="M31" s="161" t="s">
        <v>6287</v>
      </c>
      <c r="N31" s="161" t="s">
        <v>6305</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6306</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6307</v>
      </c>
      <c r="AK31" s="376"/>
      <c r="AL31" s="161" t="s">
        <v>6287</v>
      </c>
      <c r="AM31" s="161" t="s">
        <v>6308</v>
      </c>
      <c r="AN31" s="162"/>
      <c r="AO31" s="180" t="s">
        <v>6309</v>
      </c>
      <c r="AP31" s="190"/>
      <c r="AQ31" s="182" t="s">
        <v>6289</v>
      </c>
      <c r="AR31" s="182" t="s">
        <v>6310</v>
      </c>
      <c r="AS31" s="183"/>
    </row>
    <row r="32">
      <c r="A32" s="380" t="s">
        <v>6311</v>
      </c>
      <c r="B32" s="381"/>
      <c r="C32" s="163" t="s">
        <v>6070</v>
      </c>
      <c r="D32" s="163" t="s">
        <v>6071</v>
      </c>
      <c r="E32" s="163" t="s">
        <v>4019</v>
      </c>
      <c r="F32" s="380" t="s">
        <v>6312</v>
      </c>
      <c r="G32" s="381"/>
      <c r="H32" s="163" t="s">
        <v>6073</v>
      </c>
      <c r="I32" s="163" t="s">
        <v>6074</v>
      </c>
      <c r="J32" s="163" t="s">
        <v>6313</v>
      </c>
      <c r="K32" s="99" t="s">
        <v>6314</v>
      </c>
      <c r="L32" s="381"/>
      <c r="M32" s="161" t="s">
        <v>6076</v>
      </c>
      <c r="N32" s="161" t="s">
        <v>6077</v>
      </c>
      <c r="O32" s="161" t="s">
        <v>4022</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3" t="str">
        <f>IFERROR(__xludf.DUMMYFUNCTION("GOOGLETRANSLATE(A32,""zh-tw"",""KO"")"),"계란 카레 라이스")</f>
        <v>계란 카레 라이스</v>
      </c>
      <c r="AA32" s="376"/>
      <c r="AB32" s="162" t="str">
        <f>IFERROR(__xludf.DUMMYFUNCTION("GOOGLETRANSLATE(C32,""zh-tw"",""KO"")"),"흰쌀")</f>
        <v>흰쌀</v>
      </c>
      <c r="AC32" s="161" t="s">
        <v>6078</v>
      </c>
      <c r="AD32" s="161" t="s">
        <v>4024</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6315</v>
      </c>
      <c r="AK32" s="376"/>
      <c r="AL32" s="161" t="s">
        <v>6080</v>
      </c>
      <c r="AM32" s="161" t="s">
        <v>6081</v>
      </c>
      <c r="AN32" s="161" t="s">
        <v>6316</v>
      </c>
      <c r="AO32" s="180" t="s">
        <v>6317</v>
      </c>
      <c r="AP32" s="190"/>
      <c r="AQ32" s="182" t="s">
        <v>6083</v>
      </c>
      <c r="AR32" s="182" t="s">
        <v>6084</v>
      </c>
      <c r="AS32" s="182" t="s">
        <v>4029</v>
      </c>
    </row>
    <row r="33">
      <c r="A33" s="380" t="s">
        <v>6318</v>
      </c>
      <c r="B33" s="381"/>
      <c r="C33" s="163" t="s">
        <v>6070</v>
      </c>
      <c r="D33" s="163" t="s">
        <v>4019</v>
      </c>
      <c r="E33" s="176"/>
      <c r="F33" s="380" t="s">
        <v>6319</v>
      </c>
      <c r="G33" s="381"/>
      <c r="H33" s="163" t="s">
        <v>6073</v>
      </c>
      <c r="I33" s="163" t="s">
        <v>6313</v>
      </c>
      <c r="J33" s="176"/>
      <c r="K33" s="103" t="s">
        <v>6320</v>
      </c>
      <c r="L33" s="381"/>
      <c r="M33" s="161" t="s">
        <v>6076</v>
      </c>
      <c r="N33" s="161" t="s">
        <v>6321</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con tortilla")</f>
        <v>Arroz con tortilla</v>
      </c>
      <c r="V33" s="375"/>
      <c r="W33" s="163" t="str">
        <f>IFERROR(__xludf.DUMMYFUNCTION("GOOGLETRANSLATE(C33,""zh-tw"",""es-MX"")"),"arroz blanco")</f>
        <v>arroz blanco</v>
      </c>
      <c r="X33" s="163" t="str">
        <f>IFERROR(__xludf.DUMMYFUNCTION("GOOGLETRANSLATE(D33,""zh-tw"",""es-MX"")"),"Un huevo muy grande")</f>
        <v>Un huevo muy grande</v>
      </c>
      <c r="Y33" s="163"/>
      <c r="Z33" s="384" t="s">
        <v>6322</v>
      </c>
      <c r="AA33" s="376"/>
      <c r="AB33" s="162" t="str">
        <f>IFERROR(__xludf.DUMMYFUNCTION("GOOGLETRANSLATE(C33,""zh-tw"",""KO"")"),"흰쌀")</f>
        <v>흰쌀</v>
      </c>
      <c r="AC33" s="317" t="s">
        <v>4024</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6323</v>
      </c>
      <c r="AK33" s="376"/>
      <c r="AL33" s="161" t="s">
        <v>6080</v>
      </c>
      <c r="AM33" s="161" t="s">
        <v>6316</v>
      </c>
      <c r="AN33" s="162"/>
      <c r="AO33" s="180" t="s">
        <v>6320</v>
      </c>
      <c r="AP33" s="190"/>
      <c r="AQ33" s="182" t="s">
        <v>6083</v>
      </c>
      <c r="AR33" s="182" t="s">
        <v>4029</v>
      </c>
      <c r="AS33" s="183"/>
    </row>
    <row r="34">
      <c r="A34" s="380" t="s">
        <v>6324</v>
      </c>
      <c r="B34" s="381"/>
      <c r="C34" s="163" t="s">
        <v>6070</v>
      </c>
      <c r="D34" s="163" t="s">
        <v>4019</v>
      </c>
      <c r="E34" s="163" t="s">
        <v>4238</v>
      </c>
      <c r="F34" s="380" t="s">
        <v>6325</v>
      </c>
      <c r="G34" s="381"/>
      <c r="H34" s="163" t="s">
        <v>6073</v>
      </c>
      <c r="I34" s="163" t="s">
        <v>6313</v>
      </c>
      <c r="J34" s="163" t="s">
        <v>6326</v>
      </c>
      <c r="K34" s="103" t="s">
        <v>6327</v>
      </c>
      <c r="L34" s="381"/>
      <c r="M34" s="161" t="s">
        <v>6076</v>
      </c>
      <c r="N34" s="161" t="s">
        <v>6321</v>
      </c>
      <c r="O34" s="161" t="s">
        <v>4240</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4" t="s">
        <v>6328</v>
      </c>
      <c r="AA34" s="376"/>
      <c r="AB34" s="162" t="str">
        <f>IFERROR(__xludf.DUMMYFUNCTION("GOOGLETRANSLATE(C34,""zh-tw"",""KO"")"),"흰쌀")</f>
        <v>흰쌀</v>
      </c>
      <c r="AC34" s="317" t="s">
        <v>4024</v>
      </c>
      <c r="AD34" s="162" t="str">
        <f>IFERROR(__xludf.DUMMYFUNCTION("GOOGLETRANSLATE(E34,""zh-tw"",""KO"")"),"토마토")</f>
        <v>토마토</v>
      </c>
      <c r="AE34" s="380" t="str">
        <f>IFERROR(__xludf.DUMMYFUNCTION("GOOGLETRANSLATE(A34,""zh-tw"",""ru"")"),"Омлет с томатным рисом")</f>
        <v>Омлет с томатным рисом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6329</v>
      </c>
      <c r="AK34" s="376"/>
      <c r="AL34" s="161" t="s">
        <v>6080</v>
      </c>
      <c r="AM34" s="161" t="s">
        <v>6316</v>
      </c>
      <c r="AN34" s="161" t="s">
        <v>6330</v>
      </c>
      <c r="AO34" s="180" t="s">
        <v>6331</v>
      </c>
      <c r="AP34" s="190"/>
      <c r="AQ34" s="182" t="s">
        <v>6083</v>
      </c>
      <c r="AR34" s="182" t="s">
        <v>4029</v>
      </c>
      <c r="AS34" s="182" t="s">
        <v>4244</v>
      </c>
    </row>
    <row r="35">
      <c r="A35" s="380" t="s">
        <v>6332</v>
      </c>
      <c r="B35" s="381"/>
      <c r="C35" s="163" t="s">
        <v>6070</v>
      </c>
      <c r="D35" s="163" t="s">
        <v>6333</v>
      </c>
      <c r="E35" s="176"/>
      <c r="F35" s="380" t="s">
        <v>6334</v>
      </c>
      <c r="G35" s="381"/>
      <c r="H35" s="163" t="s">
        <v>6073</v>
      </c>
      <c r="I35" s="163" t="s">
        <v>6335</v>
      </c>
      <c r="J35" s="176"/>
      <c r="K35" s="103" t="s">
        <v>6336</v>
      </c>
      <c r="L35" s="381"/>
      <c r="M35" s="161" t="s">
        <v>6076</v>
      </c>
      <c r="N35" s="161" t="s">
        <v>6305</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6337</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6338</v>
      </c>
      <c r="AK35" s="376"/>
      <c r="AL35" s="161" t="s">
        <v>6080</v>
      </c>
      <c r="AM35" s="161" t="s">
        <v>6339</v>
      </c>
      <c r="AN35" s="162"/>
      <c r="AO35" s="180" t="s">
        <v>6340</v>
      </c>
      <c r="AP35" s="190"/>
      <c r="AQ35" s="182" t="s">
        <v>6083</v>
      </c>
      <c r="AR35" s="182" t="s">
        <v>6310</v>
      </c>
      <c r="AS35" s="183"/>
    </row>
    <row r="36">
      <c r="A36" s="380" t="s">
        <v>6341</v>
      </c>
      <c r="B36" s="381"/>
      <c r="C36" s="163" t="s">
        <v>6342</v>
      </c>
      <c r="D36" s="176"/>
      <c r="E36" s="176"/>
      <c r="F36" s="380" t="s">
        <v>6343</v>
      </c>
      <c r="G36" s="381"/>
      <c r="H36" s="163" t="s">
        <v>6344</v>
      </c>
      <c r="I36" s="176"/>
      <c r="J36" s="176"/>
      <c r="K36" s="99" t="s">
        <v>6345</v>
      </c>
      <c r="L36" s="381"/>
      <c r="M36" s="161" t="s">
        <v>6346</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6347</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6348</v>
      </c>
      <c r="AK36" s="376"/>
      <c r="AL36" s="161" t="s">
        <v>6349</v>
      </c>
      <c r="AM36" s="162"/>
      <c r="AN36" s="162"/>
      <c r="AO36" s="180" t="s">
        <v>6350</v>
      </c>
      <c r="AP36" s="190"/>
      <c r="AQ36" s="182" t="s">
        <v>6351</v>
      </c>
      <c r="AR36" s="183"/>
      <c r="AS36" s="183"/>
    </row>
    <row r="37">
      <c r="A37" s="385" t="s">
        <v>6352</v>
      </c>
      <c r="B37" s="381"/>
      <c r="C37" s="163" t="s">
        <v>6259</v>
      </c>
      <c r="D37" s="163" t="s">
        <v>6259</v>
      </c>
      <c r="E37" s="176"/>
      <c r="F37" s="380" t="s">
        <v>6353</v>
      </c>
      <c r="G37" s="381"/>
      <c r="H37" s="163" t="s">
        <v>6354</v>
      </c>
      <c r="I37" s="163" t="s">
        <v>6354</v>
      </c>
      <c r="J37" s="176"/>
      <c r="K37" s="103" t="s">
        <v>6355</v>
      </c>
      <c r="L37" s="381"/>
      <c r="M37" s="161" t="s">
        <v>6356</v>
      </c>
      <c r="N37" s="161" t="s">
        <v>6356</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6357</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6358</v>
      </c>
      <c r="AK37" s="376"/>
      <c r="AL37" s="161" t="s">
        <v>6265</v>
      </c>
      <c r="AM37" s="161" t="s">
        <v>6265</v>
      </c>
      <c r="AN37" s="162"/>
      <c r="AO37" s="154" t="s">
        <v>6359</v>
      </c>
      <c r="AP37" s="190"/>
      <c r="AQ37" s="182" t="s">
        <v>6360</v>
      </c>
      <c r="AR37" s="182" t="s">
        <v>6360</v>
      </c>
      <c r="AS37" s="183"/>
    </row>
    <row r="38">
      <c r="A38" s="380" t="s">
        <v>6361</v>
      </c>
      <c r="B38" s="366" t="s">
        <v>236</v>
      </c>
      <c r="C38" s="163" t="s">
        <v>6362</v>
      </c>
      <c r="D38" s="163" t="s">
        <v>6362</v>
      </c>
      <c r="E38" s="163" t="s">
        <v>6087</v>
      </c>
      <c r="F38" s="380" t="s">
        <v>6363</v>
      </c>
      <c r="G38" s="366" t="s">
        <v>236</v>
      </c>
      <c r="H38" s="163" t="s">
        <v>6364</v>
      </c>
      <c r="I38" s="163" t="s">
        <v>6364</v>
      </c>
      <c r="J38" s="163" t="s">
        <v>6090</v>
      </c>
      <c r="K38" s="99" t="s">
        <v>6365</v>
      </c>
      <c r="L38" s="366" t="s">
        <v>236</v>
      </c>
      <c r="M38" s="161" t="s">
        <v>6366</v>
      </c>
      <c r="N38" s="161" t="s">
        <v>6366</v>
      </c>
      <c r="O38" s="161" t="s">
        <v>6093</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IFERROR(__xludf.DUMMYFUNCTION("GOOGLETRANSLATE(C38,""zh-tw"",""es-MX"")"),"carne de muslo de pollo")</f>
        <v>carne de muslo de pollo</v>
      </c>
      <c r="X38" s="163" t="str">
        <f>IFERROR(__xludf.DUMMYFUNCTION("GOOGLETRANSLATE(D38,""zh-tw"",""es-MX"")"),"carne de muslo de pollo")</f>
        <v>carne de muslo de pollo</v>
      </c>
      <c r="Y38" s="163" t="str">
        <f>IFERROR(__xludf.DUMMYFUNCTION("GOOGLETRANSLATE(E38,""zh-tw"",""es-MX"")"),"harina de trigo")</f>
        <v>harina de trigo</v>
      </c>
      <c r="Z38" s="384" t="s">
        <v>6367</v>
      </c>
      <c r="AA38" s="388" t="s">
        <v>236</v>
      </c>
      <c r="AB38" s="161" t="s">
        <v>6368</v>
      </c>
      <c r="AC38" s="161" t="s">
        <v>6368</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6369</v>
      </c>
      <c r="AK38" s="376" t="s">
        <v>236</v>
      </c>
      <c r="AL38" s="161" t="s">
        <v>6370</v>
      </c>
      <c r="AM38" s="161" t="s">
        <v>6370</v>
      </c>
      <c r="AN38" s="161" t="s">
        <v>6096</v>
      </c>
      <c r="AO38" s="180" t="s">
        <v>6371</v>
      </c>
      <c r="AP38" s="386" t="s">
        <v>236</v>
      </c>
      <c r="AQ38" s="182" t="s">
        <v>6372</v>
      </c>
      <c r="AR38" s="182" t="s">
        <v>6372</v>
      </c>
      <c r="AS38" s="182" t="s">
        <v>6099</v>
      </c>
    </row>
    <row r="39">
      <c r="A39" s="385" t="s">
        <v>6373</v>
      </c>
      <c r="B39" s="366" t="s">
        <v>236</v>
      </c>
      <c r="C39" s="163" t="s">
        <v>6362</v>
      </c>
      <c r="D39" s="176"/>
      <c r="E39" s="176"/>
      <c r="F39" s="380" t="s">
        <v>6374</v>
      </c>
      <c r="G39" s="366" t="s">
        <v>236</v>
      </c>
      <c r="H39" s="163" t="s">
        <v>6364</v>
      </c>
      <c r="I39" s="176"/>
      <c r="J39" s="176"/>
      <c r="K39" s="103" t="s">
        <v>6375</v>
      </c>
      <c r="L39" s="366" t="s">
        <v>236</v>
      </c>
      <c r="M39" s="161" t="s">
        <v>6366</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IFERROR(__xludf.DUMMYFUNCTION("GOOGLETRANSLATE(A39,""zh-tw"",""es-MX"")"),"muslos de pollo fritos")</f>
        <v>muslos de pollo fritos</v>
      </c>
      <c r="V39" s="375" t="str">
        <f>IFERROR(__xludf.DUMMYFUNCTION("GOOGLETRANSLATE(B39,""zh-tw"",""es-MX"")"),"A")</f>
        <v>A</v>
      </c>
      <c r="W39" s="163" t="str">
        <f>IFERROR(__xludf.DUMMYFUNCTION("GOOGLETRANSLATE(C39,""zh-tw"",""es-MX"")"),"carne de muslo de pollo")</f>
        <v>carne de muslo de pollo</v>
      </c>
      <c r="X39" s="163"/>
      <c r="Y39" s="163"/>
      <c r="Z39" s="383" t="str">
        <f>IFERROR(__xludf.DUMMYFUNCTION("GOOGLETRANSLATE(A39,""zh-tw"",""KO"")"),"튀긴 닭다리")</f>
        <v>튀긴 닭다리</v>
      </c>
      <c r="AA39" s="388" t="s">
        <v>236</v>
      </c>
      <c r="AB39" s="161" t="s">
        <v>6368</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6376</v>
      </c>
      <c r="AK39" s="376" t="s">
        <v>236</v>
      </c>
      <c r="AL39" s="161" t="s">
        <v>6370</v>
      </c>
      <c r="AM39" s="162"/>
      <c r="AN39" s="162"/>
      <c r="AO39" s="154" t="s">
        <v>6377</v>
      </c>
      <c r="AP39" s="386" t="s">
        <v>236</v>
      </c>
      <c r="AQ39" s="182" t="s">
        <v>6372</v>
      </c>
      <c r="AR39" s="183"/>
      <c r="AS39" s="183"/>
    </row>
    <row r="40">
      <c r="A40" s="380" t="s">
        <v>6378</v>
      </c>
      <c r="B40" s="366" t="s">
        <v>236</v>
      </c>
      <c r="C40" s="163" t="s">
        <v>6070</v>
      </c>
      <c r="D40" s="163" t="s">
        <v>6362</v>
      </c>
      <c r="E40" s="176"/>
      <c r="F40" s="380" t="s">
        <v>6379</v>
      </c>
      <c r="G40" s="366" t="s">
        <v>236</v>
      </c>
      <c r="H40" s="163" t="s">
        <v>6073</v>
      </c>
      <c r="I40" s="163" t="s">
        <v>6364</v>
      </c>
      <c r="J40" s="176"/>
      <c r="K40" s="103" t="s">
        <v>6380</v>
      </c>
      <c r="L40" s="366" t="s">
        <v>236</v>
      </c>
      <c r="M40" s="161" t="s">
        <v>6185</v>
      </c>
      <c r="N40" s="161" t="s">
        <v>6366</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IFERROR(__xludf.DUMMYFUNCTION("GOOGLETRANSLATE(D40,""zh-tw"",""es-MX"")"),"carne de muslo de pollo")</f>
        <v>carne de muslo de pollo</v>
      </c>
      <c r="Y40" s="163"/>
      <c r="Z40" s="384" t="s">
        <v>6381</v>
      </c>
      <c r="AA40" s="388" t="s">
        <v>236</v>
      </c>
      <c r="AB40" s="162" t="str">
        <f>IFERROR(__xludf.DUMMYFUNCTION("GOOGLETRANSLATE(C40,""zh-tw"",""KO"")"),"흰쌀")</f>
        <v>흰쌀</v>
      </c>
      <c r="AC40" s="161" t="s">
        <v>6368</v>
      </c>
      <c r="AD40" s="162"/>
      <c r="AE40" s="380" t="str">
        <f>IFERROR(__xludf.DUMMYFUNCTION("GOOGLETRANSLATE(A40,""zh-tw"",""ru"")"),"Рисовые шарики темпура")</f>
        <v>Рисовые шарики темпура</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6382</v>
      </c>
      <c r="AK40" s="376" t="s">
        <v>236</v>
      </c>
      <c r="AL40" s="161" t="s">
        <v>6080</v>
      </c>
      <c r="AM40" s="161" t="s">
        <v>6370</v>
      </c>
      <c r="AN40" s="162"/>
      <c r="AO40" s="180" t="s">
        <v>6380</v>
      </c>
      <c r="AP40" s="386" t="s">
        <v>236</v>
      </c>
      <c r="AQ40" s="182" t="s">
        <v>6083</v>
      </c>
      <c r="AR40" s="182" t="s">
        <v>6372</v>
      </c>
      <c r="AS40" s="183"/>
    </row>
    <row r="41">
      <c r="A41" s="380" t="s">
        <v>6383</v>
      </c>
      <c r="B41" s="381"/>
      <c r="C41" s="163" t="s">
        <v>6384</v>
      </c>
      <c r="D41" s="163" t="s">
        <v>6384</v>
      </c>
      <c r="E41" s="163" t="s">
        <v>6384</v>
      </c>
      <c r="F41" s="380" t="s">
        <v>6385</v>
      </c>
      <c r="G41" s="389"/>
      <c r="H41" s="163" t="s">
        <v>6335</v>
      </c>
      <c r="I41" s="163" t="s">
        <v>6335</v>
      </c>
      <c r="J41" s="163" t="s">
        <v>6335</v>
      </c>
      <c r="K41" s="103" t="s">
        <v>6386</v>
      </c>
      <c r="L41" s="381"/>
      <c r="M41" s="161" t="s">
        <v>6387</v>
      </c>
      <c r="N41" s="161" t="s">
        <v>6387</v>
      </c>
      <c r="O41" s="161" t="s">
        <v>6387</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6388</v>
      </c>
      <c r="AA41" s="376"/>
      <c r="AB41" s="161" t="s">
        <v>6337</v>
      </c>
      <c r="AC41" s="161" t="s">
        <v>6337</v>
      </c>
      <c r="AD41" s="161" t="s">
        <v>6337</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6389</v>
      </c>
      <c r="AK41" s="376"/>
      <c r="AL41" s="161" t="s">
        <v>6339</v>
      </c>
      <c r="AM41" s="161" t="s">
        <v>6339</v>
      </c>
      <c r="AN41" s="161" t="s">
        <v>6339</v>
      </c>
      <c r="AO41" s="180" t="s">
        <v>6390</v>
      </c>
      <c r="AP41" s="190"/>
      <c r="AQ41" s="182" t="s">
        <v>6391</v>
      </c>
      <c r="AR41" s="182" t="s">
        <v>6391</v>
      </c>
      <c r="AS41" s="182" t="s">
        <v>6391</v>
      </c>
    </row>
    <row r="42">
      <c r="A42" s="380" t="s">
        <v>6392</v>
      </c>
      <c r="B42" s="381"/>
      <c r="C42" s="163" t="s">
        <v>6393</v>
      </c>
      <c r="D42" s="163" t="s">
        <v>6393</v>
      </c>
      <c r="E42" s="163" t="s">
        <v>6393</v>
      </c>
      <c r="F42" s="380" t="s">
        <v>6394</v>
      </c>
      <c r="G42" s="389"/>
      <c r="H42" s="163" t="s">
        <v>6395</v>
      </c>
      <c r="I42" s="163" t="s">
        <v>6395</v>
      </c>
      <c r="J42" s="163" t="s">
        <v>6395</v>
      </c>
      <c r="K42" s="103" t="s">
        <v>6396</v>
      </c>
      <c r="L42" s="381"/>
      <c r="M42" s="161" t="s">
        <v>6397</v>
      </c>
      <c r="N42" s="161" t="s">
        <v>6397</v>
      </c>
      <c r="O42" s="161" t="s">
        <v>6397</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6398</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6399</v>
      </c>
      <c r="AK42" s="376"/>
      <c r="AL42" s="161" t="s">
        <v>6400</v>
      </c>
      <c r="AM42" s="161" t="s">
        <v>6400</v>
      </c>
      <c r="AN42" s="161" t="s">
        <v>6400</v>
      </c>
      <c r="AO42" s="180" t="s">
        <v>6401</v>
      </c>
      <c r="AP42" s="190"/>
      <c r="AQ42" s="182" t="s">
        <v>6402</v>
      </c>
      <c r="AR42" s="182" t="s">
        <v>6402</v>
      </c>
      <c r="AS42" s="182" t="s">
        <v>6402</v>
      </c>
    </row>
    <row r="43">
      <c r="A43" s="385" t="s">
        <v>6403</v>
      </c>
      <c r="B43" s="381"/>
      <c r="C43" s="163" t="s">
        <v>6404</v>
      </c>
      <c r="D43" s="176"/>
      <c r="E43" s="176"/>
      <c r="F43" s="380" t="s">
        <v>6405</v>
      </c>
      <c r="G43" s="389"/>
      <c r="H43" s="163" t="s">
        <v>6406</v>
      </c>
      <c r="I43" s="176"/>
      <c r="J43" s="176"/>
      <c r="K43" s="103" t="s">
        <v>6407</v>
      </c>
      <c r="L43" s="381"/>
      <c r="M43" s="161" t="s">
        <v>6408</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6409</v>
      </c>
      <c r="AK43" s="376"/>
      <c r="AL43" s="161" t="s">
        <v>6410</v>
      </c>
      <c r="AM43" s="162"/>
      <c r="AN43" s="162"/>
      <c r="AO43" s="154" t="s">
        <v>6411</v>
      </c>
      <c r="AP43" s="190"/>
      <c r="AQ43" s="182" t="s">
        <v>6412</v>
      </c>
      <c r="AR43" s="182" t="s">
        <v>6099</v>
      </c>
      <c r="AS43" s="183"/>
    </row>
    <row r="44">
      <c r="A44" s="380" t="s">
        <v>6413</v>
      </c>
      <c r="B44" s="389"/>
      <c r="C44" s="163" t="s">
        <v>6247</v>
      </c>
      <c r="D44" s="163" t="s">
        <v>6087</v>
      </c>
      <c r="E44" s="176"/>
      <c r="F44" s="380" t="s">
        <v>6414</v>
      </c>
      <c r="G44" s="389"/>
      <c r="H44" s="163" t="s">
        <v>6249</v>
      </c>
      <c r="I44" s="163" t="s">
        <v>6090</v>
      </c>
      <c r="J44" s="176"/>
      <c r="K44" s="103" t="s">
        <v>6415</v>
      </c>
      <c r="L44" s="381"/>
      <c r="M44" s="161" t="s">
        <v>6251</v>
      </c>
      <c r="N44" s="161" t="s">
        <v>6093</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6416</v>
      </c>
      <c r="AA44" s="376"/>
      <c r="AB44" s="161" t="s">
        <v>6253</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6417</v>
      </c>
      <c r="AK44" s="376"/>
      <c r="AL44" s="161" t="s">
        <v>6255</v>
      </c>
      <c r="AM44" s="161" t="s">
        <v>6096</v>
      </c>
      <c r="AN44" s="162"/>
      <c r="AO44" s="180" t="s">
        <v>6415</v>
      </c>
      <c r="AP44" s="190"/>
      <c r="AQ44" s="182" t="s">
        <v>6257</v>
      </c>
      <c r="AR44" s="183"/>
      <c r="AS44" s="183"/>
    </row>
    <row r="45">
      <c r="A45" s="380" t="s">
        <v>6418</v>
      </c>
      <c r="B45" s="389"/>
      <c r="C45" s="163" t="s">
        <v>6134</v>
      </c>
      <c r="D45" s="176"/>
      <c r="E45" s="176"/>
      <c r="F45" s="380" t="s">
        <v>6166</v>
      </c>
      <c r="G45" s="389"/>
      <c r="H45" s="163" t="s">
        <v>6136</v>
      </c>
      <c r="I45" s="176"/>
      <c r="J45" s="176"/>
      <c r="K45" s="103" t="s">
        <v>6419</v>
      </c>
      <c r="L45" s="381"/>
      <c r="M45" s="161" t="s">
        <v>6139</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6420</v>
      </c>
      <c r="AA45" s="376"/>
      <c r="AB45" s="161" t="s">
        <v>6141</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6421</v>
      </c>
      <c r="AK45" s="376"/>
      <c r="AL45" s="161" t="s">
        <v>6143</v>
      </c>
      <c r="AM45" s="162"/>
      <c r="AN45" s="162"/>
      <c r="AO45" s="180" t="s">
        <v>6422</v>
      </c>
      <c r="AP45" s="190"/>
      <c r="AQ45" s="182" t="s">
        <v>6144</v>
      </c>
      <c r="AR45" s="183"/>
      <c r="AS45" s="183"/>
    </row>
    <row r="46">
      <c r="A46" s="380" t="s">
        <v>6423</v>
      </c>
      <c r="B46" s="366" t="s">
        <v>787</v>
      </c>
      <c r="C46" s="163" t="s">
        <v>4229</v>
      </c>
      <c r="D46" s="163" t="s">
        <v>4246</v>
      </c>
      <c r="E46" s="176"/>
      <c r="F46" s="380" t="s">
        <v>6424</v>
      </c>
      <c r="G46" s="366" t="s">
        <v>787</v>
      </c>
      <c r="H46" s="163" t="s">
        <v>6239</v>
      </c>
      <c r="I46" s="163" t="s">
        <v>6425</v>
      </c>
      <c r="J46" s="176"/>
      <c r="K46" s="103" t="s">
        <v>6426</v>
      </c>
      <c r="L46" s="366" t="s">
        <v>787</v>
      </c>
      <c r="M46" s="161" t="s">
        <v>4231</v>
      </c>
      <c r="N46" s="161" t="s">
        <v>4248</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6427</v>
      </c>
      <c r="AA46" s="388" t="s">
        <v>787</v>
      </c>
      <c r="AB46" s="162" t="str">
        <f>IFERROR(__xludf.DUMMYFUNCTION("GOOGLETRANSLATE(C46,""zh-tw"",""KO"")"),"감자")</f>
        <v>감자</v>
      </c>
      <c r="AC46" s="317" t="s">
        <v>6428</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6429</v>
      </c>
      <c r="AK46" s="376" t="s">
        <v>787</v>
      </c>
      <c r="AL46" s="161" t="s">
        <v>4234</v>
      </c>
      <c r="AM46" s="161" t="s">
        <v>6430</v>
      </c>
      <c r="AN46" s="162"/>
      <c r="AO46" s="180" t="s">
        <v>6431</v>
      </c>
      <c r="AP46" s="386" t="s">
        <v>787</v>
      </c>
      <c r="AQ46" s="182" t="s">
        <v>4236</v>
      </c>
      <c r="AR46" s="182" t="s">
        <v>4252</v>
      </c>
      <c r="AS46" s="183"/>
    </row>
    <row r="47">
      <c r="A47" s="380" t="s">
        <v>6432</v>
      </c>
      <c r="B47" s="366" t="s">
        <v>787</v>
      </c>
      <c r="C47" s="163" t="s">
        <v>4246</v>
      </c>
      <c r="D47" s="176"/>
      <c r="E47" s="176"/>
      <c r="F47" s="380" t="s">
        <v>6433</v>
      </c>
      <c r="G47" s="366" t="s">
        <v>787</v>
      </c>
      <c r="H47" s="163" t="s">
        <v>6425</v>
      </c>
      <c r="I47" s="176"/>
      <c r="J47" s="176"/>
      <c r="K47" s="103" t="s">
        <v>6434</v>
      </c>
      <c r="L47" s="366" t="s">
        <v>787</v>
      </c>
      <c r="M47" s="161" t="s">
        <v>4248</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6435</v>
      </c>
      <c r="AA47" s="388" t="s">
        <v>787</v>
      </c>
      <c r="AB47" s="317" t="s">
        <v>6428</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6436</v>
      </c>
      <c r="AK47" s="376" t="s">
        <v>787</v>
      </c>
      <c r="AL47" s="161" t="s">
        <v>6430</v>
      </c>
      <c r="AM47" s="162"/>
      <c r="AN47" s="162"/>
      <c r="AO47" s="180" t="s">
        <v>6437</v>
      </c>
      <c r="AP47" s="386" t="s">
        <v>787</v>
      </c>
      <c r="AQ47" s="182" t="s">
        <v>4252</v>
      </c>
      <c r="AR47" s="183"/>
      <c r="AS47" s="183"/>
    </row>
    <row r="48">
      <c r="A48" s="380" t="s">
        <v>6438</v>
      </c>
      <c r="B48" s="389"/>
      <c r="C48" s="163" t="s">
        <v>6059</v>
      </c>
      <c r="D48" s="163" t="s">
        <v>6190</v>
      </c>
      <c r="E48" s="176"/>
      <c r="F48" s="380" t="s">
        <v>6439</v>
      </c>
      <c r="G48" s="389"/>
      <c r="H48" s="163" t="s">
        <v>6061</v>
      </c>
      <c r="I48" s="163" t="s">
        <v>6192</v>
      </c>
      <c r="J48" s="176"/>
      <c r="K48" s="103" t="s">
        <v>6440</v>
      </c>
      <c r="L48" s="381"/>
      <c r="M48" s="161" t="s">
        <v>6063</v>
      </c>
      <c r="N48" s="161" t="s">
        <v>6194</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 de monstruo de agua")</f>
        <v>Gomita de monstruo de agua</v>
      </c>
      <c r="V48" s="375"/>
      <c r="W48" s="163" t="str">
        <f>IFERROR(__xludf.DUMMYFUNCTION("GOOGLETRANSLATE(C48,""zh-tw"",""es-MX"")"),"limo")</f>
        <v>limo</v>
      </c>
      <c r="X48" s="163" t="str">
        <f>IFERROR(__xludf.DUMMYFUNCTION("GOOGLETRANSLATE(D48,""zh-tw"",""es-MX"")"),"Monstruo de agua viscoso")</f>
        <v>Monstruo de agua viscoso</v>
      </c>
      <c r="Y48" s="163"/>
      <c r="Z48" s="384" t="s">
        <v>6441</v>
      </c>
      <c r="AA48" s="376"/>
      <c r="AB48" s="317" t="s">
        <v>6064</v>
      </c>
      <c r="AC48" s="161" t="s">
        <v>6195</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6442</v>
      </c>
      <c r="AK48" s="376"/>
      <c r="AL48" s="161" t="s">
        <v>6066</v>
      </c>
      <c r="AM48" s="161" t="s">
        <v>6197</v>
      </c>
      <c r="AN48" s="162"/>
      <c r="AO48" s="180" t="s">
        <v>6443</v>
      </c>
      <c r="AP48" s="190"/>
      <c r="AQ48" s="182" t="s">
        <v>6068</v>
      </c>
      <c r="AR48" s="182" t="s">
        <v>6199</v>
      </c>
      <c r="AS48" s="183"/>
    </row>
    <row r="49">
      <c r="A49" s="380" t="s">
        <v>6444</v>
      </c>
      <c r="B49" s="389"/>
      <c r="C49" s="163" t="s">
        <v>6059</v>
      </c>
      <c r="D49" s="163" t="s">
        <v>6190</v>
      </c>
      <c r="E49" s="176"/>
      <c r="F49" s="380" t="s">
        <v>6445</v>
      </c>
      <c r="G49" s="389"/>
      <c r="H49" s="163" t="s">
        <v>6061</v>
      </c>
      <c r="I49" s="163" t="s">
        <v>6192</v>
      </c>
      <c r="J49" s="176"/>
      <c r="K49" s="103" t="s">
        <v>6446</v>
      </c>
      <c r="L49" s="381"/>
      <c r="M49" s="161" t="s">
        <v>6063</v>
      </c>
      <c r="N49" s="161" t="s">
        <v>6194</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Monstruo de Agua")</f>
        <v>Hielo raspado Monstruo de Agua</v>
      </c>
      <c r="V49" s="375"/>
      <c r="W49" s="163" t="str">
        <f>IFERROR(__xludf.DUMMYFUNCTION("GOOGLETRANSLATE(C49,""zh-tw"",""es-MX"")"),"limo")</f>
        <v>limo</v>
      </c>
      <c r="X49" s="163" t="str">
        <f>IFERROR(__xludf.DUMMYFUNCTION("GOOGLETRANSLATE(D49,""zh-tw"",""es-MX"")"),"Monstruo de agua viscoso")</f>
        <v>Monstruo de agua viscoso</v>
      </c>
      <c r="Y49" s="163"/>
      <c r="Z49" s="384" t="s">
        <v>6447</v>
      </c>
      <c r="AA49" s="376"/>
      <c r="AB49" s="317" t="s">
        <v>6064</v>
      </c>
      <c r="AC49" s="317" t="s">
        <v>6195</v>
      </c>
      <c r="AD49" s="162"/>
      <c r="AE49" s="380" t="str">
        <f>IFERROR(__xludf.DUMMYFUNCTION("GOOGLETRANSLATE(A49,""zh-tw"",""ru"")"),"Водяной монстр, строганный лед")</f>
        <v>Водяной монстр, строганный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6448</v>
      </c>
      <c r="AK49" s="376"/>
      <c r="AL49" s="161" t="s">
        <v>6066</v>
      </c>
      <c r="AM49" s="161" t="s">
        <v>6197</v>
      </c>
      <c r="AN49" s="162"/>
      <c r="AO49" s="180" t="s">
        <v>6449</v>
      </c>
      <c r="AP49" s="190"/>
      <c r="AQ49" s="182" t="s">
        <v>6068</v>
      </c>
      <c r="AR49" s="182" t="s">
        <v>6199</v>
      </c>
      <c r="AS49" s="183"/>
    </row>
    <row r="50">
      <c r="A50" s="380" t="s">
        <v>6450</v>
      </c>
      <c r="B50" s="390" t="s">
        <v>6451</v>
      </c>
      <c r="C50" s="163" t="s">
        <v>6059</v>
      </c>
      <c r="D50" s="163" t="s">
        <v>6190</v>
      </c>
      <c r="E50" s="163" t="s">
        <v>6452</v>
      </c>
      <c r="F50" s="380" t="s">
        <v>6453</v>
      </c>
      <c r="G50" s="390" t="s">
        <v>6454</v>
      </c>
      <c r="H50" s="163" t="s">
        <v>6061</v>
      </c>
      <c r="I50" s="163" t="s">
        <v>6192</v>
      </c>
      <c r="J50" s="163" t="s">
        <v>6455</v>
      </c>
      <c r="K50" s="103" t="s">
        <v>6456</v>
      </c>
      <c r="L50" s="172" t="s">
        <v>6457</v>
      </c>
      <c r="M50" s="161" t="s">
        <v>6063</v>
      </c>
      <c r="N50" s="161" t="s">
        <v>6194</v>
      </c>
      <c r="O50" s="161" t="s">
        <v>6458</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Monstruo de Agua (Rojas)")</f>
        <v>Gomitas Monstruo de Agua (Rojas)</v>
      </c>
      <c r="V50" s="375"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4" t="s">
        <v>6459</v>
      </c>
      <c r="AA50" s="388" t="s">
        <v>6460</v>
      </c>
      <c r="AB50" s="161" t="s">
        <v>6064</v>
      </c>
      <c r="AC50" s="317" t="s">
        <v>6195</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6461</v>
      </c>
      <c r="AK50" s="376" t="s">
        <v>787</v>
      </c>
      <c r="AL50" s="161" t="s">
        <v>6066</v>
      </c>
      <c r="AM50" s="161" t="s">
        <v>6197</v>
      </c>
      <c r="AN50" s="162" t="str">
        <f>IFERROR(__xludf.DUMMYFUNCTION("GOOGLETRANSLATE(E50,""zh-tw"",""de"")"),"Tomaten/Paprika")</f>
        <v>Tomaten/Paprika</v>
      </c>
      <c r="AO50" s="180" t="s">
        <v>6462</v>
      </c>
      <c r="AP50" s="73" t="s">
        <v>6463</v>
      </c>
      <c r="AQ50" s="182" t="s">
        <v>6068</v>
      </c>
      <c r="AR50" s="182" t="s">
        <v>6199</v>
      </c>
      <c r="AS50" s="182" t="s">
        <v>6464</v>
      </c>
    </row>
    <row r="51">
      <c r="A51" s="380" t="s">
        <v>6465</v>
      </c>
      <c r="B51" s="389"/>
      <c r="C51" s="163" t="s">
        <v>6087</v>
      </c>
      <c r="D51" s="176"/>
      <c r="E51" s="176"/>
      <c r="F51" s="380" t="s">
        <v>6466</v>
      </c>
      <c r="G51" s="389"/>
      <c r="H51" s="163" t="s">
        <v>6090</v>
      </c>
      <c r="I51" s="176"/>
      <c r="J51" s="176"/>
      <c r="K51" s="103" t="s">
        <v>6467</v>
      </c>
      <c r="L51" s="381"/>
      <c r="M51" s="161" t="s">
        <v>6093</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6468</v>
      </c>
      <c r="AK51" s="376"/>
      <c r="AL51" s="161" t="s">
        <v>6096</v>
      </c>
      <c r="AM51" s="162"/>
      <c r="AN51" s="162"/>
      <c r="AO51" s="180" t="s">
        <v>6469</v>
      </c>
      <c r="AP51" s="190"/>
      <c r="AQ51" s="182" t="s">
        <v>6099</v>
      </c>
      <c r="AR51" s="183"/>
      <c r="AS51" s="183"/>
    </row>
    <row r="52">
      <c r="A52" s="380" t="s">
        <v>6470</v>
      </c>
      <c r="B52" s="389"/>
      <c r="C52" s="163" t="s">
        <v>4219</v>
      </c>
      <c r="D52" s="163" t="s">
        <v>6087</v>
      </c>
      <c r="E52" s="176"/>
      <c r="F52" s="380" t="s">
        <v>6471</v>
      </c>
      <c r="G52" s="389"/>
      <c r="H52" s="163" t="s">
        <v>6472</v>
      </c>
      <c r="I52" s="163" t="s">
        <v>6090</v>
      </c>
      <c r="J52" s="176"/>
      <c r="K52" s="103" t="s">
        <v>6473</v>
      </c>
      <c r="L52" s="381"/>
      <c r="M52" s="161" t="s">
        <v>4221</v>
      </c>
      <c r="N52" s="161" t="s">
        <v>6093</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IFERROR(__xludf.DUMMYFUNCTION("GOOGLETRANSLATE(A52,""zh-tw"",""es-MX"")"),"Tortitas de fresa")</f>
        <v>Tortitas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6474</v>
      </c>
      <c r="AK52" s="376"/>
      <c r="AL52" s="161" t="s">
        <v>6475</v>
      </c>
      <c r="AM52" s="161" t="s">
        <v>6096</v>
      </c>
      <c r="AN52" s="162"/>
      <c r="AO52" s="180" t="s">
        <v>6476</v>
      </c>
      <c r="AP52" s="190"/>
      <c r="AQ52" s="182" t="s">
        <v>4227</v>
      </c>
      <c r="AR52" s="182" t="s">
        <v>6099</v>
      </c>
      <c r="AS52" s="183"/>
    </row>
    <row r="53">
      <c r="A53" s="380" t="s">
        <v>6477</v>
      </c>
      <c r="B53" s="389"/>
      <c r="C53" s="163" t="s">
        <v>4238</v>
      </c>
      <c r="D53" s="176"/>
      <c r="E53" s="176"/>
      <c r="F53" s="380" t="s">
        <v>6478</v>
      </c>
      <c r="G53" s="389"/>
      <c r="H53" s="163" t="s">
        <v>6326</v>
      </c>
      <c r="I53" s="176"/>
      <c r="J53" s="176"/>
      <c r="K53" s="103" t="s">
        <v>6479</v>
      </c>
      <c r="L53" s="381"/>
      <c r="M53" s="161" t="s">
        <v>4240</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6480</v>
      </c>
      <c r="AK53" s="376"/>
      <c r="AL53" s="161" t="s">
        <v>6330</v>
      </c>
      <c r="AM53" s="162"/>
      <c r="AN53" s="162"/>
      <c r="AO53" s="180" t="s">
        <v>6481</v>
      </c>
      <c r="AP53" s="190"/>
      <c r="AQ53" s="182" t="s">
        <v>4236</v>
      </c>
      <c r="AR53" s="183"/>
      <c r="AS53" s="183"/>
    </row>
    <row r="54">
      <c r="A54" s="380" t="s">
        <v>4219</v>
      </c>
      <c r="B54" s="389"/>
      <c r="C54" s="163" t="s">
        <v>4219</v>
      </c>
      <c r="D54" s="176"/>
      <c r="E54" s="176"/>
      <c r="F54" s="380" t="s">
        <v>6482</v>
      </c>
      <c r="G54" s="389"/>
      <c r="H54" s="163" t="s">
        <v>6472</v>
      </c>
      <c r="I54" s="176"/>
      <c r="J54" s="176"/>
      <c r="K54" s="103" t="s">
        <v>4221</v>
      </c>
      <c r="L54" s="381"/>
      <c r="M54" s="161" t="s">
        <v>4221</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6475</v>
      </c>
      <c r="AK54" s="376"/>
      <c r="AL54" s="161" t="s">
        <v>6475</v>
      </c>
      <c r="AM54" s="162"/>
      <c r="AN54" s="162"/>
      <c r="AO54" s="180" t="s">
        <v>4227</v>
      </c>
      <c r="AP54" s="190"/>
      <c r="AQ54" s="182" t="s">
        <v>4227</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s>
  <sheetData>
    <row r="1" ht="45.0"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6483</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6484</v>
      </c>
      <c r="AK1" s="57"/>
      <c r="AL1" s="57"/>
      <c r="AM1" s="57"/>
    </row>
    <row r="2" ht="45.0" customHeight="1">
      <c r="AK2" s="57"/>
      <c r="AL2" s="57"/>
      <c r="AM2" s="57"/>
    </row>
    <row r="3" ht="55.5" customHeight="1">
      <c r="A3" s="392" t="s">
        <v>6485</v>
      </c>
      <c r="B3" s="14" t="s">
        <v>6486</v>
      </c>
      <c r="C3" s="309" t="s">
        <v>6487</v>
      </c>
      <c r="D3" s="143" t="s">
        <v>6488</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6489</v>
      </c>
      <c r="J3" s="14" t="s">
        <v>6490</v>
      </c>
      <c r="K3" s="309" t="s">
        <v>6491</v>
      </c>
      <c r="L3" s="143" t="s">
        <v>6492</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6493</v>
      </c>
      <c r="AH3" s="310" t="s">
        <v>6494</v>
      </c>
      <c r="AI3" s="394" t="s">
        <v>6495</v>
      </c>
      <c r="AJ3" s="395" t="s">
        <v>3862</v>
      </c>
      <c r="AK3" s="143"/>
      <c r="AL3" s="143"/>
      <c r="AM3" s="143"/>
    </row>
    <row r="4" ht="26.25" customHeight="1">
      <c r="A4" s="174" t="s">
        <v>6496</v>
      </c>
      <c r="B4" s="317" t="s">
        <v>6497</v>
      </c>
      <c r="C4" s="319" t="s">
        <v>723</v>
      </c>
      <c r="D4" s="396" t="s">
        <v>6498</v>
      </c>
      <c r="E4" s="174" t="s">
        <v>6499</v>
      </c>
      <c r="F4" s="315" t="str">
        <f>IFERROR(__xludf.DUMMYFUNCTION("GOOGLETRANSLATE(B4,""zh-tw"",""ja"")"),"少し落ち着かない気分です")</f>
        <v>少し落ち着かない気分です</v>
      </c>
      <c r="G4" s="316" t="str">
        <f>IFERROR(__xludf.DUMMYFUNCTION("GOOGLETRANSLATE(C4,""zh-tw"",""ja"")"),"-")</f>
        <v>-</v>
      </c>
      <c r="H4" s="396" t="s">
        <v>6500</v>
      </c>
      <c r="I4" s="174" t="s">
        <v>6501</v>
      </c>
      <c r="J4" s="317" t="s">
        <v>6502</v>
      </c>
      <c r="K4" s="316" t="str">
        <f>IFERROR(__xludf.DUMMYFUNCTION("GOOGLETRANSLATE(C4,""zh-tw"",""en"")"),"-")</f>
        <v>-</v>
      </c>
      <c r="L4" s="396" t="s">
        <v>6503</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좀 있어요.")</f>
        <v>내 동생은 성적 욕망이 좀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6504</v>
      </c>
      <c r="AH4" s="164" t="s">
        <v>6505</v>
      </c>
      <c r="AI4" s="320" t="s">
        <v>723</v>
      </c>
      <c r="AJ4" s="398" t="s">
        <v>6506</v>
      </c>
      <c r="AK4" s="396"/>
      <c r="AL4" s="396"/>
      <c r="AM4" s="396"/>
    </row>
    <row r="5" ht="26.25" customHeight="1">
      <c r="A5" s="174" t="s">
        <v>6496</v>
      </c>
      <c r="B5" s="317" t="s">
        <v>6507</v>
      </c>
      <c r="C5" s="319" t="s">
        <v>723</v>
      </c>
      <c r="D5" s="396" t="s">
        <v>6508</v>
      </c>
      <c r="E5" s="174" t="s">
        <v>6499</v>
      </c>
      <c r="F5" s="315" t="str">
        <f>IFERROR(__xludf.DUMMYFUNCTION("GOOGLETRANSLATE(B5,""zh-tw"",""ja"")"),"体全体が何らかの刺激を求めている。")</f>
        <v>体全体が何らかの刺激を求めている。</v>
      </c>
      <c r="G5" s="319" t="s">
        <v>723</v>
      </c>
      <c r="H5" s="396" t="s">
        <v>6509</v>
      </c>
      <c r="I5" s="174" t="s">
        <v>6501</v>
      </c>
      <c r="J5" s="317" t="s">
        <v>6510</v>
      </c>
      <c r="K5" s="319" t="s">
        <v>723</v>
      </c>
      <c r="L5" s="396" t="s">
        <v>6511</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6504</v>
      </c>
      <c r="AH5" s="164" t="s">
        <v>6512</v>
      </c>
      <c r="AI5" s="320" t="s">
        <v>723</v>
      </c>
      <c r="AJ5" s="398" t="s">
        <v>6513</v>
      </c>
      <c r="AK5" s="396"/>
      <c r="AL5" s="396"/>
      <c r="AM5" s="396"/>
    </row>
    <row r="6" ht="26.25" customHeight="1">
      <c r="A6" s="174" t="s">
        <v>6496</v>
      </c>
      <c r="B6" s="317" t="s">
        <v>6514</v>
      </c>
      <c r="C6" s="319" t="s">
        <v>723</v>
      </c>
      <c r="D6" s="396" t="s">
        <v>6515</v>
      </c>
      <c r="E6" s="174" t="s">
        <v>6499</v>
      </c>
      <c r="F6" s="315" t="str">
        <f>IFERROR(__xludf.DUMMYFUNCTION("GOOGLETRANSLATE(B6,""zh-tw"",""ja"")"),"もう自分をコントロールできない。")</f>
        <v>もう自分をコントロールできない。</v>
      </c>
      <c r="G6" s="319" t="s">
        <v>723</v>
      </c>
      <c r="H6" s="396" t="s">
        <v>6516</v>
      </c>
      <c r="I6" s="174" t="s">
        <v>6501</v>
      </c>
      <c r="J6" s="317" t="s">
        <v>6517</v>
      </c>
      <c r="K6" s="319" t="s">
        <v>723</v>
      </c>
      <c r="L6" s="396" t="s">
        <v>6518</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f>
        <v>Ya no puedo controlarme.</v>
      </c>
      <c r="S6" s="318" t="str">
        <f>IFERROR(__xludf.DUMMYFUNCTION("GOOGLETRANSLATE(C6,""zh-tw"",""es-MX"")"),"-")</f>
        <v>-</v>
      </c>
      <c r="T6" s="175" t="str">
        <f>IFERROR(__xludf.DUMMYFUNCTION("GOOGLETRANSLATE(D6,""zh-tw"",""es-MX"")"),"El hermano mayor tiene mayor libido.")</f>
        <v>El hermano mayor tiene mayor libido.</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6504</v>
      </c>
      <c r="AH6" s="164" t="s">
        <v>6519</v>
      </c>
      <c r="AI6" s="320" t="s">
        <v>723</v>
      </c>
      <c r="AJ6" s="398" t="s">
        <v>6520</v>
      </c>
      <c r="AK6" s="396"/>
      <c r="AL6" s="396"/>
      <c r="AM6" s="396"/>
    </row>
    <row r="7">
      <c r="A7" s="174" t="s">
        <v>6521</v>
      </c>
      <c r="B7" s="317" t="s">
        <v>6522</v>
      </c>
      <c r="C7" s="319" t="s">
        <v>6523</v>
      </c>
      <c r="D7" s="396" t="s">
        <v>6524</v>
      </c>
      <c r="E7" s="174" t="s">
        <v>6525</v>
      </c>
      <c r="F7" s="315" t="str">
        <f>IFERROR(__xludf.DUMMYFUNCTION("GOOGLETRANSLATE(B7,""zh-tw"",""ja"")"),"うーん…")</f>
        <v>うーん…</v>
      </c>
      <c r="G7" s="319" t="s">
        <v>6526</v>
      </c>
      <c r="H7" s="396" t="s">
        <v>6527</v>
      </c>
      <c r="I7" s="174" t="s">
        <v>6528</v>
      </c>
      <c r="J7" s="317" t="s">
        <v>6529</v>
      </c>
      <c r="K7" s="319" t="s">
        <v>6530</v>
      </c>
      <c r="L7" s="396" t="s">
        <v>6531</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IFERROR(__xludf.DUMMYFUNCTION("GOOGLETRANSLATE(C7,""zh-tw"",""es-MX"")"),"¡Ha sido transformado en una Bestia cuya mente está llena de deseo!")</f>
        <v>¡Ha sido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желаний!")</f>
        <v>Он превратился в Зверя, разум которого полон желаний!</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6528</v>
      </c>
      <c r="AH7" s="164" t="s">
        <v>6529</v>
      </c>
      <c r="AI7" s="320" t="s">
        <v>6532</v>
      </c>
      <c r="AJ7" s="398" t="s">
        <v>6533</v>
      </c>
      <c r="AK7" s="396"/>
      <c r="AL7" s="396"/>
      <c r="AM7" s="396"/>
    </row>
    <row r="8">
      <c r="A8" s="174" t="s">
        <v>6534</v>
      </c>
      <c r="B8" s="317" t="s">
        <v>6535</v>
      </c>
      <c r="C8" s="319" t="s">
        <v>6536</v>
      </c>
      <c r="D8" s="396" t="s">
        <v>6537</v>
      </c>
      <c r="E8" s="174" t="s">
        <v>6538</v>
      </c>
      <c r="F8" s="317" t="s">
        <v>6539</v>
      </c>
      <c r="G8" s="316" t="str">
        <f>IFERROR(__xludf.DUMMYFUNCTION("GOOGLETRANSLATE(C8,""zh-tw"",""ja"")"),"賢者モードに入ると、すべての属性が上昇します。")</f>
        <v>賢者モードに入ると、すべての属性が上昇します。</v>
      </c>
      <c r="H8" s="396" t="s">
        <v>6540</v>
      </c>
      <c r="I8" s="174" t="s">
        <v>6541</v>
      </c>
      <c r="J8" s="317" t="s">
        <v>6542</v>
      </c>
      <c r="K8" s="319" t="s">
        <v>6543</v>
      </c>
      <c r="L8" s="396" t="s">
        <v>6544</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8" t="str">
        <f>IFERROR(__xludf.DUMMYFUNCTION("GOOGLETRANSLATE(C8,""zh-tw"",""es-MX"")"),"Al entrar en el Modo Sabio, todos los atributos aumentan.")</f>
        <v>Al entrar en el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6545</v>
      </c>
      <c r="AH8" s="164" t="s">
        <v>6546</v>
      </c>
      <c r="AI8" s="320" t="s">
        <v>6547</v>
      </c>
      <c r="AJ8" s="398" t="s">
        <v>6548</v>
      </c>
      <c r="AK8" s="396"/>
      <c r="AL8" s="396"/>
      <c r="AM8" s="396"/>
    </row>
    <row r="9">
      <c r="A9" s="174" t="s">
        <v>6549</v>
      </c>
      <c r="B9" s="317" t="s">
        <v>723</v>
      </c>
      <c r="C9" s="319" t="s">
        <v>6550</v>
      </c>
      <c r="D9" s="396" t="s">
        <v>6551</v>
      </c>
      <c r="E9" s="314" t="str">
        <f>IFERROR(__xludf.DUMMYFUNCTION("GOOGLETRANSLATE(A9,""zh-tw"",""ja"")"),"集中")</f>
        <v>集中</v>
      </c>
      <c r="F9" s="315" t="str">
        <f>IFERROR(__xludf.DUMMYFUNCTION("GOOGLETRANSLATE(B9,""zh-tw"",""ja"")"),"-")</f>
        <v>-</v>
      </c>
      <c r="G9" s="319" t="s">
        <v>6552</v>
      </c>
      <c r="H9" s="396" t="s">
        <v>6553</v>
      </c>
      <c r="I9" s="174" t="s">
        <v>6554</v>
      </c>
      <c r="J9" s="315" t="str">
        <f>IFERROR(__xludf.DUMMYFUNCTION("GOOGLETRANSLATE(B9,""zh-tw"",""en"")"),"-")</f>
        <v>-</v>
      </c>
      <c r="K9" s="319" t="s">
        <v>6555</v>
      </c>
      <c r="L9" s="396" t="s">
        <v>6556</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armas cuerpo a cuerpo")</f>
        <v>botón derecho del ratón para armas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6557</v>
      </c>
      <c r="AH9" s="164" t="s">
        <v>723</v>
      </c>
      <c r="AI9" s="320" t="s">
        <v>6558</v>
      </c>
      <c r="AJ9" s="398" t="s">
        <v>6559</v>
      </c>
      <c r="AK9" s="396"/>
      <c r="AL9" s="396"/>
      <c r="AM9" s="396"/>
    </row>
    <row r="10">
      <c r="A10" s="174" t="s">
        <v>6560</v>
      </c>
      <c r="B10" s="317" t="s">
        <v>6561</v>
      </c>
      <c r="C10" s="319" t="s">
        <v>723</v>
      </c>
      <c r="D10" s="396" t="s">
        <v>6562</v>
      </c>
      <c r="E10" s="174" t="s">
        <v>6563</v>
      </c>
      <c r="F10" s="317" t="s">
        <v>6564</v>
      </c>
      <c r="G10" s="316" t="str">
        <f>IFERROR(__xludf.DUMMYFUNCTION("GOOGLETRANSLATE(C10,""zh-tw"",""ja"")"),"-")</f>
        <v>-</v>
      </c>
      <c r="H10" s="396" t="s">
        <v>6565</v>
      </c>
      <c r="I10" s="174" t="s">
        <v>6566</v>
      </c>
      <c r="J10" s="317" t="s">
        <v>6567</v>
      </c>
      <c r="K10" s="316" t="str">
        <f>IFERROR(__xludf.DUMMYFUNCTION("GOOGLETRANSLATE(C10,""zh-tw"",""en"")"),"-")</f>
        <v>-</v>
      </c>
      <c r="L10" s="396" t="s">
        <v>6568</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6566</v>
      </c>
      <c r="AH10" s="164" t="s">
        <v>6569</v>
      </c>
      <c r="AI10" s="320" t="s">
        <v>723</v>
      </c>
      <c r="AJ10" s="398" t="s">
        <v>6570</v>
      </c>
      <c r="AK10" s="396"/>
      <c r="AL10" s="396"/>
      <c r="AM10" s="396"/>
    </row>
    <row r="11">
      <c r="A11" s="174" t="s">
        <v>6571</v>
      </c>
      <c r="B11" s="317" t="s">
        <v>723</v>
      </c>
      <c r="C11" s="319" t="s">
        <v>6572</v>
      </c>
      <c r="D11" s="396" t="s">
        <v>6573</v>
      </c>
      <c r="E11" s="174" t="s">
        <v>6574</v>
      </c>
      <c r="F11" s="315" t="str">
        <f>IFERROR(__xludf.DUMMYFUNCTION("GOOGLETRANSLATE(B11,""zh-tw"",""ja"")"),"-")</f>
        <v>-</v>
      </c>
      <c r="G11" s="319" t="s">
        <v>6575</v>
      </c>
      <c r="H11" s="396" t="s">
        <v>6576</v>
      </c>
      <c r="I11" s="174" t="s">
        <v>6577</v>
      </c>
      <c r="J11" s="315" t="str">
        <f>IFERROR(__xludf.DUMMYFUNCTION("GOOGLETRANSLATE(B11,""zh-tw"",""en"")"),"-")</f>
        <v>-</v>
      </c>
      <c r="K11" s="319" t="s">
        <v>6578</v>
      </c>
      <c r="L11" s="396" t="s">
        <v>6579</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IFERROR(__xludf.DUMMYFUNCTION("GOOGLETRANSLATE(D11,""zh-tw"",""es-MX"")"),"enfriamiento de Paso relámpago")</f>
        <v>enfriamiento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6580</v>
      </c>
      <c r="AH11" s="164" t="s">
        <v>723</v>
      </c>
      <c r="AI11" s="320" t="s">
        <v>6581</v>
      </c>
      <c r="AJ11" s="398" t="s">
        <v>6582</v>
      </c>
      <c r="AK11" s="396"/>
      <c r="AL11" s="396"/>
      <c r="AM11" s="396"/>
    </row>
    <row r="12">
      <c r="A12" s="174" t="s">
        <v>6583</v>
      </c>
      <c r="B12" s="317" t="s">
        <v>723</v>
      </c>
      <c r="C12" s="319" t="s">
        <v>6584</v>
      </c>
      <c r="D12" s="396" t="s">
        <v>6585</v>
      </c>
      <c r="E12" s="174" t="s">
        <v>6586</v>
      </c>
      <c r="F12" s="315" t="str">
        <f>IFERROR(__xludf.DUMMYFUNCTION("GOOGLETRANSLATE(B12,""zh-tw"",""ja"")"),"-")</f>
        <v>-</v>
      </c>
      <c r="G12" s="319" t="s">
        <v>6587</v>
      </c>
      <c r="H12" s="396" t="s">
        <v>6588</v>
      </c>
      <c r="I12" s="174" t="s">
        <v>6589</v>
      </c>
      <c r="J12" s="315" t="str">
        <f>IFERROR(__xludf.DUMMYFUNCTION("GOOGLETRANSLATE(B12,""zh-tw"",""en"")"),"-")</f>
        <v>-</v>
      </c>
      <c r="K12" s="319" t="s">
        <v>6590</v>
      </c>
      <c r="L12" s="396" t="s">
        <v>6591</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IFERROR(__xludf.DUMMYFUNCTION("GOOGLETRANSLATE(C12,""zh-tw"",""es-MX"")"),"Me mareo de tanto dar vueltas.")</f>
        <v>Me mareo de tanto dar vueltas.</v>
      </c>
      <c r="T12" s="175" t="str">
        <f>IFERROR(__xludf.DUMMYFUNCTION("GOOGLETRANSLATE(D12,""zh-tw"",""es-MX"")"),"Tras hacer clic derecho en el arma cuerpo a cuerpo...")</f>
        <v>Tras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6592</v>
      </c>
      <c r="AH12" s="164" t="s">
        <v>723</v>
      </c>
      <c r="AI12" s="320" t="s">
        <v>6593</v>
      </c>
      <c r="AJ12" s="398" t="s">
        <v>6594</v>
      </c>
      <c r="AK12" s="396"/>
      <c r="AL12" s="396"/>
      <c r="AM12" s="396"/>
    </row>
    <row r="13">
      <c r="A13" s="174" t="s">
        <v>6595</v>
      </c>
      <c r="B13" s="317" t="s">
        <v>723</v>
      </c>
      <c r="C13" s="319" t="s">
        <v>6596</v>
      </c>
      <c r="D13" s="396" t="s">
        <v>6597</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f>
        <v>杖武器を右クリック</v>
      </c>
      <c r="I13" s="174" t="s">
        <v>6598</v>
      </c>
      <c r="J13" s="315" t="str">
        <f>IFERROR(__xludf.DUMMYFUNCTION("GOOGLETRANSLATE(B13,""zh-tw"",""en"")"),"-")</f>
        <v>-</v>
      </c>
      <c r="K13" s="319" t="s">
        <v>6599</v>
      </c>
      <c r="L13" s="396" t="s">
        <v>6600</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IFERROR(__xludf.DUMMYFUNCTION("GOOGLETRANSLATE(D13,""zh-tw"",""KO"")"),"스태프 무기를 마우스 오른쪽 버튼으로 클릭하세요")</f>
        <v>스태프 무기를 마우스 오른쪽 버튼으로 클릭하세요</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6601</v>
      </c>
      <c r="AH13" s="164" t="s">
        <v>723</v>
      </c>
      <c r="AI13" s="320" t="s">
        <v>6602</v>
      </c>
      <c r="AJ13" s="398" t="s">
        <v>6603</v>
      </c>
      <c r="AK13" s="396"/>
      <c r="AL13" s="396"/>
      <c r="AM13" s="396"/>
    </row>
    <row r="14">
      <c r="A14" s="174" t="s">
        <v>6604</v>
      </c>
      <c r="B14" s="317" t="s">
        <v>6605</v>
      </c>
      <c r="C14" s="319" t="s">
        <v>6606</v>
      </c>
      <c r="D14" s="396" t="s">
        <v>6607</v>
      </c>
      <c r="E14" s="174" t="s">
        <v>6604</v>
      </c>
      <c r="F14" s="317" t="s">
        <v>6608</v>
      </c>
      <c r="G14" s="319" t="s">
        <v>6609</v>
      </c>
      <c r="H14" s="396" t="s">
        <v>6610</v>
      </c>
      <c r="I14" s="174" t="s">
        <v>6611</v>
      </c>
      <c r="J14" s="317" t="s">
        <v>6612</v>
      </c>
      <c r="K14" s="319" t="s">
        <v>6613</v>
      </c>
      <c r="L14" s="396" t="s">
        <v>6614</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por toxinas")</f>
        <v>Infección por toxinas</v>
      </c>
      <c r="S14" s="318" t="str">
        <f>IFERROR(__xludf.DUMMYFUNCTION("GOOGLETRANSLATE(C14,""zh-tw"",""es-MX"")"),"Mayor daño con el tiempo")</f>
        <v>Mayor daño con el tiempo</v>
      </c>
      <c r="T14" s="175" t="str">
        <f>IFERROR(__xludf.DUMMYFUNCTION("GOOGLETRANSLATE(D14,""zh-tw"",""es-MX"")"),"Atacado por zombis")</f>
        <v>Atacado por zombis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6615</v>
      </c>
      <c r="AH14" s="164" t="s">
        <v>6616</v>
      </c>
      <c r="AI14" s="320" t="s">
        <v>6617</v>
      </c>
      <c r="AJ14" s="398" t="s">
        <v>6618</v>
      </c>
      <c r="AK14" s="396"/>
      <c r="AL14" s="396"/>
      <c r="AM14" s="396"/>
    </row>
    <row r="15">
      <c r="A15" s="174" t="s">
        <v>6619</v>
      </c>
      <c r="B15" s="317" t="s">
        <v>6620</v>
      </c>
      <c r="C15" s="319" t="s">
        <v>6621</v>
      </c>
      <c r="D15" s="396" t="s">
        <v>6622</v>
      </c>
      <c r="E15" s="314" t="str">
        <f>IFERROR(__xludf.DUMMYFUNCTION("GOOGLETRANSLATE(A15,""zh-tw"",""ja"")"),"出血")</f>
        <v>出血</v>
      </c>
      <c r="F15" s="317" t="s">
        <v>6623</v>
      </c>
      <c r="G15" s="316" t="str">
        <f>IFERROR(__xludf.DUMMYFUNCTION("GOOGLETRANSLATE(C15,""zh-tw"",""ja"")"),"受けるダメージは最大スタミナに基づいて決まります。")</f>
        <v>受けるダメージは最大スタミナに基づいて決まります。</v>
      </c>
      <c r="H15" s="396" t="s">
        <v>6624</v>
      </c>
      <c r="I15" s="314" t="str">
        <f>IFERROR(__xludf.DUMMYFUNCTION("GOOGLETRANSLATE(A15,""zh-tw"",""en"")"),"Bleeding")</f>
        <v>Bleeding</v>
      </c>
      <c r="J15" s="317" t="s">
        <v>6625</v>
      </c>
      <c r="K15" s="319" t="s">
        <v>6626</v>
      </c>
      <c r="L15" s="396" t="s">
        <v>6627</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8"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6628</v>
      </c>
      <c r="AH15" s="164" t="s">
        <v>6629</v>
      </c>
      <c r="AI15" s="320" t="s">
        <v>6630</v>
      </c>
      <c r="AJ15" s="398" t="s">
        <v>6631</v>
      </c>
      <c r="AK15" s="396"/>
      <c r="AL15" s="396"/>
      <c r="AM15" s="396"/>
    </row>
    <row r="16">
      <c r="A16" s="174" t="s">
        <v>6632</v>
      </c>
      <c r="B16" s="317" t="s">
        <v>6633</v>
      </c>
      <c r="C16" s="319" t="s">
        <v>6634</v>
      </c>
      <c r="D16" s="396" t="s">
        <v>6635</v>
      </c>
      <c r="E16" s="174" t="s">
        <v>6636</v>
      </c>
      <c r="F16" s="315" t="str">
        <f>IFERROR(__xludf.DUMMYFUNCTION("GOOGLETRANSLATE(B16,""zh-tw"",""ja"")"),"見て、この男は雷に打たれたんだ！")</f>
        <v>見て、この男は雷に打たれたんだ！</v>
      </c>
      <c r="G16" s="319" t="s">
        <v>6637</v>
      </c>
      <c r="H16" s="396" t="s">
        <v>6638</v>
      </c>
      <c r="I16" s="174" t="s">
        <v>6639</v>
      </c>
      <c r="J16" s="317" t="s">
        <v>6640</v>
      </c>
      <c r="K16" s="319" t="s">
        <v>6641</v>
      </c>
      <c r="L16" s="396" t="s">
        <v>6642</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tienen fugas de electricidad; limo de Bilibili")</f>
        <v>Productos defectuosos que tienen fugas de electricidad; limo de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6643</v>
      </c>
      <c r="AH16" s="164" t="s">
        <v>6644</v>
      </c>
      <c r="AI16" s="320" t="s">
        <v>6645</v>
      </c>
      <c r="AJ16" s="398" t="s">
        <v>6646</v>
      </c>
      <c r="AK16" s="396"/>
      <c r="AL16" s="396"/>
      <c r="AM16" s="396"/>
    </row>
    <row r="17">
      <c r="A17" s="174" t="s">
        <v>6647</v>
      </c>
      <c r="B17" s="317" t="s">
        <v>6648</v>
      </c>
      <c r="C17" s="319" t="s">
        <v>6649</v>
      </c>
      <c r="D17" s="396" t="s">
        <v>6650</v>
      </c>
      <c r="E17" s="174" t="s">
        <v>6647</v>
      </c>
      <c r="F17" s="315" t="str">
        <f>IFERROR(__xludf.DUMMYFUNCTION("GOOGLETRANSLATE(B17,""zh-tw"",""ja"")"),"暑い！暑い！暑い！暑い！")</f>
        <v>暑い！暑い！暑い！暑い！</v>
      </c>
      <c r="G17" s="319" t="s">
        <v>6651</v>
      </c>
      <c r="H17" s="396" t="s">
        <v>6652</v>
      </c>
      <c r="I17" s="174" t="s">
        <v>6653</v>
      </c>
      <c r="J17" s="317" t="s">
        <v>6654</v>
      </c>
      <c r="K17" s="319" t="s">
        <v>6655</v>
      </c>
      <c r="L17" s="396" t="s">
        <v>6656</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IFERROR(__xludf.DUMMYFUNCTION("GOOGLETRANSLATE(C17,""zh-tw"",""es-MX"")"),"Combustión continua de todas las unidades dentro de su alcance.")</f>
        <v>Combustión continua de todas las unidades dentro de su alcance.</v>
      </c>
      <c r="T17" s="175" t="str">
        <f>IFERROR(__xludf.DUMMYFUNCTION("GOOGLETRANSLATE(D17,""zh-tw"",""es-MX"")"),"Atacado por el fuego")</f>
        <v>Atacado por el fuego</v>
      </c>
      <c r="U17" s="149" t="str">
        <f>IFERROR(__xludf.DUMMYFUNCTION("GOOGLETRANSLATE(A17,""zh-tw"",""KO"")"),"옌샹")</f>
        <v>옌샹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6657</v>
      </c>
      <c r="AH17" s="164" t="s">
        <v>6658</v>
      </c>
      <c r="AI17" s="320" t="s">
        <v>6659</v>
      </c>
      <c r="AJ17" s="398" t="s">
        <v>6660</v>
      </c>
      <c r="AK17" s="396"/>
      <c r="AL17" s="396"/>
      <c r="AM17" s="396"/>
    </row>
    <row r="18">
      <c r="A18" s="174" t="s">
        <v>6661</v>
      </c>
      <c r="B18" s="317" t="s">
        <v>6662</v>
      </c>
      <c r="C18" s="319" t="s">
        <v>6663</v>
      </c>
      <c r="D18" s="396" t="s">
        <v>3905</v>
      </c>
      <c r="E18" s="174" t="s">
        <v>6664</v>
      </c>
      <c r="F18" s="315" t="str">
        <f>IFERROR(__xludf.DUMMYFUNCTION("GOOGLETRANSLATE(B18,""zh-tw"",""ja"")"),"アイスキャンディーにしてみよう！")</f>
        <v>アイスキャンディーにしてみよう！</v>
      </c>
      <c r="G18" s="319" t="s">
        <v>6665</v>
      </c>
      <c r="H18" s="396" t="s">
        <v>6666</v>
      </c>
      <c r="I18" s="174" t="s">
        <v>6667</v>
      </c>
      <c r="J18" s="317" t="s">
        <v>6668</v>
      </c>
      <c r="K18" s="319" t="s">
        <v>6669</v>
      </c>
      <c r="L18" s="396" t="s">
        <v>3909</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IFERROR(__xludf.DUMMYFUNCTION("GOOGLETRANSLATE(B18,""zh-tw"",""es-MX"")"),"¡Conviértelo en un polo de hielo!")</f>
        <v>¡Conviértelo en un polo de hielo!</v>
      </c>
      <c r="S18" s="318"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IFERROR(__xludf.DUMMYFUNCTION("GOOGLETRANSLATE(B18,""zh-tw"",""RU"")"),"Превратите его в фруктовый лед!")</f>
        <v>Превратите его в фруктовый лед!</v>
      </c>
      <c r="AA18" s="316" t="str">
        <f>IFERROR(__xludf.DUMMYFUNCTION("GOOGLETRANSLATE(C18,""zh-tw"",""RU"")"),"Он замёрз!")</f>
        <v>Он замёрз!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IFERROR(__xludf.DUMMYFUNCTION("GOOGLETRANSLATE(B18,""zh-tw"",""DE"")"),"Verwandle es in ein Eis am Stiel!")</f>
        <v>Verwandle es in ein Eis am Stiel!</v>
      </c>
      <c r="AE18" s="316" t="str">
        <f>IFERROR(__xludf.DUMMYFUNCTION("GOOGLETRANSLATE(C18,""zh-tw"",""DE"")"),"Es ist komplett durchgefroren!")</f>
        <v>Es ist komplett durchgefroren!</v>
      </c>
      <c r="AF18" s="397" t="str">
        <f>IFERROR(__xludf.DUMMYFUNCTION("GOOGLETRANSLATE(D18,""zh-tw"",""DE"")"),"Gefrorener Schleim")</f>
        <v>Gefrorener Schleim</v>
      </c>
      <c r="AG18" s="154" t="s">
        <v>6670</v>
      </c>
      <c r="AH18" s="164" t="s">
        <v>6671</v>
      </c>
      <c r="AI18" s="320" t="s">
        <v>6672</v>
      </c>
      <c r="AJ18" s="398" t="s">
        <v>3915</v>
      </c>
      <c r="AK18" s="396"/>
      <c r="AL18" s="396"/>
      <c r="AM18" s="396"/>
    </row>
    <row r="19">
      <c r="A19" s="174" t="s">
        <v>6673</v>
      </c>
      <c r="B19" s="317" t="s">
        <v>6674</v>
      </c>
      <c r="C19" s="319" t="s">
        <v>6675</v>
      </c>
      <c r="D19" s="396" t="s">
        <v>6676</v>
      </c>
      <c r="E19" s="174" t="s">
        <v>6677</v>
      </c>
      <c r="F19" s="315" t="str">
        <f>IFERROR(__xludf.DUMMYFUNCTION("GOOGLETRANSLATE(B19,""zh-tw"",""ja"")"),"ふふ、私に反抗するとこうなるのね～♡")</f>
        <v>ふふ、私に反抗するとこうなるのね～♡</v>
      </c>
      <c r="G19" s="319" t="s">
        <v>6678</v>
      </c>
      <c r="H19" s="397" t="str">
        <f>IFERROR(__xludf.DUMMYFUNCTION("GOOGLETRANSLATE(D19,""zh-tw"",""ja"")"),"ミステリーショップでは魚はもらえません。")</f>
        <v>ミステリーショップでは魚はもらえません。</v>
      </c>
      <c r="I19" s="174" t="s">
        <v>6679</v>
      </c>
      <c r="J19" s="317" t="s">
        <v>6680</v>
      </c>
      <c r="K19" s="319" t="s">
        <v>6681</v>
      </c>
      <c r="L19" s="396" t="s">
        <v>6682</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demoníaca")</f>
        <v>Maldición demoníaca</v>
      </c>
      <c r="R19" s="162" t="str">
        <f>IFERROR(__xludf.DUMMYFUNCTION("GOOGLETRANSLATE(B19,""zh-tw"",""es-MX"")"),"Jajaja, esto es lo que pasa cuando te rebelas contra mí~♡")</f>
        <v>Jajaja, esto es lo que pasa cuando te rebelas contra mí~♡</v>
      </c>
      <c r="S19" s="318" t="str">
        <f>IFERROR(__xludf.DUMMYFUNCTION("GOOGLETRANSLATE(C19,""zh-tw"",""es-MX"")"),"Maldito por el extraño y diablillo tendero")</f>
        <v>Maldito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6683</v>
      </c>
      <c r="AH19" s="164" t="s">
        <v>6684</v>
      </c>
      <c r="AI19" s="320" t="s">
        <v>6685</v>
      </c>
      <c r="AJ19" s="398" t="s">
        <v>6686</v>
      </c>
      <c r="AK19" s="396"/>
      <c r="AL19" s="396"/>
      <c r="AM19" s="396"/>
    </row>
    <row r="20">
      <c r="A20" s="174" t="s">
        <v>6687</v>
      </c>
      <c r="B20" s="317" t="s">
        <v>6688</v>
      </c>
      <c r="C20" s="319" t="s">
        <v>6689</v>
      </c>
      <c r="D20" s="396" t="s">
        <v>6690</v>
      </c>
      <c r="E20" s="174" t="s">
        <v>6691</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6692</v>
      </c>
      <c r="J20" s="317" t="s">
        <v>6693</v>
      </c>
      <c r="K20" s="319" t="s">
        <v>6694</v>
      </c>
      <c r="L20" s="396" t="s">
        <v>6695</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aquí no puedes hacer nada malo! ♡")</f>
        <v>¡Este es mi territorio, aquí no puedes hacer nada malo! ♡</v>
      </c>
      <c r="S20" s="318"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마십시오")</f>
        <v>공격하지 마십시오</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ничего плохого сделать нельзя!♡")</f>
        <v>Это моя территория, здесь ничего плохого сделать нельзя!♡</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6696</v>
      </c>
      <c r="AH20" s="164" t="s">
        <v>6697</v>
      </c>
      <c r="AI20" s="320" t="s">
        <v>6698</v>
      </c>
      <c r="AJ20" s="398" t="s">
        <v>6699</v>
      </c>
      <c r="AK20" s="396"/>
      <c r="AL20" s="396"/>
      <c r="AM20" s="396"/>
    </row>
    <row r="21">
      <c r="A21" s="174" t="s">
        <v>6700</v>
      </c>
      <c r="B21" s="317" t="s">
        <v>6701</v>
      </c>
      <c r="C21" s="319" t="s">
        <v>6702</v>
      </c>
      <c r="D21" s="396" t="s">
        <v>6703</v>
      </c>
      <c r="E21" s="174" t="s">
        <v>6704</v>
      </c>
      <c r="F21" s="317" t="s">
        <v>6705</v>
      </c>
      <c r="G21" s="319" t="s">
        <v>6706</v>
      </c>
      <c r="H21" s="397" t="str">
        <f>IFERROR(__xludf.DUMMYFUNCTION("GOOGLETRANSLATE(D21,""zh-tw"",""ja"")"),"妹にいたずらをすると怒る")</f>
        <v>妹にいたずらをすると怒る</v>
      </c>
      <c r="I21" s="174" t="s">
        <v>6707</v>
      </c>
      <c r="J21" s="317" t="s">
        <v>6708</v>
      </c>
      <c r="K21" s="319" t="s">
        <v>6709</v>
      </c>
      <c r="L21" s="396" t="s">
        <v>6710</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la importante promesa que le hice a mi hermana.")</f>
        <v>Debo cumplir la importante promesa que le hice a mi hermana.</v>
      </c>
      <c r="S21" s="318" t="str">
        <f>IFERROR(__xludf.DUMMYFUNCTION("GOOGLETRANSLATE(C21,""zh-tw"",""es-MX"")"),"No regrese a casa con lesiones graves.")</f>
        <v>No regrese a casa con lesiones graves.</v>
      </c>
      <c r="T21" s="175" t="str">
        <f>IFERROR(__xludf.DUMMYFUNCTION("GOOGLETRANSLATE(D21,""zh-tw"",""es-MX"")"),"Me enfado cuando le gasto bromas a mi hermana pequeña.")</f>
        <v>Me enfado cuando le gasto bromas a mi hermana pequeña.</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6711</v>
      </c>
      <c r="AH21" s="164" t="s">
        <v>6712</v>
      </c>
      <c r="AI21" s="320" t="s">
        <v>6711</v>
      </c>
      <c r="AJ21" s="398" t="s">
        <v>6713</v>
      </c>
      <c r="AK21" s="396"/>
      <c r="AL21" s="396"/>
      <c r="AM21" s="396"/>
    </row>
    <row r="22">
      <c r="A22" s="174" t="s">
        <v>6714</v>
      </c>
      <c r="B22" s="317" t="s">
        <v>6701</v>
      </c>
      <c r="C22" s="319" t="s">
        <v>6715</v>
      </c>
      <c r="D22" s="396" t="s">
        <v>6703</v>
      </c>
      <c r="E22" s="174" t="s">
        <v>6716</v>
      </c>
      <c r="F22" s="317" t="s">
        <v>6705</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6717</v>
      </c>
      <c r="J22" s="317" t="s">
        <v>6708</v>
      </c>
      <c r="K22" s="316" t="str">
        <f>IFERROR(__xludf.DUMMYFUNCTION("GOOGLETRANSLATE(C22,""zh-tw"",""en"")"),"Making meat dishes")</f>
        <v>Making meat dishes</v>
      </c>
      <c r="L22" s="396" t="s">
        <v>6710</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la importante promesa que le hice a mi hermana.")</f>
        <v>Debo cumplir la importante promesa que le hice a mi hermana.</v>
      </c>
      <c r="S22" s="318" t="str">
        <f>IFERROR(__xludf.DUMMYFUNCTION("GOOGLETRANSLATE(C22,""zh-tw"",""es-MX"")"),"Elaboración de platos de carne")</f>
        <v>Elaboración de platos de carne</v>
      </c>
      <c r="T22" s="175" t="str">
        <f>IFERROR(__xludf.DUMMYFUNCTION("GOOGLETRANSLATE(D22,""zh-tw"",""es-MX"")"),"Me enfado cuando le gasto bromas a mi hermana pequeña.")</f>
        <v>Me enfado cuando le gasto bromas a mi hermana pequeña.</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6718</v>
      </c>
      <c r="AH22" s="164" t="s">
        <v>6712</v>
      </c>
      <c r="AI22" s="320" t="s">
        <v>6719</v>
      </c>
      <c r="AJ22" s="398" t="s">
        <v>6713</v>
      </c>
      <c r="AK22" s="396"/>
      <c r="AL22" s="396"/>
      <c r="AM22" s="396"/>
    </row>
    <row r="23">
      <c r="A23" s="174" t="s">
        <v>6720</v>
      </c>
      <c r="B23" s="317" t="s">
        <v>6721</v>
      </c>
      <c r="C23" s="319" t="s">
        <v>6722</v>
      </c>
      <c r="D23" s="396" t="s">
        <v>245</v>
      </c>
      <c r="E23" s="174" t="s">
        <v>301</v>
      </c>
      <c r="F23" s="315" t="str">
        <f>IFERROR(__xludf.DUMMYFUNCTION("GOOGLETRANSLATE(B23,""zh-tw"",""ja"")"),"...")</f>
        <v>...</v>
      </c>
      <c r="G23" s="319" t="s">
        <v>6723</v>
      </c>
      <c r="H23" s="396" t="s">
        <v>248</v>
      </c>
      <c r="I23" s="174" t="s">
        <v>6724</v>
      </c>
      <c r="J23" s="315" t="str">
        <f>IFERROR(__xludf.DUMMYFUNCTION("GOOGLETRANSLATE(B23,""zh-tw"",""en"")"),"...")</f>
        <v>...</v>
      </c>
      <c r="K23" s="319" t="s">
        <v>6725</v>
      </c>
      <c r="L23" s="396" t="s">
        <v>250</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iniciales")</f>
        <v>Opciones iniciales</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6726</v>
      </c>
      <c r="AH23" s="164" t="s">
        <v>6727</v>
      </c>
      <c r="AI23" s="320" t="s">
        <v>6728</v>
      </c>
      <c r="AJ23" s="398" t="s">
        <v>265</v>
      </c>
      <c r="AK23" s="396"/>
      <c r="AL23" s="396"/>
      <c r="AM23" s="396"/>
    </row>
    <row r="24">
      <c r="A24" s="174" t="s">
        <v>6729</v>
      </c>
      <c r="B24" s="317" t="s">
        <v>6730</v>
      </c>
      <c r="C24" s="319" t="s">
        <v>6731</v>
      </c>
      <c r="D24" s="396" t="s">
        <v>4502</v>
      </c>
      <c r="E24" s="174" t="s">
        <v>6732</v>
      </c>
      <c r="F24" s="317" t="s">
        <v>6733</v>
      </c>
      <c r="G24" s="316" t="str">
        <f>IFERROR(__xludf.DUMMYFUNCTION("GOOGLETRANSLATE(C24,""zh-tw"",""ja"")"),"彼の体は常に悪臭を放っていた")</f>
        <v>彼の体は常に悪臭を放っていた</v>
      </c>
      <c r="H24" s="396" t="s">
        <v>4504</v>
      </c>
      <c r="I24" s="174" t="s">
        <v>6734</v>
      </c>
      <c r="J24" s="317" t="s">
        <v>6735</v>
      </c>
      <c r="K24" s="319" t="s">
        <v>6736</v>
      </c>
      <c r="L24" s="396" t="s">
        <v>4505</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su cuerpo olía asqueroso.")</f>
        <v>Todo su cuerpo olía asqueroso.</v>
      </c>
      <c r="R24" s="162" t="str">
        <f>IFERROR(__xludf.DUMMYFUNCTION("GOOGLETRANSLATE(B24,""zh-tw"",""es-MX"")"),"Olía fatal.")</f>
        <v>Olía fatal.</v>
      </c>
      <c r="S24" s="318"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6737</v>
      </c>
      <c r="AH24" s="164" t="s">
        <v>6738</v>
      </c>
      <c r="AI24" s="320" t="s">
        <v>6739</v>
      </c>
      <c r="AJ24" s="398" t="s">
        <v>4510</v>
      </c>
      <c r="AK24" s="396"/>
      <c r="AL24" s="396"/>
      <c r="AM24" s="396"/>
    </row>
    <row r="25">
      <c r="A25" s="174" t="s">
        <v>6740</v>
      </c>
      <c r="B25" s="317" t="s">
        <v>6741</v>
      </c>
      <c r="C25" s="319" t="s">
        <v>6742</v>
      </c>
      <c r="D25" s="396" t="s">
        <v>6743</v>
      </c>
      <c r="E25" s="314" t="str">
        <f>IFERROR(__xludf.DUMMYFUNCTION("GOOGLETRANSLATE(A25,""zh-tw"",""ja"")"),"美味しい")</f>
        <v>美味しい</v>
      </c>
      <c r="F25" s="315" t="str">
        <f>IFERROR(__xludf.DUMMYFUNCTION("GOOGLETRANSLATE(B25,""zh-tw"",""ja"")"),"美味しいものを食べてお腹の中が温かくなりました。")</f>
        <v>美味しいものを食べてお腹の中が温かくなりました。</v>
      </c>
      <c r="G25" s="316"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4" t="s">
        <v>6744</v>
      </c>
      <c r="J25" s="317" t="s">
        <v>6745</v>
      </c>
      <c r="K25" s="319" t="s">
        <v>6746</v>
      </c>
      <c r="L25" s="396" t="s">
        <v>6747</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calor en el estómago.")</f>
        <v>Comí algo delicioso y siento calor en el estómago.</v>
      </c>
      <c r="S25" s="318"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 것을 먹었는데, 배가 따뜻해지는 느낌이 들어요.")</f>
        <v>맛있는 것을 먹었는데, 배가 따뜻해지는 느낌이 들어요.</v>
      </c>
      <c r="W25" s="318" t="str">
        <f>IFERROR(__xludf.DUMMYFUNCTION("GOOGLETRANSLATE(C25,""zh-tw"",""KO"")"),"체력은 초당 소량 회복됩니다.")</f>
        <v>체력은 초당 소량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 что-то вкусное, и у меня внутри разлилось тепло.")</f>
        <v>Я съел что-то вкусное, и у меня внутри разлилось тепло.</v>
      </c>
      <c r="AA25" s="31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Magen fühlt sich warm an.")</f>
        <v>Ich habe etwas Leckeres gegessen und mein Magen fühlt sich warm an.</v>
      </c>
      <c r="AE25" s="316"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4" t="s">
        <v>6748</v>
      </c>
      <c r="AH25" s="164" t="s">
        <v>6749</v>
      </c>
      <c r="AI25" s="320" t="s">
        <v>6750</v>
      </c>
      <c r="AJ25" s="398" t="s">
        <v>6751</v>
      </c>
      <c r="AK25" s="396"/>
      <c r="AL25" s="396"/>
      <c r="AM25" s="396"/>
    </row>
    <row r="26">
      <c r="A26" s="174" t="s">
        <v>6752</v>
      </c>
      <c r="B26" s="317" t="s">
        <v>6753</v>
      </c>
      <c r="C26" s="319" t="s">
        <v>6754</v>
      </c>
      <c r="D26" s="396" t="s">
        <v>6755</v>
      </c>
      <c r="E26" s="174" t="s">
        <v>6756</v>
      </c>
      <c r="F26" s="317" t="s">
        <v>6757</v>
      </c>
      <c r="G26" s="316" t="str">
        <f>IFERROR(__xludf.DUMMYFUNCTION("GOOGLETRANSLATE(C26,""zh-tw"",""ja"")"),"攻撃力+50%")</f>
        <v>攻撃力+50%</v>
      </c>
      <c r="H26" s="397" t="str">
        <f>IFERROR(__xludf.DUMMYFUNCTION("GOOGLETRANSLATE(D26,""zh-tw"",""ja"")"),"食べ物")</f>
        <v>食べ物</v>
      </c>
      <c r="I26" s="174" t="s">
        <v>6758</v>
      </c>
      <c r="J26" s="317" t="s">
        <v>6759</v>
      </c>
      <c r="K26" s="319" t="s">
        <v>6760</v>
      </c>
      <c r="L26" s="396" t="s">
        <v>6761</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6762</v>
      </c>
      <c r="AH26" s="164" t="s">
        <v>6763</v>
      </c>
      <c r="AI26" s="320" t="s">
        <v>6764</v>
      </c>
      <c r="AJ26" s="398" t="s">
        <v>6765</v>
      </c>
      <c r="AK26" s="396"/>
      <c r="AL26" s="396"/>
      <c r="AM26" s="396"/>
    </row>
    <row r="27">
      <c r="A27" s="174" t="s">
        <v>6766</v>
      </c>
      <c r="B27" s="317" t="s">
        <v>6767</v>
      </c>
      <c r="C27" s="319" t="s">
        <v>6768</v>
      </c>
      <c r="D27" s="396" t="s">
        <v>6755</v>
      </c>
      <c r="E27" s="174" t="s">
        <v>6769</v>
      </c>
      <c r="F27" s="317" t="s">
        <v>6770</v>
      </c>
      <c r="G27" s="316" t="str">
        <f>IFERROR(__xludf.DUMMYFUNCTION("GOOGLETRANSLATE(C27,""zh-tw"",""ja"")"),"魔法力+50%")</f>
        <v>魔法力+50%</v>
      </c>
      <c r="H27" s="397" t="str">
        <f>IFERROR(__xludf.DUMMYFUNCTION("GOOGLETRANSLATE(D27,""zh-tw"",""ja"")"),"食べ物")</f>
        <v>食べ物</v>
      </c>
      <c r="I27" s="174" t="s">
        <v>6771</v>
      </c>
      <c r="J27" s="317" t="s">
        <v>6772</v>
      </c>
      <c r="K27" s="319" t="s">
        <v>6773</v>
      </c>
      <c r="L27" s="396" t="s">
        <v>6761</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6774</v>
      </c>
      <c r="AH27" s="164" t="s">
        <v>6775</v>
      </c>
      <c r="AI27" s="320" t="s">
        <v>6776</v>
      </c>
      <c r="AJ27" s="398" t="s">
        <v>6765</v>
      </c>
      <c r="AK27" s="396"/>
      <c r="AL27" s="396"/>
      <c r="AM27" s="396"/>
    </row>
    <row r="28">
      <c r="A28" s="174" t="s">
        <v>6777</v>
      </c>
      <c r="B28" s="317" t="s">
        <v>6778</v>
      </c>
      <c r="C28" s="319" t="s">
        <v>6779</v>
      </c>
      <c r="D28" s="396" t="s">
        <v>6755</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6780</v>
      </c>
      <c r="J28" s="317" t="s">
        <v>6781</v>
      </c>
      <c r="K28" s="319" t="s">
        <v>6782</v>
      </c>
      <c r="L28" s="396" t="s">
        <v>6761</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6783</v>
      </c>
      <c r="AH28" s="164" t="s">
        <v>6784</v>
      </c>
      <c r="AI28" s="320" t="s">
        <v>6785</v>
      </c>
      <c r="AJ28" s="398" t="s">
        <v>6765</v>
      </c>
      <c r="AK28" s="396"/>
      <c r="AL28" s="396"/>
      <c r="AM28" s="396"/>
    </row>
    <row r="29">
      <c r="A29" s="174" t="s">
        <v>6786</v>
      </c>
      <c r="B29" s="317" t="s">
        <v>6787</v>
      </c>
      <c r="C29" s="319" t="s">
        <v>6788</v>
      </c>
      <c r="D29" s="396" t="s">
        <v>6789</v>
      </c>
      <c r="E29" s="314" t="str">
        <f>IFERROR(__xludf.DUMMYFUNCTION("GOOGLETRANSLATE(A29,""zh-tw"",""ja"")"),"巨神兵")</f>
        <v>巨神兵</v>
      </c>
      <c r="F29" s="317" t="s">
        <v>6790</v>
      </c>
      <c r="G29" s="319" t="s">
        <v>6791</v>
      </c>
      <c r="H29" s="397" t="str">
        <f>IFERROR(__xludf.DUMMYFUNCTION("GOOGLETRANSLATE(D29,""zh-tw"",""ja"")"),"タロットカード")</f>
        <v>タロットカード</v>
      </c>
      <c r="I29" s="174" t="s">
        <v>6792</v>
      </c>
      <c r="J29" s="317" t="s">
        <v>6793</v>
      </c>
      <c r="K29" s="319" t="s">
        <v>6794</v>
      </c>
      <c r="L29" s="396" t="s">
        <v>6795</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su daño.")</f>
        <v>Durante la duración del efecto, el arma crece, aumentando su alcance de ataque y su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군인들과 천상의 장군들")</f>
        <v>신성한 군인들과 천상의 장군들</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97" t="str">
        <f>IFERROR(__xludf.DUMMYFUNCTION("GOOGLETRANSLATE(D29,""zh-tw"",""DE"")"),"Tarotkarten")</f>
        <v>Tarotkarten</v>
      </c>
      <c r="AG29" s="154" t="s">
        <v>6796</v>
      </c>
      <c r="AH29" s="164" t="s">
        <v>6797</v>
      </c>
      <c r="AI29" s="320" t="s">
        <v>6798</v>
      </c>
      <c r="AJ29" s="398" t="s">
        <v>6799</v>
      </c>
      <c r="AK29" s="396"/>
      <c r="AL29" s="396"/>
      <c r="AM29" s="396"/>
    </row>
    <row r="30">
      <c r="A30" s="174" t="s">
        <v>6800</v>
      </c>
      <c r="B30" s="317" t="s">
        <v>6801</v>
      </c>
      <c r="C30" s="319" t="s">
        <v>6802</v>
      </c>
      <c r="D30" s="396" t="s">
        <v>6789</v>
      </c>
      <c r="E30" s="174" t="s">
        <v>6803</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6804</v>
      </c>
      <c r="J30" s="317" t="s">
        <v>6805</v>
      </c>
      <c r="K30" s="316" t="str">
        <f>IFERROR(__xludf.DUMMYFUNCTION("GOOGLETRANSLATE(C30,""zh-tw"",""en"")"),"With the blessing of fate, it's easier to encounter happy things!")</f>
        <v>With the blessing of fate, it's easier to encounter happy things!</v>
      </c>
      <c r="L30" s="396" t="s">
        <v>6806</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IFERROR(__xludf.DUMMYFUNCTION("GOOGLETRANSLATE(A30,""zh-tw"",""es-MX"")"),"La rueda de la fortuna - Derecha")</f>
        <v>La rueda de la fortuna - Derecha</v>
      </c>
      <c r="R30" s="162" t="str">
        <f>IFERROR(__xludf.DUMMYFUNCTION("GOOGLETRANSLATE(B30,""zh-tw"",""es-MX"")"),"El curso del destino...")</f>
        <v>El curso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6807</v>
      </c>
      <c r="AH30" s="164" t="s">
        <v>6808</v>
      </c>
      <c r="AI30" s="320" t="s">
        <v>6809</v>
      </c>
      <c r="AJ30" s="398" t="s">
        <v>6810</v>
      </c>
      <c r="AK30" s="396"/>
      <c r="AL30" s="396"/>
      <c r="AM30" s="396"/>
    </row>
    <row r="31">
      <c r="A31" s="174" t="s">
        <v>6811</v>
      </c>
      <c r="B31" s="317" t="s">
        <v>6812</v>
      </c>
      <c r="C31" s="319" t="s">
        <v>6813</v>
      </c>
      <c r="D31" s="396" t="s">
        <v>6789</v>
      </c>
      <c r="E31" s="174" t="s">
        <v>6814</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6815</v>
      </c>
      <c r="J31" s="317" t="s">
        <v>6816</v>
      </c>
      <c r="K31" s="316" t="str">
        <f>IFERROR(__xludf.DUMMYFUNCTION("GOOGLETRANSLATE(C31,""zh-tw"",""en"")"),"Being blessed by fate makes it easier to encounter difficult things!")</f>
        <v>Being blessed by fate makes it easier to encounter difficult things!</v>
      </c>
      <c r="L31" s="396" t="s">
        <v>6806</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IFERROR(__xludf.DUMMYFUNCTION("GOOGLETRANSLATE(C31,""zh-tw"",""es-MX"")"),"¡Estar bendecido por el destino hace más fácil afrontar las dificultades!")</f>
        <v>¡Estar bendecido por el destino hace más fácil afrontar las dificultades!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6817</v>
      </c>
      <c r="AH31" s="164" t="s">
        <v>6818</v>
      </c>
      <c r="AI31" s="320" t="s">
        <v>6819</v>
      </c>
      <c r="AJ31" s="398" t="s">
        <v>6810</v>
      </c>
      <c r="AK31" s="396"/>
      <c r="AL31" s="396"/>
      <c r="AM31" s="396"/>
    </row>
    <row r="32">
      <c r="A32" s="174" t="s">
        <v>6820</v>
      </c>
      <c r="B32" s="317" t="s">
        <v>6821</v>
      </c>
      <c r="C32" s="319" t="s">
        <v>6822</v>
      </c>
      <c r="D32" s="396" t="s">
        <v>5691</v>
      </c>
      <c r="E32" s="174" t="s">
        <v>6823</v>
      </c>
      <c r="F32" s="317" t="s">
        <v>6824</v>
      </c>
      <c r="G32" s="319" t="s">
        <v>6825</v>
      </c>
      <c r="H32" s="396" t="s">
        <v>5693</v>
      </c>
      <c r="I32" s="174" t="s">
        <v>6826</v>
      </c>
      <c r="J32" s="317" t="s">
        <v>6827</v>
      </c>
      <c r="K32" s="319" t="s">
        <v>6828</v>
      </c>
      <c r="L32" s="396" t="s">
        <v>5695</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la verdad es que tenía un sabor horrible...")</f>
        <v>Pero la verdad es que tenía un sabor horrible...</v>
      </c>
      <c r="S32" s="318" t="str">
        <f>IFERROR(__xludf.DUMMYFUNCTION("GOOGLETRANSLATE(C32,""zh-tw"",""es-MX"")"),"Mi cuerpo rebosa de vitalidad y mi fuerza física ha aumentado.")</f>
        <v>Mi cuerpo rebosa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6829</v>
      </c>
      <c r="AH32" s="164" t="s">
        <v>6830</v>
      </c>
      <c r="AI32" s="320" t="s">
        <v>6831</v>
      </c>
      <c r="AJ32" s="398" t="s">
        <v>5700</v>
      </c>
      <c r="AK32" s="396"/>
      <c r="AL32" s="396"/>
      <c r="AM32" s="396"/>
    </row>
    <row r="33">
      <c r="A33" s="174" t="s">
        <v>6832</v>
      </c>
      <c r="B33" s="317" t="s">
        <v>6833</v>
      </c>
      <c r="C33" s="319" t="s">
        <v>6834</v>
      </c>
      <c r="D33" s="396" t="s">
        <v>6835</v>
      </c>
      <c r="E33" s="174" t="s">
        <v>6836</v>
      </c>
      <c r="F33" s="317" t="s">
        <v>6837</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6838</v>
      </c>
      <c r="I33" s="174" t="s">
        <v>6839</v>
      </c>
      <c r="J33" s="317" t="s">
        <v>6840</v>
      </c>
      <c r="K33" s="319" t="s">
        <v>6841</v>
      </c>
      <c r="L33" s="396" t="s">
        <v>6842</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IFERROR(__xludf.DUMMYFUNCTION("GOOGLETRANSLATE(A33,""zh-tw"",""es-MX"")"),"Sintiéndome impotente")</f>
        <v>Sintiéndome impotente</v>
      </c>
      <c r="R33" s="162" t="str">
        <f>IFERROR(__xludf.DUMMYFUNCTION("GOOGLETRANSLATE(B33,""zh-tw"",""es-MX"")"),"Ya no puedo levantarlo...")</f>
        <v>Ya no puedo levantarlo...</v>
      </c>
      <c r="S33" s="318" t="str">
        <f>IFERROR(__xludf.DUMMYFUNCTION("GOOGLETRANSLATE(C33,""zh-tw"",""es-MX"")"),"¡La falta de fuerza y ​​resistencia impide que el arma desarrolle todo su potencial!")</f>
        <v>¡La falta de fuerza y ​​resistencia impide que el arma desarrolle todo su potencial!</v>
      </c>
      <c r="T33" s="175" t="str">
        <f>IFERROR(__xludf.DUMMYFUNCTION("GOOGLETRANSLATE(D33,""zh-tw"",""es-MX"")"),"Se requiere la Espada de Plata para cumplir las condiciones.")</f>
        <v>Se requiere la Espada de Plata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6843</v>
      </c>
      <c r="AH33" s="164" t="s">
        <v>6844</v>
      </c>
      <c r="AI33" s="320" t="s">
        <v>6845</v>
      </c>
      <c r="AJ33" s="398" t="s">
        <v>6846</v>
      </c>
      <c r="AK33" s="396"/>
      <c r="AL33" s="396"/>
      <c r="AM33" s="396"/>
    </row>
    <row r="34">
      <c r="A34" s="174" t="s">
        <v>6847</v>
      </c>
      <c r="B34" s="317" t="s">
        <v>6848</v>
      </c>
      <c r="C34" s="319" t="s">
        <v>6849</v>
      </c>
      <c r="D34" s="396" t="s">
        <v>5074</v>
      </c>
      <c r="E34" s="174" t="s">
        <v>6850</v>
      </c>
      <c r="F34" s="315" t="str">
        <f>IFERROR(__xludf.DUMMYFUNCTION("GOOGLETRANSLATE(B34,""zh-tw"",""ja"")"),"祝福を享受できますように")</f>
        <v>祝福を享受できますように</v>
      </c>
      <c r="G34" s="319" t="s">
        <v>6851</v>
      </c>
      <c r="H34" s="396" t="s">
        <v>5076</v>
      </c>
      <c r="I34" s="174" t="s">
        <v>6852</v>
      </c>
      <c r="J34" s="317" t="s">
        <v>6853</v>
      </c>
      <c r="K34" s="319" t="s">
        <v>6854</v>
      </c>
      <c r="L34" s="396" t="s">
        <v>5077</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recibas bendiciones.")</f>
        <v>Que recibas bendiciones.</v>
      </c>
      <c r="S34" s="318" t="str">
        <f>IFERROR(__xludf.DUMMYFUNCTION("GOOGLETRANSLATE(C34,""zh-tw"",""es-MX"")"),"Tras recibir la bendición del Santo Grial, tu dinero se duplicará.")</f>
        <v>Tras recibir la bendición del Santo Grial, tu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ваши сердца.")</f>
        <v>Да будут благословенны ваши сердца.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6855</v>
      </c>
      <c r="AH34" s="164" t="s">
        <v>6856</v>
      </c>
      <c r="AI34" s="320" t="s">
        <v>6857</v>
      </c>
      <c r="AJ34" s="398" t="s">
        <v>6858</v>
      </c>
      <c r="AK34" s="396"/>
      <c r="AL34" s="396"/>
      <c r="AM34" s="396"/>
    </row>
    <row r="35">
      <c r="A35" s="174" t="s">
        <v>6859</v>
      </c>
      <c r="B35" s="317" t="s">
        <v>723</v>
      </c>
      <c r="C35" s="319" t="s">
        <v>723</v>
      </c>
      <c r="D35" s="396" t="s">
        <v>6860</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6861</v>
      </c>
      <c r="J35" s="315" t="str">
        <f>IFERROR(__xludf.DUMMYFUNCTION("GOOGLETRANSLATE(B35,""zh-tw"",""en"")"),"-")</f>
        <v>-</v>
      </c>
      <c r="K35" s="316" t="str">
        <f>IFERROR(__xludf.DUMMYFUNCTION("GOOGLETRANSLATE(C35,""zh-tw"",""en"")"),"-")</f>
        <v>-</v>
      </c>
      <c r="L35" s="396" t="s">
        <v>6862</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6863</v>
      </c>
      <c r="AH35" s="164" t="s">
        <v>723</v>
      </c>
      <c r="AI35" s="320" t="s">
        <v>723</v>
      </c>
      <c r="AJ35" s="398" t="s">
        <v>6864</v>
      </c>
      <c r="AK35" s="396"/>
      <c r="AL35" s="396"/>
      <c r="AM35" s="396"/>
    </row>
    <row r="36">
      <c r="A36" s="174" t="s">
        <v>6865</v>
      </c>
      <c r="B36" s="317" t="s">
        <v>6866</v>
      </c>
      <c r="C36" s="319" t="s">
        <v>6867</v>
      </c>
      <c r="D36" s="396" t="s">
        <v>4639</v>
      </c>
      <c r="E36" s="174" t="s">
        <v>4641</v>
      </c>
      <c r="F36" s="317" t="s">
        <v>6868</v>
      </c>
      <c r="G36" s="316" t="str">
        <f>IFERROR(__xludf.DUMMYFUNCTION("GOOGLETRANSLATE(C36,""zh-tw"",""ja"")"),"全属性が上昇し、一時的に無敵になる。")</f>
        <v>全属性が上昇し、一時的に無敵になる。</v>
      </c>
      <c r="H36" s="396" t="s">
        <v>4641</v>
      </c>
      <c r="I36" s="174" t="s">
        <v>4643</v>
      </c>
      <c r="J36" s="317" t="s">
        <v>6869</v>
      </c>
      <c r="K36" s="319" t="s">
        <v>6870</v>
      </c>
      <c r="L36" s="396" t="s">
        <v>4643</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6871</v>
      </c>
      <c r="AH36" s="164" t="s">
        <v>6872</v>
      </c>
      <c r="AI36" s="320" t="s">
        <v>6873</v>
      </c>
      <c r="AJ36" s="398" t="s">
        <v>6871</v>
      </c>
      <c r="AK36" s="396"/>
      <c r="AL36" s="396"/>
      <c r="AM36" s="396"/>
    </row>
    <row r="37">
      <c r="A37" s="174" t="s">
        <v>2696</v>
      </c>
      <c r="B37" s="317" t="s">
        <v>6874</v>
      </c>
      <c r="C37" s="319" t="s">
        <v>6875</v>
      </c>
      <c r="D37" s="396" t="s">
        <v>6876</v>
      </c>
      <c r="E37" s="174" t="s">
        <v>2699</v>
      </c>
      <c r="F37" s="317" t="s">
        <v>6877</v>
      </c>
      <c r="G37" s="316" t="str">
        <f>IFERROR(__xludf.DUMMYFUNCTION("GOOGLETRANSLATE(C37,""zh-tw"",""ja"")"),"スタミナを回復できない")</f>
        <v>スタミナを回復できない</v>
      </c>
      <c r="H37" s="396" t="s">
        <v>4266</v>
      </c>
      <c r="I37" s="174" t="s">
        <v>4268</v>
      </c>
      <c r="J37" s="317" t="s">
        <v>6878</v>
      </c>
      <c r="K37" s="319" t="s">
        <v>6879</v>
      </c>
      <c r="L37" s="396" t="s">
        <v>4268</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inmortal del espantapájaros")</f>
        <v>El corazón inmortal del espantapájaros</v>
      </c>
      <c r="S37" s="318"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4274</v>
      </c>
      <c r="AH37" s="186" t="s">
        <v>6880</v>
      </c>
      <c r="AI37" s="320" t="s">
        <v>6881</v>
      </c>
      <c r="AJ37" s="398" t="s">
        <v>4274</v>
      </c>
      <c r="AK37" s="396"/>
      <c r="AL37" s="396"/>
      <c r="AM37" s="396"/>
    </row>
    <row r="38">
      <c r="A38" s="174" t="s">
        <v>6882</v>
      </c>
      <c r="B38" s="317" t="s">
        <v>723</v>
      </c>
      <c r="C38" s="319" t="s">
        <v>6883</v>
      </c>
      <c r="D38" s="396" t="s">
        <v>6884</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6885</v>
      </c>
      <c r="J38" s="315" t="str">
        <f>IFERROR(__xludf.DUMMYFUNCTION("GOOGLETRANSLATE(B38,""zh-tw"",""en"")"),"-")</f>
        <v>-</v>
      </c>
      <c r="K38" s="319" t="s">
        <v>6886</v>
      </c>
      <c r="L38" s="396" t="s">
        <v>6887</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6888</v>
      </c>
      <c r="AH38" s="164" t="s">
        <v>723</v>
      </c>
      <c r="AI38" s="320" t="s">
        <v>6889</v>
      </c>
      <c r="AJ38" s="398" t="s">
        <v>6890</v>
      </c>
      <c r="AK38" s="396"/>
      <c r="AL38" s="396"/>
      <c r="AM38" s="396"/>
    </row>
    <row r="39">
      <c r="A39" s="174" t="s">
        <v>6891</v>
      </c>
      <c r="B39" s="317" t="s">
        <v>6892</v>
      </c>
      <c r="C39" s="319" t="s">
        <v>6893</v>
      </c>
      <c r="D39" s="396" t="s">
        <v>4463</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6894</v>
      </c>
      <c r="J39" s="317" t="s">
        <v>6895</v>
      </c>
      <c r="K39" s="319" t="s">
        <v>6896</v>
      </c>
      <c r="L39" s="396" t="s">
        <v>4011</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IFERROR(__xludf.DUMMYFUNCTION("GOOGLETRANSLATE(B39,""zh-tw"",""es-MX"")"),"Somos los guardianes.")</f>
        <v>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6897</v>
      </c>
      <c r="AH39" s="164" t="s">
        <v>6898</v>
      </c>
      <c r="AI39" s="320" t="s">
        <v>6899</v>
      </c>
      <c r="AJ39" s="398" t="s">
        <v>4018</v>
      </c>
      <c r="AK39" s="396"/>
      <c r="AL39" s="396"/>
      <c r="AM39" s="396"/>
    </row>
    <row r="40">
      <c r="A40" s="174" t="s">
        <v>6900</v>
      </c>
      <c r="B40" s="317" t="s">
        <v>6901</v>
      </c>
      <c r="C40" s="319" t="s">
        <v>6902</v>
      </c>
      <c r="D40" s="396" t="s">
        <v>4846</v>
      </c>
      <c r="E40" s="174" t="s">
        <v>6903</v>
      </c>
      <c r="F40" s="317" t="s">
        <v>6904</v>
      </c>
      <c r="G40" s="316" t="str">
        <f>IFERROR(__xludf.DUMMYFUNCTION("GOOGLETRANSLATE(C40,""zh-tw"",""ja"")"),"スタミナは自動的に回復します。")</f>
        <v>スタミナは自動的に回復します。</v>
      </c>
      <c r="H40" s="396" t="s">
        <v>6905</v>
      </c>
      <c r="I40" s="174" t="s">
        <v>6906</v>
      </c>
      <c r="J40" s="317" t="s">
        <v>6907</v>
      </c>
      <c r="K40" s="319" t="s">
        <v>6908</v>
      </c>
      <c r="L40" s="396" t="s">
        <v>6909</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justo a mi lado...")</f>
        <v>Siento como si mi hermana estuviera justo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6910</v>
      </c>
      <c r="AH40" s="164" t="s">
        <v>6911</v>
      </c>
      <c r="AI40" s="320" t="s">
        <v>6912</v>
      </c>
      <c r="AJ40" s="398" t="s">
        <v>6913</v>
      </c>
      <c r="AK40" s="396"/>
      <c r="AL40" s="396"/>
      <c r="AM40" s="396"/>
    </row>
    <row r="41">
      <c r="A41" s="174" t="s">
        <v>6914</v>
      </c>
      <c r="B41" s="317" t="s">
        <v>6915</v>
      </c>
      <c r="C41" s="319" t="s">
        <v>6916</v>
      </c>
      <c r="D41" s="396" t="s">
        <v>6917</v>
      </c>
      <c r="E41" s="174" t="s">
        <v>6918</v>
      </c>
      <c r="F41" s="317" t="s">
        <v>6919</v>
      </c>
      <c r="G41" s="319" t="s">
        <v>6920</v>
      </c>
      <c r="H41" s="396" t="s">
        <v>6921</v>
      </c>
      <c r="I41" s="174" t="s">
        <v>6922</v>
      </c>
      <c r="J41" s="317" t="s">
        <v>6923</v>
      </c>
      <c r="K41" s="319" t="s">
        <v>6924</v>
      </c>
      <c r="L41" s="396" t="s">
        <v>6925</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IFERROR(__xludf.DUMMYFUNCTION("GOOGLETRANSLATE(B41,""zh-tw"",""es-MX"")"),"Me dio dolor de estómago...")</f>
        <v>Me dio dolor de estómago...</v>
      </c>
      <c r="S41" s="318"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6926</v>
      </c>
      <c r="AH41" s="164" t="s">
        <v>6927</v>
      </c>
      <c r="AI41" s="320" t="s">
        <v>6928</v>
      </c>
      <c r="AJ41" s="398" t="s">
        <v>6929</v>
      </c>
      <c r="AK41" s="396"/>
      <c r="AL41" s="396"/>
      <c r="AM41" s="396"/>
    </row>
    <row r="42">
      <c r="A42" s="174" t="s">
        <v>6930</v>
      </c>
      <c r="B42" s="317" t="s">
        <v>6931</v>
      </c>
      <c r="C42" s="319" t="s">
        <v>6932</v>
      </c>
      <c r="D42" s="396" t="s">
        <v>6933</v>
      </c>
      <c r="E42" s="174" t="s">
        <v>6934</v>
      </c>
      <c r="F42" s="317" t="s">
        <v>6935</v>
      </c>
      <c r="G42" s="319" t="s">
        <v>6936</v>
      </c>
      <c r="H42" s="396" t="s">
        <v>6937</v>
      </c>
      <c r="I42" s="174" t="s">
        <v>6938</v>
      </c>
      <c r="J42" s="317" t="s">
        <v>6939</v>
      </c>
      <c r="K42" s="319" t="s">
        <v>6940</v>
      </c>
      <c r="L42" s="396" t="s">
        <v>6941</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IFERROR(__xludf.DUMMYFUNCTION("GOOGLETRANSLATE(B42,""zh-tw"",""es-MX"")"),"Los crisantemos se marchitaron, las heridas quedaron esparcidas por el suelo...")</f>
        <v>Los crisantemos se marchitaron, las heridas quedaron esparcidas por el suelo...</v>
      </c>
      <c r="S42" s="318"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6942</v>
      </c>
      <c r="AH42" s="164" t="s">
        <v>6943</v>
      </c>
      <c r="AI42" s="320" t="s">
        <v>6944</v>
      </c>
      <c r="AJ42" s="398" t="s">
        <v>6945</v>
      </c>
      <c r="AK42" s="396"/>
      <c r="AL42" s="396"/>
      <c r="AM42" s="396"/>
    </row>
    <row r="43">
      <c r="A43" s="174" t="s">
        <v>6946</v>
      </c>
      <c r="B43" s="317" t="s">
        <v>6947</v>
      </c>
      <c r="C43" s="319" t="s">
        <v>6948</v>
      </c>
      <c r="D43" s="396" t="s">
        <v>6949</v>
      </c>
      <c r="E43" s="174" t="s">
        <v>6950</v>
      </c>
      <c r="F43" s="317" t="s">
        <v>6951</v>
      </c>
      <c r="G43" s="319" t="s">
        <v>6952</v>
      </c>
      <c r="H43" s="396" t="s">
        <v>6953</v>
      </c>
      <c r="I43" s="174" t="s">
        <v>6954</v>
      </c>
      <c r="J43" s="317" t="s">
        <v>6955</v>
      </c>
      <c r="K43" s="319" t="s">
        <v>6956</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IFERROR(__xludf.DUMMYFUNCTION("GOOGLETRANSLATE(A43,""zh-tw"",""es-MX"")"),"Vuelve a casa temprano.")</f>
        <v>Vuelve a casa temprano.</v>
      </c>
      <c r="R43" s="162" t="str">
        <f>IFERROR(__xludf.DUMMYFUNCTION("GOOGLETRANSLATE(B43,""zh-tw"",""es-MX"")"),"¡Hace muchísimo calor...!")</f>
        <v>¡Hace muchísimo calor...!</v>
      </c>
      <c r="S43" s="318" t="str">
        <f>IFERROR(__xludf.DUMMYFUNCTION("GOOGLETRANSLATE(C43,""zh-tw"",""es-MX"")"),"Me siento débil por completo debido al calor...")</f>
        <v>Me siento débil por completo debido al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6957</v>
      </c>
      <c r="AI43" s="320" t="s">
        <v>6958</v>
      </c>
      <c r="AJ43" s="399"/>
      <c r="AK43" s="396"/>
      <c r="AL43" s="396"/>
      <c r="AM43" s="396"/>
    </row>
    <row r="44">
      <c r="A44" s="174" t="s">
        <v>6959</v>
      </c>
      <c r="B44" s="317" t="s">
        <v>6960</v>
      </c>
      <c r="C44" s="319" t="s">
        <v>6961</v>
      </c>
      <c r="D44" s="396" t="s">
        <v>6962</v>
      </c>
      <c r="E44" s="174" t="s">
        <v>6963</v>
      </c>
      <c r="F44" s="317" t="s">
        <v>6964</v>
      </c>
      <c r="G44" s="319" t="s">
        <v>6965</v>
      </c>
      <c r="H44" s="396" t="s">
        <v>6966</v>
      </c>
      <c r="I44" s="174" t="s">
        <v>6967</v>
      </c>
      <c r="J44" s="317" t="s">
        <v>6968</v>
      </c>
      <c r="K44" s="319" t="s">
        <v>6969</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8" t="str">
        <f>IFERROR(__xludf.DUMMYFUNCTION("GOOGLETRANSLATE(C44,""zh-tw"",""es-MX"")"),"¡Obtuvo la certificación de ""pez pequeño"" haciendo trampa!")</f>
        <v>¡Obtuvo la certificación de "pez pequeño" haciendo trampa!</v>
      </c>
      <c r="T44" s="175" t="str">
        <f>IFERROR(__xludf.DUMMYFUNCTION("GOOGLETRANSLATE(D44,""zh-tw"",""es-MX"")"),"Utiliza códigos de trucos")</f>
        <v>Utiliza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6970</v>
      </c>
      <c r="AH44" s="164" t="s">
        <v>6971</v>
      </c>
      <c r="AI44" s="320" t="s">
        <v>6972</v>
      </c>
      <c r="AJ44" s="399"/>
      <c r="AK44" s="396"/>
      <c r="AL44" s="396"/>
      <c r="AM44" s="396"/>
    </row>
    <row r="45">
      <c r="A45" s="174" t="s">
        <v>6973</v>
      </c>
      <c r="B45" s="317" t="s">
        <v>6974</v>
      </c>
      <c r="C45" s="319" t="s">
        <v>723</v>
      </c>
      <c r="D45" s="396" t="s">
        <v>5398</v>
      </c>
      <c r="E45" s="174" t="s">
        <v>6975</v>
      </c>
      <c r="F45" s="317" t="s">
        <v>6976</v>
      </c>
      <c r="G45" s="319" t="s">
        <v>723</v>
      </c>
      <c r="H45" s="396" t="s">
        <v>6977</v>
      </c>
      <c r="I45" s="174" t="s">
        <v>5402</v>
      </c>
      <c r="J45" s="317" t="s">
        <v>6978</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홍옥수 펜던트")</f>
        <v>붉은 홍옥수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6979</v>
      </c>
      <c r="AH45" s="164" t="s">
        <v>6980</v>
      </c>
      <c r="AI45" s="400"/>
      <c r="AJ45" s="399"/>
      <c r="AK45" s="396"/>
      <c r="AL45" s="396"/>
      <c r="AM45" s="396"/>
    </row>
    <row r="46">
      <c r="A46" s="174" t="s">
        <v>6981</v>
      </c>
      <c r="B46" s="317" t="s">
        <v>6982</v>
      </c>
      <c r="C46" s="319" t="s">
        <v>6983</v>
      </c>
      <c r="D46" s="396" t="s">
        <v>5341</v>
      </c>
      <c r="E46" s="174" t="s">
        <v>6984</v>
      </c>
      <c r="F46" s="317" t="s">
        <v>6985</v>
      </c>
      <c r="G46" s="319" t="s">
        <v>6986</v>
      </c>
      <c r="H46" s="397"/>
      <c r="I46" s="174" t="s">
        <v>6987</v>
      </c>
      <c r="J46" s="317" t="s">
        <v>6988</v>
      </c>
      <c r="K46" s="319" t="s">
        <v>6989</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límites acabará por fijar su mirada también en ti.")</f>
        <v>La codicia sin límites acabará por fijar su mirada también en ti.</v>
      </c>
      <c r="S46" s="318" t="str">
        <f>IFERROR(__xludf.DUMMYFUNCTION("GOOGLETRANSLATE(C46,""zh-tw"",""es-MX"")"),"Obligado a soltar monedas de oro cuando se lesionó")</f>
        <v>Obligado a soltar monedas de oro cuando se lesionó</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IFERROR(__xludf.DUMMYFUNCTION("GOOGLETRANSLATE(C46,""zh-tw"",""DE"")"),"Gezwungen, Goldmünzen fallen zu lassen, wenn er verletzt ist")</f>
        <v>Gezwungen, Goldmünzen fallen zu lassen, wenn er verletzt ist</v>
      </c>
      <c r="AF46" s="397" t="str">
        <f>IFERROR(__xludf.DUMMYFUNCTION("GOOGLETRANSLATE(D46,""zh-tw"",""DE"")"),"Gieriges Sparschwein")</f>
        <v>Gieriges Sparschwein</v>
      </c>
      <c r="AG46" s="401" t="s">
        <v>6990</v>
      </c>
      <c r="AH46" s="160" t="s">
        <v>6991</v>
      </c>
      <c r="AI46" s="402" t="s">
        <v>6992</v>
      </c>
      <c r="AJ46" s="403"/>
      <c r="AK46" s="397"/>
      <c r="AL46" s="397"/>
      <c r="AM46" s="397"/>
    </row>
    <row r="47">
      <c r="A47" s="174" t="s">
        <v>6993</v>
      </c>
      <c r="B47" s="317" t="s">
        <v>6994</v>
      </c>
      <c r="C47" s="319" t="s">
        <v>6995</v>
      </c>
      <c r="D47" s="396" t="s">
        <v>5259</v>
      </c>
      <c r="E47" s="174" t="s">
        <v>6996</v>
      </c>
      <c r="F47" s="317" t="s">
        <v>6997</v>
      </c>
      <c r="G47" s="319" t="s">
        <v>6998</v>
      </c>
      <c r="H47" s="397"/>
      <c r="I47" s="174" t="s">
        <v>6999</v>
      </c>
      <c r="J47" s="317" t="s">
        <v>7000</v>
      </c>
      <c r="K47" s="319" t="s">
        <v>7001</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MIS OJOS MALVADOS, VES ALGO DENTRO!")</f>
        <v>¡MIRA MIS OJOS MALVADOS,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la niebla nocturna")</f>
        <v>Fantasma de la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404" t="s">
        <v>7002</v>
      </c>
      <c r="AH47" s="186" t="s">
        <v>7003</v>
      </c>
      <c r="AI47" s="402" t="s">
        <v>7004</v>
      </c>
      <c r="AJ47" s="405"/>
      <c r="AK47" s="397"/>
      <c r="AL47" s="397"/>
      <c r="AM47" s="397"/>
    </row>
    <row r="48">
      <c r="A48" s="314"/>
      <c r="B48" s="315"/>
      <c r="C48" s="316"/>
      <c r="D48" s="397"/>
      <c r="E48" s="314"/>
      <c r="F48" s="315"/>
      <c r="G48" s="316"/>
      <c r="H48" s="397"/>
      <c r="I48" s="314"/>
      <c r="J48" s="315"/>
      <c r="K48" s="316"/>
      <c r="L48" s="397"/>
      <c r="M48" s="314"/>
      <c r="N48" s="315"/>
      <c r="O48" s="316"/>
      <c r="P48" s="397"/>
      <c r="Q48" s="198"/>
      <c r="R48" s="219"/>
      <c r="S48" s="406"/>
      <c r="T48" s="403"/>
      <c r="U48" s="198"/>
      <c r="V48" s="219"/>
      <c r="W48" s="406"/>
      <c r="X48" s="403"/>
      <c r="Y48" s="407"/>
      <c r="Z48" s="408"/>
      <c r="AA48" s="409"/>
      <c r="AB48" s="410"/>
      <c r="AC48" s="407"/>
      <c r="AD48" s="408"/>
      <c r="AE48" s="409"/>
      <c r="AF48" s="410"/>
      <c r="AG48" s="198"/>
      <c r="AH48" s="219"/>
      <c r="AI48" s="406"/>
      <c r="AJ48" s="403"/>
      <c r="AK48" s="397"/>
      <c r="AL48" s="397"/>
      <c r="AM48" s="397"/>
    </row>
    <row r="49">
      <c r="A49" s="314"/>
      <c r="B49" s="315"/>
      <c r="C49" s="316"/>
      <c r="D49" s="397"/>
      <c r="E49" s="314"/>
      <c r="F49" s="315"/>
      <c r="G49" s="316"/>
      <c r="H49" s="397"/>
      <c r="I49" s="314"/>
      <c r="J49" s="315"/>
      <c r="K49" s="316"/>
      <c r="L49" s="397"/>
      <c r="M49" s="314"/>
      <c r="N49" s="315"/>
      <c r="O49" s="316"/>
      <c r="P49" s="397"/>
      <c r="Q49" s="198"/>
      <c r="R49" s="219"/>
      <c r="S49" s="406"/>
      <c r="T49" s="403"/>
      <c r="U49" s="198"/>
      <c r="V49" s="219"/>
      <c r="W49" s="406"/>
      <c r="X49" s="403"/>
      <c r="Y49" s="407"/>
      <c r="Z49" s="408"/>
      <c r="AA49" s="409"/>
      <c r="AB49" s="410"/>
      <c r="AC49" s="407"/>
      <c r="AD49" s="408"/>
      <c r="AE49" s="409"/>
      <c r="AF49" s="410"/>
      <c r="AG49" s="198"/>
      <c r="AH49" s="219"/>
      <c r="AI49" s="406"/>
      <c r="AJ49" s="403"/>
      <c r="AK49" s="397"/>
      <c r="AL49" s="397"/>
      <c r="AM49" s="397"/>
    </row>
    <row r="50">
      <c r="A50" s="314"/>
      <c r="B50" s="315"/>
      <c r="C50" s="316"/>
      <c r="D50" s="397"/>
      <c r="E50" s="314"/>
      <c r="F50" s="315"/>
      <c r="G50" s="316"/>
      <c r="H50" s="397"/>
      <c r="I50" s="314"/>
      <c r="J50" s="315"/>
      <c r="K50" s="316"/>
      <c r="L50" s="397"/>
      <c r="M50" s="314"/>
      <c r="N50" s="315"/>
      <c r="O50" s="316"/>
      <c r="P50" s="397"/>
      <c r="Q50" s="198"/>
      <c r="R50" s="219"/>
      <c r="S50" s="406"/>
      <c r="T50" s="403"/>
      <c r="U50" s="198"/>
      <c r="V50" s="219"/>
      <c r="W50" s="406"/>
      <c r="X50" s="403"/>
      <c r="Y50" s="407"/>
      <c r="Z50" s="408"/>
      <c r="AA50" s="409"/>
      <c r="AB50" s="410"/>
      <c r="AC50" s="407"/>
      <c r="AD50" s="408"/>
      <c r="AE50" s="409"/>
      <c r="AF50" s="410"/>
      <c r="AG50" s="198"/>
      <c r="AH50" s="219"/>
      <c r="AI50" s="406"/>
      <c r="AJ50" s="403"/>
      <c r="AK50" s="397"/>
      <c r="AL50" s="397"/>
      <c r="AM50" s="397"/>
    </row>
    <row r="51">
      <c r="A51" s="314"/>
      <c r="B51" s="315"/>
      <c r="C51" s="316"/>
      <c r="D51" s="397"/>
      <c r="E51" s="314"/>
      <c r="F51" s="315"/>
      <c r="G51" s="316"/>
      <c r="H51" s="397"/>
      <c r="I51" s="314"/>
      <c r="J51" s="315"/>
      <c r="K51" s="316"/>
      <c r="L51" s="397"/>
      <c r="M51" s="314"/>
      <c r="N51" s="315"/>
      <c r="O51" s="316"/>
      <c r="P51" s="397"/>
      <c r="Q51" s="198"/>
      <c r="R51" s="219"/>
      <c r="S51" s="406"/>
      <c r="T51" s="403"/>
      <c r="U51" s="198"/>
      <c r="V51" s="219"/>
      <c r="W51" s="406"/>
      <c r="X51" s="403"/>
      <c r="Y51" s="407"/>
      <c r="Z51" s="408"/>
      <c r="AA51" s="409"/>
      <c r="AB51" s="410"/>
      <c r="AC51" s="407"/>
      <c r="AD51" s="408"/>
      <c r="AE51" s="409"/>
      <c r="AF51" s="410"/>
      <c r="AG51" s="198"/>
      <c r="AH51" s="219"/>
      <c r="AI51" s="406"/>
      <c r="AJ51" s="403"/>
      <c r="AK51" s="397"/>
      <c r="AL51" s="397"/>
      <c r="AM51" s="397"/>
    </row>
    <row r="52">
      <c r="A52" s="314"/>
      <c r="B52" s="315"/>
      <c r="C52" s="316"/>
      <c r="D52" s="397"/>
      <c r="E52" s="314"/>
      <c r="F52" s="315"/>
      <c r="G52" s="316"/>
      <c r="H52" s="397"/>
      <c r="I52" s="314"/>
      <c r="J52" s="315"/>
      <c r="K52" s="316"/>
      <c r="L52" s="397"/>
      <c r="M52" s="314"/>
      <c r="N52" s="315"/>
      <c r="O52" s="316"/>
      <c r="P52" s="397"/>
      <c r="Q52" s="198"/>
      <c r="R52" s="219"/>
      <c r="S52" s="406"/>
      <c r="T52" s="403"/>
      <c r="U52" s="198"/>
      <c r="V52" s="219"/>
      <c r="W52" s="406"/>
      <c r="X52" s="403"/>
      <c r="Y52" s="407"/>
      <c r="Z52" s="408"/>
      <c r="AA52" s="409"/>
      <c r="AB52" s="410"/>
      <c r="AC52" s="407"/>
      <c r="AD52" s="408"/>
      <c r="AE52" s="409"/>
      <c r="AF52" s="410"/>
      <c r="AG52" s="198"/>
      <c r="AH52" s="219"/>
      <c r="AI52" s="406"/>
      <c r="AJ52" s="403"/>
      <c r="AK52" s="397"/>
      <c r="AL52" s="397"/>
      <c r="AM52" s="397"/>
    </row>
    <row r="53">
      <c r="A53" s="314"/>
      <c r="B53" s="315"/>
      <c r="C53" s="316"/>
      <c r="D53" s="397"/>
      <c r="E53" s="314"/>
      <c r="F53" s="315"/>
      <c r="G53" s="316"/>
      <c r="H53" s="397"/>
      <c r="I53" s="314"/>
      <c r="J53" s="315"/>
      <c r="K53" s="316"/>
      <c r="L53" s="397"/>
      <c r="M53" s="314"/>
      <c r="N53" s="315"/>
      <c r="O53" s="316"/>
      <c r="P53" s="397"/>
      <c r="Q53" s="198"/>
      <c r="R53" s="219"/>
      <c r="S53" s="406"/>
      <c r="T53" s="403"/>
      <c r="U53" s="198"/>
      <c r="V53" s="219"/>
      <c r="W53" s="406"/>
      <c r="X53" s="403"/>
      <c r="Y53" s="198"/>
      <c r="Z53" s="219"/>
      <c r="AA53" s="406"/>
      <c r="AB53" s="403"/>
      <c r="AC53" s="198"/>
      <c r="AD53" s="219"/>
      <c r="AE53" s="406"/>
      <c r="AF53" s="403"/>
      <c r="AG53" s="198"/>
      <c r="AH53" s="219"/>
      <c r="AI53" s="406"/>
      <c r="AJ53" s="403"/>
      <c r="AK53" s="397"/>
      <c r="AL53" s="397"/>
      <c r="AM53" s="397"/>
    </row>
    <row r="54">
      <c r="A54" s="314"/>
      <c r="B54" s="315"/>
      <c r="C54" s="316"/>
      <c r="D54" s="397"/>
      <c r="E54" s="314"/>
      <c r="F54" s="315"/>
      <c r="G54" s="316"/>
      <c r="H54" s="397"/>
      <c r="I54" s="314"/>
      <c r="J54" s="315"/>
      <c r="K54" s="316"/>
      <c r="L54" s="397"/>
      <c r="M54" s="314"/>
      <c r="N54" s="315"/>
      <c r="O54" s="316"/>
      <c r="P54" s="397"/>
      <c r="Q54" s="198"/>
      <c r="R54" s="219"/>
      <c r="S54" s="406"/>
      <c r="T54" s="403"/>
      <c r="U54" s="198"/>
      <c r="V54" s="219"/>
      <c r="W54" s="406"/>
      <c r="X54" s="403"/>
      <c r="Y54" s="198"/>
      <c r="Z54" s="219"/>
      <c r="AA54" s="406"/>
      <c r="AB54" s="403"/>
      <c r="AC54" s="198"/>
      <c r="AD54" s="219"/>
      <c r="AE54" s="406"/>
      <c r="AF54" s="403"/>
      <c r="AG54" s="198"/>
      <c r="AH54" s="219"/>
      <c r="AI54" s="406"/>
      <c r="AJ54" s="403"/>
      <c r="AK54" s="397"/>
      <c r="AL54" s="397"/>
      <c r="AM54" s="397"/>
    </row>
    <row r="55">
      <c r="A55" s="314"/>
      <c r="B55" s="315"/>
      <c r="C55" s="316"/>
      <c r="D55" s="397"/>
      <c r="E55" s="314"/>
      <c r="F55" s="315"/>
      <c r="G55" s="316"/>
      <c r="H55" s="397"/>
      <c r="I55" s="314"/>
      <c r="J55" s="315"/>
      <c r="K55" s="316"/>
      <c r="L55" s="397"/>
      <c r="M55" s="314"/>
      <c r="N55" s="315"/>
      <c r="O55" s="316"/>
      <c r="P55" s="397"/>
      <c r="Q55" s="198"/>
      <c r="R55" s="219"/>
      <c r="S55" s="406"/>
      <c r="T55" s="403"/>
      <c r="U55" s="198"/>
      <c r="V55" s="219"/>
      <c r="W55" s="406"/>
      <c r="X55" s="403"/>
      <c r="Y55" s="198"/>
      <c r="Z55" s="219"/>
      <c r="AA55" s="406"/>
      <c r="AB55" s="403"/>
      <c r="AC55" s="198"/>
      <c r="AD55" s="219"/>
      <c r="AE55" s="406"/>
      <c r="AF55" s="403"/>
      <c r="AG55" s="198"/>
      <c r="AH55" s="219"/>
      <c r="AI55" s="406"/>
      <c r="AJ55" s="403"/>
      <c r="AK55" s="397"/>
      <c r="AL55" s="397"/>
      <c r="AM55" s="397"/>
    </row>
    <row r="56">
      <c r="A56" s="314"/>
      <c r="B56" s="315"/>
      <c r="C56" s="316"/>
      <c r="D56" s="397"/>
      <c r="E56" s="314"/>
      <c r="F56" s="315"/>
      <c r="G56" s="316"/>
      <c r="H56" s="397"/>
      <c r="I56" s="314"/>
      <c r="J56" s="315"/>
      <c r="K56" s="316"/>
      <c r="L56" s="397"/>
      <c r="M56" s="314"/>
      <c r="N56" s="315"/>
      <c r="O56" s="316"/>
      <c r="P56" s="397"/>
      <c r="Q56" s="198"/>
      <c r="R56" s="219"/>
      <c r="S56" s="406"/>
      <c r="T56" s="403"/>
      <c r="U56" s="198"/>
      <c r="V56" s="219"/>
      <c r="W56" s="406"/>
      <c r="X56" s="403"/>
      <c r="Y56" s="198"/>
      <c r="Z56" s="219"/>
      <c r="AA56" s="406"/>
      <c r="AB56" s="403"/>
      <c r="AC56" s="198"/>
      <c r="AD56" s="219"/>
      <c r="AE56" s="406"/>
      <c r="AF56" s="403"/>
      <c r="AG56" s="198"/>
      <c r="AH56" s="219"/>
      <c r="AI56" s="406"/>
      <c r="AJ56" s="403"/>
      <c r="AK56" s="397"/>
      <c r="AL56" s="397"/>
      <c r="AM56" s="397"/>
    </row>
    <row r="57">
      <c r="A57" s="314"/>
      <c r="B57" s="315"/>
      <c r="C57" s="316"/>
      <c r="D57" s="397"/>
      <c r="E57" s="314"/>
      <c r="F57" s="315"/>
      <c r="G57" s="316"/>
      <c r="H57" s="397"/>
      <c r="I57" s="314"/>
      <c r="J57" s="315"/>
      <c r="K57" s="316"/>
      <c r="L57" s="397"/>
      <c r="M57" s="314"/>
      <c r="N57" s="315"/>
      <c r="O57" s="316"/>
      <c r="P57" s="397"/>
      <c r="Q57" s="198"/>
      <c r="R57" s="219"/>
      <c r="S57" s="406"/>
      <c r="T57" s="403"/>
      <c r="U57" s="198"/>
      <c r="V57" s="219"/>
      <c r="W57" s="406"/>
      <c r="X57" s="403"/>
      <c r="Y57" s="198"/>
      <c r="Z57" s="219"/>
      <c r="AA57" s="406"/>
      <c r="AB57" s="403"/>
      <c r="AC57" s="198"/>
      <c r="AD57" s="219"/>
      <c r="AE57" s="406"/>
      <c r="AF57" s="403"/>
      <c r="AG57" s="198"/>
      <c r="AH57" s="219"/>
      <c r="AI57" s="406"/>
      <c r="AJ57" s="403"/>
      <c r="AK57" s="397"/>
      <c r="AL57" s="397"/>
      <c r="AM57" s="397"/>
    </row>
    <row r="58">
      <c r="A58" s="314"/>
      <c r="B58" s="315"/>
      <c r="C58" s="316"/>
      <c r="D58" s="397"/>
      <c r="E58" s="314"/>
      <c r="F58" s="315"/>
      <c r="G58" s="316"/>
      <c r="H58" s="397"/>
      <c r="I58" s="314"/>
      <c r="J58" s="315"/>
      <c r="K58" s="316"/>
      <c r="L58" s="397"/>
      <c r="M58" s="314"/>
      <c r="N58" s="315"/>
      <c r="O58" s="316"/>
      <c r="P58" s="397"/>
      <c r="Q58" s="198"/>
      <c r="R58" s="219"/>
      <c r="S58" s="406"/>
      <c r="T58" s="403"/>
      <c r="U58" s="198"/>
      <c r="V58" s="219"/>
      <c r="W58" s="406"/>
      <c r="X58" s="403"/>
      <c r="Y58" s="198"/>
      <c r="Z58" s="219"/>
      <c r="AA58" s="406"/>
      <c r="AB58" s="403"/>
      <c r="AC58" s="198"/>
      <c r="AD58" s="219"/>
      <c r="AE58" s="406"/>
      <c r="AF58" s="403"/>
      <c r="AG58" s="198"/>
      <c r="AH58" s="219"/>
      <c r="AI58" s="406"/>
      <c r="AJ58" s="403"/>
      <c r="AK58" s="397"/>
      <c r="AL58" s="397"/>
      <c r="AM58" s="397"/>
    </row>
    <row r="59">
      <c r="A59" s="314"/>
      <c r="B59" s="315"/>
      <c r="C59" s="316"/>
      <c r="D59" s="397"/>
      <c r="E59" s="314"/>
      <c r="F59" s="315"/>
      <c r="G59" s="316"/>
      <c r="H59" s="397"/>
      <c r="I59" s="314"/>
      <c r="J59" s="315"/>
      <c r="K59" s="316"/>
      <c r="L59" s="397"/>
      <c r="M59" s="314"/>
      <c r="N59" s="315"/>
      <c r="O59" s="316"/>
      <c r="P59" s="397"/>
      <c r="Q59" s="198"/>
      <c r="R59" s="219"/>
      <c r="S59" s="406"/>
      <c r="T59" s="403"/>
      <c r="U59" s="198"/>
      <c r="V59" s="219"/>
      <c r="W59" s="406"/>
      <c r="X59" s="403"/>
      <c r="Y59" s="198"/>
      <c r="Z59" s="219"/>
      <c r="AA59" s="406"/>
      <c r="AB59" s="403"/>
      <c r="AC59" s="198"/>
      <c r="AD59" s="219"/>
      <c r="AE59" s="406"/>
      <c r="AF59" s="403"/>
      <c r="AG59" s="198"/>
      <c r="AH59" s="219"/>
      <c r="AI59" s="406"/>
      <c r="AJ59" s="403"/>
      <c r="AK59" s="397"/>
      <c r="AL59" s="397"/>
      <c r="AM59" s="397"/>
    </row>
    <row r="60">
      <c r="A60" s="314"/>
      <c r="B60" s="315"/>
      <c r="C60" s="316"/>
      <c r="D60" s="397"/>
      <c r="E60" s="314"/>
      <c r="F60" s="315"/>
      <c r="G60" s="316"/>
      <c r="H60" s="397"/>
      <c r="I60" s="314"/>
      <c r="J60" s="315"/>
      <c r="K60" s="316"/>
      <c r="L60" s="397"/>
      <c r="M60" s="314"/>
      <c r="N60" s="315"/>
      <c r="O60" s="316"/>
      <c r="P60" s="397"/>
      <c r="Q60" s="198"/>
      <c r="R60" s="219"/>
      <c r="S60" s="406"/>
      <c r="T60" s="403"/>
      <c r="U60" s="198"/>
      <c r="V60" s="219"/>
      <c r="W60" s="406"/>
      <c r="X60" s="403"/>
      <c r="Y60" s="198"/>
      <c r="Z60" s="219"/>
      <c r="AA60" s="406"/>
      <c r="AB60" s="403"/>
      <c r="AC60" s="198"/>
      <c r="AD60" s="219"/>
      <c r="AE60" s="406"/>
      <c r="AF60" s="403"/>
      <c r="AG60" s="198"/>
      <c r="AH60" s="219"/>
      <c r="AI60" s="406"/>
      <c r="AJ60" s="403"/>
      <c r="AK60" s="397"/>
      <c r="AL60" s="397"/>
      <c r="AM60" s="397"/>
    </row>
    <row r="61">
      <c r="A61" s="314"/>
      <c r="B61" s="315"/>
      <c r="C61" s="316"/>
      <c r="D61" s="397"/>
      <c r="E61" s="314"/>
      <c r="F61" s="315"/>
      <c r="G61" s="316"/>
      <c r="H61" s="397"/>
      <c r="I61" s="314"/>
      <c r="J61" s="315"/>
      <c r="K61" s="316"/>
      <c r="L61" s="397"/>
      <c r="M61" s="314"/>
      <c r="N61" s="315"/>
      <c r="O61" s="316"/>
      <c r="P61" s="397"/>
      <c r="Q61" s="198"/>
      <c r="R61" s="219"/>
      <c r="S61" s="406"/>
      <c r="T61" s="403"/>
      <c r="U61" s="198"/>
      <c r="V61" s="219"/>
      <c r="W61" s="406"/>
      <c r="X61" s="403"/>
      <c r="Y61" s="198"/>
      <c r="Z61" s="219"/>
      <c r="AA61" s="406"/>
      <c r="AB61" s="403"/>
      <c r="AC61" s="198"/>
      <c r="AD61" s="219"/>
      <c r="AE61" s="406"/>
      <c r="AF61" s="403"/>
      <c r="AG61" s="198"/>
      <c r="AH61" s="219"/>
      <c r="AI61" s="406"/>
      <c r="AJ61" s="403"/>
      <c r="AK61" s="397"/>
      <c r="AL61" s="397"/>
      <c r="AM61" s="397"/>
    </row>
    <row r="62">
      <c r="A62" s="314"/>
      <c r="B62" s="315"/>
      <c r="C62" s="316"/>
      <c r="D62" s="397"/>
      <c r="E62" s="314"/>
      <c r="F62" s="315"/>
      <c r="G62" s="316"/>
      <c r="H62" s="397"/>
      <c r="I62" s="314"/>
      <c r="J62" s="315"/>
      <c r="K62" s="316"/>
      <c r="L62" s="397"/>
      <c r="M62" s="314"/>
      <c r="N62" s="315"/>
      <c r="O62" s="316"/>
      <c r="P62" s="397"/>
      <c r="Q62" s="198"/>
      <c r="R62" s="219"/>
      <c r="S62" s="406"/>
      <c r="T62" s="403"/>
      <c r="U62" s="198"/>
      <c r="V62" s="219"/>
      <c r="W62" s="406"/>
      <c r="X62" s="403"/>
      <c r="Y62" s="198"/>
      <c r="Z62" s="219"/>
      <c r="AA62" s="406"/>
      <c r="AB62" s="403"/>
      <c r="AC62" s="198"/>
      <c r="AD62" s="219"/>
      <c r="AE62" s="406"/>
      <c r="AF62" s="403"/>
      <c r="AG62" s="198"/>
      <c r="AH62" s="219"/>
      <c r="AI62" s="406"/>
      <c r="AJ62" s="403"/>
      <c r="AK62" s="397"/>
      <c r="AL62" s="397"/>
      <c r="AM62" s="397"/>
    </row>
    <row r="63">
      <c r="A63" s="314"/>
      <c r="B63" s="315"/>
      <c r="C63" s="316"/>
      <c r="D63" s="397"/>
      <c r="E63" s="314"/>
      <c r="F63" s="315"/>
      <c r="G63" s="316"/>
      <c r="H63" s="397"/>
      <c r="I63" s="314"/>
      <c r="J63" s="315"/>
      <c r="K63" s="316"/>
      <c r="L63" s="397"/>
      <c r="M63" s="314"/>
      <c r="N63" s="315"/>
      <c r="O63" s="316"/>
      <c r="P63" s="397"/>
      <c r="Q63" s="198"/>
      <c r="R63" s="219"/>
      <c r="S63" s="406"/>
      <c r="T63" s="403"/>
      <c r="U63" s="198"/>
      <c r="V63" s="219"/>
      <c r="W63" s="406"/>
      <c r="X63" s="403"/>
      <c r="Y63" s="198"/>
      <c r="Z63" s="219"/>
      <c r="AA63" s="406"/>
      <c r="AB63" s="403"/>
      <c r="AC63" s="198"/>
      <c r="AD63" s="219"/>
      <c r="AE63" s="406"/>
      <c r="AF63" s="403"/>
      <c r="AG63" s="198"/>
      <c r="AH63" s="219"/>
      <c r="AI63" s="406"/>
      <c r="AJ63" s="403"/>
      <c r="AK63" s="397"/>
      <c r="AL63" s="397"/>
      <c r="AM63" s="397"/>
    </row>
    <row r="64">
      <c r="A64" s="314"/>
      <c r="B64" s="315"/>
      <c r="C64" s="316"/>
      <c r="D64" s="397"/>
      <c r="E64" s="314"/>
      <c r="F64" s="315"/>
      <c r="G64" s="316"/>
      <c r="H64" s="397"/>
      <c r="I64" s="314"/>
      <c r="J64" s="315"/>
      <c r="K64" s="316"/>
      <c r="L64" s="397"/>
      <c r="M64" s="314"/>
      <c r="N64" s="315"/>
      <c r="O64" s="316"/>
      <c r="P64" s="397"/>
      <c r="Q64" s="198"/>
      <c r="R64" s="219"/>
      <c r="S64" s="406"/>
      <c r="T64" s="403"/>
      <c r="U64" s="198"/>
      <c r="V64" s="219"/>
      <c r="W64" s="406"/>
      <c r="X64" s="403"/>
      <c r="Y64" s="198"/>
      <c r="Z64" s="219"/>
      <c r="AA64" s="406"/>
      <c r="AB64" s="403"/>
      <c r="AC64" s="198"/>
      <c r="AD64" s="219"/>
      <c r="AE64" s="406"/>
      <c r="AF64" s="403"/>
      <c r="AG64" s="198"/>
      <c r="AH64" s="219"/>
      <c r="AI64" s="406"/>
      <c r="AJ64" s="403"/>
      <c r="AK64" s="397"/>
      <c r="AL64" s="397"/>
      <c r="AM64" s="397"/>
    </row>
    <row r="65">
      <c r="A65" s="314"/>
      <c r="B65" s="315"/>
      <c r="C65" s="316"/>
      <c r="D65" s="397"/>
      <c r="E65" s="314"/>
      <c r="F65" s="315"/>
      <c r="G65" s="316"/>
      <c r="H65" s="397"/>
      <c r="I65" s="314"/>
      <c r="J65" s="315"/>
      <c r="K65" s="316"/>
      <c r="L65" s="397"/>
      <c r="M65" s="314"/>
      <c r="N65" s="315"/>
      <c r="O65" s="316"/>
      <c r="P65" s="397"/>
      <c r="Q65" s="198"/>
      <c r="R65" s="219"/>
      <c r="S65" s="406"/>
      <c r="T65" s="403"/>
      <c r="U65" s="198"/>
      <c r="V65" s="219"/>
      <c r="W65" s="406"/>
      <c r="X65" s="403"/>
      <c r="Y65" s="198"/>
      <c r="Z65" s="219"/>
      <c r="AA65" s="406"/>
      <c r="AB65" s="403"/>
      <c r="AC65" s="198"/>
      <c r="AD65" s="219"/>
      <c r="AE65" s="406"/>
      <c r="AF65" s="403"/>
      <c r="AG65" s="198"/>
      <c r="AH65" s="219"/>
      <c r="AI65" s="406"/>
      <c r="AJ65" s="403"/>
      <c r="AK65" s="397"/>
      <c r="AL65" s="397"/>
      <c r="AM65" s="397"/>
    </row>
    <row r="66">
      <c r="A66" s="314"/>
      <c r="B66" s="315"/>
      <c r="C66" s="316"/>
      <c r="D66" s="397"/>
      <c r="E66" s="314"/>
      <c r="F66" s="315"/>
      <c r="G66" s="316"/>
      <c r="H66" s="397"/>
      <c r="I66" s="314"/>
      <c r="J66" s="315"/>
      <c r="K66" s="316"/>
      <c r="L66" s="397"/>
      <c r="M66" s="314"/>
      <c r="N66" s="315"/>
      <c r="O66" s="316"/>
      <c r="P66" s="397"/>
      <c r="Q66" s="198"/>
      <c r="R66" s="219"/>
      <c r="S66" s="406"/>
      <c r="T66" s="403"/>
      <c r="U66" s="198"/>
      <c r="V66" s="219"/>
      <c r="W66" s="406"/>
      <c r="X66" s="403"/>
      <c r="Y66" s="198"/>
      <c r="Z66" s="219"/>
      <c r="AA66" s="406"/>
      <c r="AB66" s="403"/>
      <c r="AC66" s="198"/>
      <c r="AD66" s="219"/>
      <c r="AE66" s="406"/>
      <c r="AF66" s="403"/>
      <c r="AG66" s="198"/>
      <c r="AH66" s="219"/>
      <c r="AI66" s="406"/>
      <c r="AJ66" s="403"/>
      <c r="AK66" s="397"/>
      <c r="AL66" s="397"/>
      <c r="AM66" s="397"/>
    </row>
    <row r="67">
      <c r="A67" s="314"/>
      <c r="B67" s="315"/>
      <c r="C67" s="316"/>
      <c r="D67" s="397"/>
      <c r="E67" s="314"/>
      <c r="F67" s="315"/>
      <c r="G67" s="316"/>
      <c r="H67" s="397"/>
      <c r="I67" s="314"/>
      <c r="J67" s="315"/>
      <c r="K67" s="316"/>
      <c r="L67" s="397"/>
      <c r="M67" s="314"/>
      <c r="N67" s="315"/>
      <c r="O67" s="316"/>
      <c r="P67" s="397"/>
      <c r="Q67" s="198"/>
      <c r="R67" s="219"/>
      <c r="S67" s="406"/>
      <c r="T67" s="403"/>
      <c r="U67" s="198"/>
      <c r="V67" s="219"/>
      <c r="W67" s="406"/>
      <c r="X67" s="403"/>
      <c r="Y67" s="198"/>
      <c r="Z67" s="219"/>
      <c r="AA67" s="406"/>
      <c r="AB67" s="403"/>
      <c r="AC67" s="198"/>
      <c r="AD67" s="219"/>
      <c r="AE67" s="406"/>
      <c r="AF67" s="403"/>
      <c r="AG67" s="198"/>
      <c r="AH67" s="219"/>
      <c r="AI67" s="406"/>
      <c r="AJ67" s="403"/>
      <c r="AK67" s="397"/>
      <c r="AL67" s="397"/>
      <c r="AM67" s="397"/>
    </row>
    <row r="68">
      <c r="A68" s="314"/>
      <c r="B68" s="315"/>
      <c r="C68" s="316"/>
      <c r="D68" s="397"/>
      <c r="E68" s="314"/>
      <c r="F68" s="315"/>
      <c r="G68" s="316"/>
      <c r="H68" s="397"/>
      <c r="I68" s="314"/>
      <c r="J68" s="315"/>
      <c r="K68" s="316"/>
      <c r="L68" s="397"/>
      <c r="M68" s="314"/>
      <c r="N68" s="315"/>
      <c r="O68" s="316"/>
      <c r="P68" s="397"/>
      <c r="Q68" s="198"/>
      <c r="R68" s="219"/>
      <c r="S68" s="406"/>
      <c r="T68" s="403"/>
      <c r="U68" s="198"/>
      <c r="V68" s="219"/>
      <c r="W68" s="406"/>
      <c r="X68" s="403"/>
      <c r="Y68" s="198"/>
      <c r="Z68" s="219"/>
      <c r="AA68" s="406"/>
      <c r="AB68" s="403"/>
      <c r="AC68" s="198"/>
      <c r="AD68" s="219"/>
      <c r="AE68" s="406"/>
      <c r="AF68" s="403"/>
      <c r="AG68" s="198"/>
      <c r="AH68" s="219"/>
      <c r="AI68" s="406"/>
      <c r="AJ68" s="403"/>
      <c r="AK68" s="397"/>
      <c r="AL68" s="397"/>
      <c r="AM68" s="397"/>
    </row>
    <row r="69">
      <c r="A69" s="314"/>
      <c r="B69" s="315"/>
      <c r="C69" s="316"/>
      <c r="D69" s="397"/>
      <c r="E69" s="314"/>
      <c r="F69" s="315"/>
      <c r="G69" s="316"/>
      <c r="H69" s="397"/>
      <c r="I69" s="314"/>
      <c r="J69" s="315"/>
      <c r="K69" s="316"/>
      <c r="L69" s="397"/>
      <c r="M69" s="314"/>
      <c r="N69" s="315"/>
      <c r="O69" s="316"/>
      <c r="P69" s="397"/>
      <c r="Q69" s="198"/>
      <c r="R69" s="219"/>
      <c r="S69" s="406"/>
      <c r="T69" s="403"/>
      <c r="U69" s="198"/>
      <c r="V69" s="219"/>
      <c r="W69" s="406"/>
      <c r="X69" s="403"/>
      <c r="Y69" s="198"/>
      <c r="Z69" s="219"/>
      <c r="AA69" s="406"/>
      <c r="AB69" s="403"/>
      <c r="AC69" s="198"/>
      <c r="AD69" s="219"/>
      <c r="AE69" s="406"/>
      <c r="AF69" s="403"/>
      <c r="AG69" s="198"/>
      <c r="AH69" s="219"/>
      <c r="AI69" s="406"/>
      <c r="AJ69" s="403"/>
      <c r="AK69" s="397"/>
      <c r="AL69" s="397"/>
      <c r="AM69" s="397"/>
    </row>
    <row r="70">
      <c r="A70" s="314"/>
      <c r="B70" s="315"/>
      <c r="C70" s="316"/>
      <c r="D70" s="397"/>
      <c r="E70" s="314"/>
      <c r="F70" s="315"/>
      <c r="G70" s="316"/>
      <c r="H70" s="397"/>
      <c r="I70" s="314"/>
      <c r="J70" s="315"/>
      <c r="K70" s="316"/>
      <c r="L70" s="397"/>
      <c r="M70" s="314"/>
      <c r="N70" s="315"/>
      <c r="O70" s="316"/>
      <c r="P70" s="397"/>
      <c r="Q70" s="198"/>
      <c r="R70" s="219"/>
      <c r="S70" s="406"/>
      <c r="T70" s="403"/>
      <c r="U70" s="198"/>
      <c r="V70" s="219"/>
      <c r="W70" s="406"/>
      <c r="X70" s="403"/>
      <c r="Y70" s="198"/>
      <c r="Z70" s="219"/>
      <c r="AA70" s="406"/>
      <c r="AB70" s="403"/>
      <c r="AC70" s="198"/>
      <c r="AD70" s="219"/>
      <c r="AE70" s="406"/>
      <c r="AF70" s="403"/>
      <c r="AG70" s="198"/>
      <c r="AH70" s="219"/>
      <c r="AI70" s="406"/>
      <c r="AJ70" s="403"/>
      <c r="AK70" s="397"/>
      <c r="AL70" s="397"/>
      <c r="AM70" s="397"/>
    </row>
    <row r="71">
      <c r="A71" s="314"/>
      <c r="B71" s="315"/>
      <c r="C71" s="316"/>
      <c r="D71" s="397"/>
      <c r="E71" s="314"/>
      <c r="F71" s="315"/>
      <c r="G71" s="316"/>
      <c r="H71" s="397"/>
      <c r="I71" s="314"/>
      <c r="J71" s="315"/>
      <c r="K71" s="316"/>
      <c r="L71" s="397"/>
      <c r="M71" s="314"/>
      <c r="N71" s="315"/>
      <c r="O71" s="316"/>
      <c r="P71" s="397"/>
      <c r="Q71" s="198"/>
      <c r="R71" s="219"/>
      <c r="S71" s="406"/>
      <c r="T71" s="403"/>
      <c r="U71" s="198"/>
      <c r="V71" s="219"/>
      <c r="W71" s="406"/>
      <c r="X71" s="403"/>
      <c r="Y71" s="198"/>
      <c r="Z71" s="219"/>
      <c r="AA71" s="406"/>
      <c r="AB71" s="403"/>
      <c r="AC71" s="198"/>
      <c r="AD71" s="219"/>
      <c r="AE71" s="406"/>
      <c r="AF71" s="403"/>
      <c r="AG71" s="198"/>
      <c r="AH71" s="219"/>
      <c r="AI71" s="406"/>
      <c r="AJ71" s="403"/>
      <c r="AK71" s="397"/>
      <c r="AL71" s="397"/>
      <c r="AM71" s="397"/>
    </row>
    <row r="72">
      <c r="A72" s="314"/>
      <c r="B72" s="315"/>
      <c r="C72" s="316"/>
      <c r="D72" s="397"/>
      <c r="E72" s="314"/>
      <c r="F72" s="315"/>
      <c r="G72" s="316"/>
      <c r="H72" s="397"/>
      <c r="I72" s="314"/>
      <c r="J72" s="315"/>
      <c r="K72" s="316"/>
      <c r="L72" s="397"/>
      <c r="M72" s="314"/>
      <c r="N72" s="315"/>
      <c r="O72" s="316"/>
      <c r="P72" s="397"/>
      <c r="Q72" s="198"/>
      <c r="R72" s="219"/>
      <c r="S72" s="406"/>
      <c r="T72" s="403"/>
      <c r="U72" s="198"/>
      <c r="V72" s="219"/>
      <c r="W72" s="406"/>
      <c r="X72" s="403"/>
      <c r="Y72" s="198"/>
      <c r="Z72" s="219"/>
      <c r="AA72" s="406"/>
      <c r="AB72" s="403"/>
      <c r="AC72" s="198"/>
      <c r="AD72" s="219"/>
      <c r="AE72" s="406"/>
      <c r="AF72" s="403"/>
      <c r="AG72" s="198"/>
      <c r="AH72" s="219"/>
      <c r="AI72" s="406"/>
      <c r="AJ72" s="403"/>
      <c r="AK72" s="397"/>
      <c r="AL72" s="397"/>
      <c r="AM72" s="397"/>
    </row>
    <row r="73">
      <c r="A73" s="314"/>
      <c r="B73" s="315"/>
      <c r="C73" s="316"/>
      <c r="D73" s="397"/>
      <c r="E73" s="314"/>
      <c r="F73" s="315"/>
      <c r="G73" s="316"/>
      <c r="H73" s="397"/>
      <c r="I73" s="314"/>
      <c r="J73" s="315"/>
      <c r="K73" s="316"/>
      <c r="L73" s="397"/>
      <c r="M73" s="314"/>
      <c r="N73" s="315"/>
      <c r="O73" s="316"/>
      <c r="P73" s="397"/>
      <c r="Q73" s="198"/>
      <c r="R73" s="219"/>
      <c r="S73" s="406"/>
      <c r="T73" s="403"/>
      <c r="U73" s="198"/>
      <c r="V73" s="219"/>
      <c r="W73" s="406"/>
      <c r="X73" s="403"/>
      <c r="Y73" s="198"/>
      <c r="Z73" s="219"/>
      <c r="AA73" s="406"/>
      <c r="AB73" s="403"/>
      <c r="AC73" s="198"/>
      <c r="AD73" s="219"/>
      <c r="AE73" s="406"/>
      <c r="AF73" s="403"/>
      <c r="AG73" s="198"/>
      <c r="AH73" s="219"/>
      <c r="AI73" s="406"/>
      <c r="AJ73" s="403"/>
      <c r="AK73" s="397"/>
      <c r="AL73" s="397"/>
      <c r="AM73" s="397"/>
    </row>
    <row r="74">
      <c r="A74" s="314"/>
      <c r="B74" s="315"/>
      <c r="C74" s="316"/>
      <c r="D74" s="397"/>
      <c r="E74" s="314"/>
      <c r="F74" s="315"/>
      <c r="G74" s="316"/>
      <c r="H74" s="397"/>
      <c r="I74" s="314"/>
      <c r="J74" s="315"/>
      <c r="K74" s="316"/>
      <c r="L74" s="397"/>
      <c r="M74" s="314"/>
      <c r="N74" s="315"/>
      <c r="O74" s="316"/>
      <c r="P74" s="397"/>
      <c r="Q74" s="198"/>
      <c r="R74" s="219"/>
      <c r="S74" s="406"/>
      <c r="T74" s="403"/>
      <c r="U74" s="198"/>
      <c r="V74" s="219"/>
      <c r="W74" s="406"/>
      <c r="X74" s="403"/>
      <c r="Y74" s="198"/>
      <c r="Z74" s="219"/>
      <c r="AA74" s="406"/>
      <c r="AB74" s="403"/>
      <c r="AC74" s="198"/>
      <c r="AD74" s="219"/>
      <c r="AE74" s="406"/>
      <c r="AF74" s="403"/>
      <c r="AG74" s="198"/>
      <c r="AH74" s="219"/>
      <c r="AI74" s="406"/>
      <c r="AJ74" s="403"/>
      <c r="AK74" s="397"/>
      <c r="AL74" s="397"/>
      <c r="AM74" s="397"/>
    </row>
    <row r="75">
      <c r="A75" s="314"/>
      <c r="B75" s="315"/>
      <c r="C75" s="316"/>
      <c r="D75" s="397"/>
      <c r="E75" s="314"/>
      <c r="F75" s="315"/>
      <c r="G75" s="316"/>
      <c r="H75" s="397"/>
      <c r="I75" s="314"/>
      <c r="J75" s="315"/>
      <c r="K75" s="316"/>
      <c r="L75" s="397"/>
      <c r="M75" s="314"/>
      <c r="N75" s="315"/>
      <c r="O75" s="316"/>
      <c r="P75" s="397"/>
      <c r="Q75" s="198"/>
      <c r="R75" s="219"/>
      <c r="S75" s="406"/>
      <c r="T75" s="403"/>
      <c r="U75" s="198"/>
      <c r="V75" s="219"/>
      <c r="W75" s="406"/>
      <c r="X75" s="403"/>
      <c r="Y75" s="198"/>
      <c r="Z75" s="219"/>
      <c r="AA75" s="406"/>
      <c r="AB75" s="403"/>
      <c r="AC75" s="198"/>
      <c r="AD75" s="219"/>
      <c r="AE75" s="406"/>
      <c r="AF75" s="403"/>
      <c r="AG75" s="198"/>
      <c r="AH75" s="219"/>
      <c r="AI75" s="406"/>
      <c r="AJ75" s="403"/>
      <c r="AK75" s="397"/>
      <c r="AL75" s="397"/>
      <c r="AM75" s="397"/>
    </row>
    <row r="76">
      <c r="A76" s="314"/>
      <c r="B76" s="315"/>
      <c r="C76" s="316"/>
      <c r="D76" s="397"/>
      <c r="E76" s="314"/>
      <c r="F76" s="315"/>
      <c r="G76" s="316"/>
      <c r="H76" s="397"/>
      <c r="I76" s="314"/>
      <c r="J76" s="315"/>
      <c r="K76" s="316"/>
      <c r="L76" s="397"/>
      <c r="M76" s="314"/>
      <c r="N76" s="315"/>
      <c r="O76" s="316"/>
      <c r="P76" s="397"/>
      <c r="Q76" s="198"/>
      <c r="R76" s="219"/>
      <c r="S76" s="406"/>
      <c r="T76" s="403"/>
      <c r="U76" s="198"/>
      <c r="V76" s="219"/>
      <c r="W76" s="406"/>
      <c r="X76" s="403"/>
      <c r="Y76" s="198"/>
      <c r="Z76" s="219"/>
      <c r="AA76" s="406"/>
      <c r="AB76" s="403"/>
      <c r="AC76" s="198"/>
      <c r="AD76" s="219"/>
      <c r="AE76" s="406"/>
      <c r="AF76" s="403"/>
      <c r="AG76" s="198"/>
      <c r="AH76" s="219"/>
      <c r="AI76" s="406"/>
      <c r="AJ76" s="403"/>
      <c r="AK76" s="397"/>
      <c r="AL76" s="397"/>
      <c r="AM76" s="397"/>
    </row>
    <row r="77">
      <c r="A77" s="314"/>
      <c r="B77" s="315"/>
      <c r="C77" s="316"/>
      <c r="D77" s="397"/>
      <c r="E77" s="314"/>
      <c r="F77" s="315"/>
      <c r="G77" s="316"/>
      <c r="H77" s="397"/>
      <c r="I77" s="314"/>
      <c r="J77" s="315"/>
      <c r="K77" s="316"/>
      <c r="L77" s="397"/>
      <c r="M77" s="314"/>
      <c r="N77" s="315"/>
      <c r="O77" s="316"/>
      <c r="P77" s="397"/>
      <c r="Q77" s="198"/>
      <c r="R77" s="219"/>
      <c r="S77" s="406"/>
      <c r="T77" s="403"/>
      <c r="U77" s="198"/>
      <c r="V77" s="219"/>
      <c r="W77" s="406"/>
      <c r="X77" s="403"/>
      <c r="Y77" s="198"/>
      <c r="Z77" s="219"/>
      <c r="AA77" s="406"/>
      <c r="AB77" s="403"/>
      <c r="AC77" s="198"/>
      <c r="AD77" s="219"/>
      <c r="AE77" s="406"/>
      <c r="AF77" s="403"/>
      <c r="AG77" s="198"/>
      <c r="AH77" s="219"/>
      <c r="AI77" s="406"/>
      <c r="AJ77" s="403"/>
      <c r="AK77" s="397"/>
      <c r="AL77" s="397"/>
      <c r="AM77" s="397"/>
    </row>
    <row r="78">
      <c r="A78" s="314"/>
      <c r="B78" s="315"/>
      <c r="C78" s="316"/>
      <c r="D78" s="397"/>
      <c r="E78" s="314"/>
      <c r="F78" s="315"/>
      <c r="G78" s="316"/>
      <c r="H78" s="397"/>
      <c r="I78" s="314"/>
      <c r="J78" s="315"/>
      <c r="K78" s="316"/>
      <c r="L78" s="397"/>
      <c r="M78" s="314"/>
      <c r="N78" s="315"/>
      <c r="O78" s="316"/>
      <c r="P78" s="397"/>
      <c r="Q78" s="198"/>
      <c r="R78" s="219"/>
      <c r="S78" s="406"/>
      <c r="T78" s="403"/>
      <c r="U78" s="198"/>
      <c r="V78" s="219"/>
      <c r="W78" s="406"/>
      <c r="X78" s="403"/>
      <c r="Y78" s="198"/>
      <c r="Z78" s="219"/>
      <c r="AA78" s="406"/>
      <c r="AB78" s="403"/>
      <c r="AC78" s="198"/>
      <c r="AD78" s="219"/>
      <c r="AE78" s="406"/>
      <c r="AF78" s="403"/>
      <c r="AG78" s="198"/>
      <c r="AH78" s="219"/>
      <c r="AI78" s="406"/>
      <c r="AJ78" s="403"/>
      <c r="AK78" s="397"/>
      <c r="AL78" s="397"/>
      <c r="AM78" s="397"/>
    </row>
    <row r="79">
      <c r="A79" s="314"/>
      <c r="B79" s="315"/>
      <c r="C79" s="316"/>
      <c r="D79" s="397"/>
      <c r="E79" s="314"/>
      <c r="F79" s="315"/>
      <c r="G79" s="316"/>
      <c r="H79" s="397"/>
      <c r="I79" s="314"/>
      <c r="J79" s="315"/>
      <c r="K79" s="316"/>
      <c r="L79" s="397"/>
      <c r="M79" s="314"/>
      <c r="N79" s="315"/>
      <c r="O79" s="316"/>
      <c r="P79" s="397"/>
      <c r="Q79" s="198"/>
      <c r="R79" s="219"/>
      <c r="S79" s="406"/>
      <c r="T79" s="403"/>
      <c r="U79" s="198"/>
      <c r="V79" s="219"/>
      <c r="W79" s="406"/>
      <c r="X79" s="403"/>
      <c r="Y79" s="198"/>
      <c r="Z79" s="219"/>
      <c r="AA79" s="406"/>
      <c r="AB79" s="403"/>
      <c r="AC79" s="198"/>
      <c r="AD79" s="219"/>
      <c r="AE79" s="406"/>
      <c r="AF79" s="403"/>
      <c r="AG79" s="198"/>
      <c r="AH79" s="219"/>
      <c r="AI79" s="406"/>
      <c r="AJ79" s="403"/>
      <c r="AK79" s="397"/>
      <c r="AL79" s="397"/>
      <c r="AM79" s="397"/>
    </row>
    <row r="80">
      <c r="A80" s="314"/>
      <c r="B80" s="315"/>
      <c r="C80" s="316"/>
      <c r="D80" s="397"/>
      <c r="E80" s="314"/>
      <c r="F80" s="315"/>
      <c r="G80" s="316"/>
      <c r="H80" s="397"/>
      <c r="I80" s="314"/>
      <c r="J80" s="315"/>
      <c r="K80" s="316"/>
      <c r="L80" s="397"/>
      <c r="M80" s="314"/>
      <c r="N80" s="315"/>
      <c r="O80" s="316"/>
      <c r="P80" s="397"/>
      <c r="Q80" s="198"/>
      <c r="R80" s="219"/>
      <c r="S80" s="406"/>
      <c r="T80" s="403"/>
      <c r="U80" s="198"/>
      <c r="V80" s="219"/>
      <c r="W80" s="406"/>
      <c r="X80" s="403"/>
      <c r="Y80" s="198"/>
      <c r="Z80" s="219"/>
      <c r="AA80" s="406"/>
      <c r="AB80" s="403"/>
      <c r="AC80" s="198"/>
      <c r="AD80" s="219"/>
      <c r="AE80" s="406"/>
      <c r="AF80" s="403"/>
      <c r="AG80" s="198"/>
      <c r="AH80" s="219"/>
      <c r="AI80" s="406"/>
      <c r="AJ80" s="403"/>
      <c r="AK80" s="397"/>
      <c r="AL80" s="397"/>
      <c r="AM80" s="397"/>
    </row>
    <row r="81">
      <c r="A81" s="314"/>
      <c r="B81" s="315"/>
      <c r="C81" s="316"/>
      <c r="D81" s="397"/>
      <c r="E81" s="314"/>
      <c r="F81" s="315"/>
      <c r="G81" s="316"/>
      <c r="H81" s="397"/>
      <c r="I81" s="314"/>
      <c r="J81" s="315"/>
      <c r="K81" s="316"/>
      <c r="L81" s="397"/>
      <c r="M81" s="314"/>
      <c r="N81" s="315"/>
      <c r="O81" s="316"/>
      <c r="P81" s="397"/>
      <c r="Q81" s="198"/>
      <c r="R81" s="219"/>
      <c r="S81" s="406"/>
      <c r="T81" s="403"/>
      <c r="U81" s="198"/>
      <c r="V81" s="219"/>
      <c r="W81" s="406"/>
      <c r="X81" s="403"/>
      <c r="Y81" s="198"/>
      <c r="Z81" s="219"/>
      <c r="AA81" s="406"/>
      <c r="AB81" s="403"/>
      <c r="AC81" s="198"/>
      <c r="AD81" s="219"/>
      <c r="AE81" s="406"/>
      <c r="AF81" s="403"/>
      <c r="AG81" s="198"/>
      <c r="AH81" s="219"/>
      <c r="AI81" s="406"/>
      <c r="AJ81" s="403"/>
      <c r="AK81" s="397"/>
      <c r="AL81" s="397"/>
      <c r="AM81" s="397"/>
    </row>
    <row r="82">
      <c r="A82" s="314"/>
      <c r="B82" s="315"/>
      <c r="C82" s="316"/>
      <c r="D82" s="397"/>
      <c r="E82" s="314"/>
      <c r="F82" s="315"/>
      <c r="G82" s="316"/>
      <c r="H82" s="397"/>
      <c r="I82" s="314"/>
      <c r="J82" s="315"/>
      <c r="K82" s="316"/>
      <c r="L82" s="397"/>
      <c r="M82" s="314"/>
      <c r="N82" s="315"/>
      <c r="O82" s="316"/>
      <c r="P82" s="397"/>
      <c r="Q82" s="198"/>
      <c r="R82" s="219"/>
      <c r="S82" s="406"/>
      <c r="T82" s="403"/>
      <c r="U82" s="198"/>
      <c r="V82" s="219"/>
      <c r="W82" s="406"/>
      <c r="X82" s="403"/>
      <c r="Y82" s="198"/>
      <c r="Z82" s="219"/>
      <c r="AA82" s="406"/>
      <c r="AB82" s="403"/>
      <c r="AC82" s="198"/>
      <c r="AD82" s="219"/>
      <c r="AE82" s="406"/>
      <c r="AF82" s="403"/>
      <c r="AG82" s="198"/>
      <c r="AH82" s="219"/>
      <c r="AI82" s="406"/>
      <c r="AJ82" s="403"/>
      <c r="AK82" s="397"/>
      <c r="AL82" s="397"/>
      <c r="AM82" s="397"/>
    </row>
    <row r="83">
      <c r="A83" s="314"/>
      <c r="B83" s="315"/>
      <c r="C83" s="316"/>
      <c r="D83" s="397"/>
      <c r="E83" s="314"/>
      <c r="F83" s="315"/>
      <c r="G83" s="316"/>
      <c r="H83" s="397"/>
      <c r="I83" s="314"/>
      <c r="J83" s="315"/>
      <c r="K83" s="316"/>
      <c r="L83" s="397"/>
      <c r="M83" s="314"/>
      <c r="N83" s="315"/>
      <c r="O83" s="316"/>
      <c r="P83" s="397"/>
      <c r="Q83" s="198"/>
      <c r="R83" s="219"/>
      <c r="S83" s="406"/>
      <c r="T83" s="403"/>
      <c r="U83" s="198"/>
      <c r="V83" s="219"/>
      <c r="W83" s="406"/>
      <c r="X83" s="403"/>
      <c r="Y83" s="198"/>
      <c r="Z83" s="219"/>
      <c r="AA83" s="406"/>
      <c r="AB83" s="403"/>
      <c r="AC83" s="198"/>
      <c r="AD83" s="219"/>
      <c r="AE83" s="406"/>
      <c r="AF83" s="403"/>
      <c r="AG83" s="198"/>
      <c r="AH83" s="219"/>
      <c r="AI83" s="406"/>
      <c r="AJ83" s="403"/>
      <c r="AK83" s="397"/>
      <c r="AL83" s="397"/>
      <c r="AM83" s="397"/>
    </row>
    <row r="84">
      <c r="A84" s="314"/>
      <c r="B84" s="315"/>
      <c r="C84" s="316"/>
      <c r="D84" s="397"/>
      <c r="E84" s="314"/>
      <c r="F84" s="315"/>
      <c r="G84" s="316"/>
      <c r="H84" s="397"/>
      <c r="I84" s="314"/>
      <c r="J84" s="315"/>
      <c r="K84" s="316"/>
      <c r="L84" s="397"/>
      <c r="M84" s="314"/>
      <c r="N84" s="315"/>
      <c r="O84" s="316"/>
      <c r="P84" s="397"/>
      <c r="Q84" s="198"/>
      <c r="R84" s="219"/>
      <c r="S84" s="406"/>
      <c r="T84" s="403"/>
      <c r="U84" s="198"/>
      <c r="V84" s="219"/>
      <c r="W84" s="406"/>
      <c r="X84" s="403"/>
      <c r="Y84" s="198"/>
      <c r="Z84" s="219"/>
      <c r="AA84" s="406"/>
      <c r="AB84" s="403"/>
      <c r="AC84" s="198"/>
      <c r="AD84" s="219"/>
      <c r="AE84" s="406"/>
      <c r="AF84" s="403"/>
      <c r="AG84" s="198"/>
      <c r="AH84" s="219"/>
      <c r="AI84" s="406"/>
      <c r="AJ84" s="403"/>
      <c r="AK84" s="397"/>
      <c r="AL84" s="397"/>
      <c r="AM84" s="397"/>
    </row>
    <row r="85">
      <c r="A85" s="314"/>
      <c r="B85" s="315"/>
      <c r="C85" s="316"/>
      <c r="D85" s="397"/>
      <c r="E85" s="314"/>
      <c r="F85" s="315"/>
      <c r="G85" s="316"/>
      <c r="H85" s="397"/>
      <c r="I85" s="314"/>
      <c r="J85" s="315"/>
      <c r="K85" s="316"/>
      <c r="L85" s="397"/>
      <c r="M85" s="314"/>
      <c r="N85" s="315"/>
      <c r="O85" s="316"/>
      <c r="P85" s="397"/>
      <c r="Q85" s="198"/>
      <c r="R85" s="219"/>
      <c r="S85" s="406"/>
      <c r="T85" s="403"/>
      <c r="U85" s="198"/>
      <c r="V85" s="219"/>
      <c r="W85" s="406"/>
      <c r="X85" s="403"/>
      <c r="Y85" s="198"/>
      <c r="Z85" s="219"/>
      <c r="AA85" s="406"/>
      <c r="AB85" s="403"/>
      <c r="AC85" s="198"/>
      <c r="AD85" s="219"/>
      <c r="AE85" s="406"/>
      <c r="AF85" s="403"/>
      <c r="AG85" s="198"/>
      <c r="AH85" s="219"/>
      <c r="AI85" s="406"/>
      <c r="AJ85" s="403"/>
      <c r="AK85" s="397"/>
      <c r="AL85" s="397"/>
      <c r="AM85" s="397"/>
    </row>
    <row r="86">
      <c r="A86" s="314"/>
      <c r="B86" s="315"/>
      <c r="C86" s="316"/>
      <c r="D86" s="397"/>
      <c r="E86" s="314"/>
      <c r="F86" s="315"/>
      <c r="G86" s="316"/>
      <c r="H86" s="397"/>
      <c r="I86" s="314"/>
      <c r="J86" s="315"/>
      <c r="K86" s="316"/>
      <c r="L86" s="397"/>
      <c r="M86" s="314"/>
      <c r="N86" s="315"/>
      <c r="O86" s="316"/>
      <c r="P86" s="397"/>
      <c r="Q86" s="198"/>
      <c r="R86" s="219"/>
      <c r="S86" s="406"/>
      <c r="T86" s="403"/>
      <c r="U86" s="198"/>
      <c r="V86" s="219"/>
      <c r="W86" s="406"/>
      <c r="X86" s="403"/>
      <c r="Y86" s="198"/>
      <c r="Z86" s="219"/>
      <c r="AA86" s="406"/>
      <c r="AB86" s="403"/>
      <c r="AC86" s="198"/>
      <c r="AD86" s="219"/>
      <c r="AE86" s="406"/>
      <c r="AF86" s="403"/>
      <c r="AG86" s="198"/>
      <c r="AH86" s="219"/>
      <c r="AI86" s="406"/>
      <c r="AJ86" s="403"/>
      <c r="AK86" s="397"/>
      <c r="AL86" s="397"/>
      <c r="AM86" s="397"/>
    </row>
    <row r="87">
      <c r="A87" s="314"/>
      <c r="B87" s="315"/>
      <c r="C87" s="316"/>
      <c r="D87" s="397"/>
      <c r="E87" s="314"/>
      <c r="F87" s="315"/>
      <c r="G87" s="316"/>
      <c r="H87" s="397"/>
      <c r="I87" s="314"/>
      <c r="J87" s="315"/>
      <c r="K87" s="316"/>
      <c r="L87" s="397"/>
      <c r="M87" s="314"/>
      <c r="N87" s="315"/>
      <c r="O87" s="316"/>
      <c r="P87" s="397"/>
      <c r="Q87" s="198"/>
      <c r="R87" s="219"/>
      <c r="S87" s="406"/>
      <c r="T87" s="403"/>
      <c r="U87" s="198"/>
      <c r="V87" s="219"/>
      <c r="W87" s="406"/>
      <c r="X87" s="403"/>
      <c r="Y87" s="198"/>
      <c r="Z87" s="219"/>
      <c r="AA87" s="406"/>
      <c r="AB87" s="403"/>
      <c r="AC87" s="198"/>
      <c r="AD87" s="219"/>
      <c r="AE87" s="406"/>
      <c r="AF87" s="403"/>
      <c r="AG87" s="198"/>
      <c r="AH87" s="219"/>
      <c r="AI87" s="406"/>
      <c r="AJ87" s="403"/>
      <c r="AK87" s="397"/>
      <c r="AL87" s="397"/>
      <c r="AM87" s="397"/>
    </row>
    <row r="88">
      <c r="A88" s="314"/>
      <c r="B88" s="315"/>
      <c r="C88" s="316"/>
      <c r="D88" s="397"/>
      <c r="E88" s="314"/>
      <c r="F88" s="315"/>
      <c r="G88" s="316"/>
      <c r="H88" s="397"/>
      <c r="I88" s="314"/>
      <c r="J88" s="315"/>
      <c r="K88" s="316"/>
      <c r="L88" s="397"/>
      <c r="M88" s="314"/>
      <c r="N88" s="315"/>
      <c r="O88" s="316"/>
      <c r="P88" s="397"/>
      <c r="Q88" s="198"/>
      <c r="R88" s="219"/>
      <c r="S88" s="406"/>
      <c r="T88" s="403"/>
      <c r="U88" s="198"/>
      <c r="V88" s="219"/>
      <c r="W88" s="406"/>
      <c r="X88" s="403"/>
      <c r="Y88" s="198"/>
      <c r="Z88" s="219"/>
      <c r="AA88" s="406"/>
      <c r="AB88" s="403"/>
      <c r="AC88" s="198"/>
      <c r="AD88" s="219"/>
      <c r="AE88" s="406"/>
      <c r="AF88" s="403"/>
      <c r="AG88" s="198"/>
      <c r="AH88" s="219"/>
      <c r="AI88" s="406"/>
      <c r="AJ88" s="403"/>
      <c r="AK88" s="397"/>
      <c r="AL88" s="397"/>
      <c r="AM88" s="397"/>
    </row>
    <row r="89">
      <c r="A89" s="314"/>
      <c r="B89" s="315"/>
      <c r="C89" s="316"/>
      <c r="D89" s="397"/>
      <c r="E89" s="314"/>
      <c r="F89" s="315"/>
      <c r="G89" s="316"/>
      <c r="H89" s="397"/>
      <c r="I89" s="314"/>
      <c r="J89" s="315"/>
      <c r="K89" s="316"/>
      <c r="L89" s="397"/>
      <c r="M89" s="314"/>
      <c r="N89" s="315"/>
      <c r="O89" s="316"/>
      <c r="P89" s="397"/>
      <c r="Q89" s="198"/>
      <c r="R89" s="219"/>
      <c r="S89" s="406"/>
      <c r="T89" s="403"/>
      <c r="U89" s="198"/>
      <c r="V89" s="219"/>
      <c r="W89" s="406"/>
      <c r="X89" s="403"/>
      <c r="Y89" s="198"/>
      <c r="Z89" s="219"/>
      <c r="AA89" s="406"/>
      <c r="AB89" s="403"/>
      <c r="AC89" s="198"/>
      <c r="AD89" s="219"/>
      <c r="AE89" s="406"/>
      <c r="AF89" s="403"/>
      <c r="AG89" s="198"/>
      <c r="AH89" s="219"/>
      <c r="AI89" s="406"/>
      <c r="AJ89" s="403"/>
      <c r="AK89" s="397"/>
      <c r="AL89" s="397"/>
      <c r="AM89" s="397"/>
    </row>
    <row r="90">
      <c r="A90" s="314"/>
      <c r="B90" s="315"/>
      <c r="C90" s="316"/>
      <c r="D90" s="397"/>
      <c r="E90" s="314"/>
      <c r="F90" s="315"/>
      <c r="G90" s="316"/>
      <c r="H90" s="397"/>
      <c r="I90" s="314"/>
      <c r="J90" s="315"/>
      <c r="K90" s="316"/>
      <c r="L90" s="397"/>
      <c r="M90" s="314"/>
      <c r="N90" s="315"/>
      <c r="O90" s="316"/>
      <c r="P90" s="397"/>
      <c r="Q90" s="198"/>
      <c r="R90" s="219"/>
      <c r="S90" s="406"/>
      <c r="T90" s="403"/>
      <c r="U90" s="198"/>
      <c r="V90" s="219"/>
      <c r="W90" s="406"/>
      <c r="X90" s="403"/>
      <c r="Y90" s="198"/>
      <c r="Z90" s="219"/>
      <c r="AA90" s="406"/>
      <c r="AB90" s="403"/>
      <c r="AC90" s="198"/>
      <c r="AD90" s="219"/>
      <c r="AE90" s="406"/>
      <c r="AF90" s="403"/>
      <c r="AG90" s="198"/>
      <c r="AH90" s="219"/>
      <c r="AI90" s="406"/>
      <c r="AJ90" s="403"/>
      <c r="AK90" s="397"/>
      <c r="AL90" s="397"/>
      <c r="AM90" s="397"/>
    </row>
    <row r="91">
      <c r="A91" s="314"/>
      <c r="B91" s="315"/>
      <c r="C91" s="316"/>
      <c r="D91" s="397"/>
      <c r="E91" s="314"/>
      <c r="F91" s="315"/>
      <c r="G91" s="316"/>
      <c r="H91" s="397"/>
      <c r="I91" s="314"/>
      <c r="J91" s="315"/>
      <c r="K91" s="316"/>
      <c r="L91" s="397"/>
      <c r="M91" s="314"/>
      <c r="N91" s="315"/>
      <c r="O91" s="316"/>
      <c r="P91" s="397"/>
      <c r="Q91" s="198"/>
      <c r="R91" s="219"/>
      <c r="S91" s="406"/>
      <c r="T91" s="403"/>
      <c r="U91" s="198"/>
      <c r="V91" s="219"/>
      <c r="W91" s="406"/>
      <c r="X91" s="403"/>
      <c r="Y91" s="198"/>
      <c r="Z91" s="219"/>
      <c r="AA91" s="406"/>
      <c r="AB91" s="403"/>
      <c r="AC91" s="198"/>
      <c r="AD91" s="219"/>
      <c r="AE91" s="406"/>
      <c r="AF91" s="403"/>
      <c r="AG91" s="198"/>
      <c r="AH91" s="219"/>
      <c r="AI91" s="406"/>
      <c r="AJ91" s="403"/>
      <c r="AK91" s="397"/>
      <c r="AL91" s="397"/>
      <c r="AM91" s="397"/>
    </row>
    <row r="92">
      <c r="A92" s="314"/>
      <c r="B92" s="315"/>
      <c r="C92" s="316"/>
      <c r="D92" s="397"/>
      <c r="E92" s="314"/>
      <c r="F92" s="315"/>
      <c r="G92" s="316"/>
      <c r="H92" s="397"/>
      <c r="I92" s="314"/>
      <c r="J92" s="315"/>
      <c r="K92" s="316"/>
      <c r="L92" s="397"/>
      <c r="M92" s="314"/>
      <c r="N92" s="315"/>
      <c r="O92" s="316"/>
      <c r="P92" s="397"/>
      <c r="Q92" s="198"/>
      <c r="R92" s="219"/>
      <c r="S92" s="406"/>
      <c r="T92" s="403"/>
      <c r="U92" s="198"/>
      <c r="V92" s="219"/>
      <c r="W92" s="406"/>
      <c r="X92" s="403"/>
      <c r="Y92" s="198"/>
      <c r="Z92" s="219"/>
      <c r="AA92" s="406"/>
      <c r="AB92" s="403"/>
      <c r="AC92" s="198"/>
      <c r="AD92" s="219"/>
      <c r="AE92" s="406"/>
      <c r="AF92" s="403"/>
      <c r="AG92" s="198"/>
      <c r="AH92" s="219"/>
      <c r="AI92" s="406"/>
      <c r="AJ92" s="403"/>
      <c r="AK92" s="397"/>
      <c r="AL92" s="397"/>
      <c r="AM92" s="397"/>
    </row>
    <row r="93">
      <c r="A93" s="314"/>
      <c r="B93" s="315"/>
      <c r="C93" s="316"/>
      <c r="D93" s="397"/>
      <c r="E93" s="314"/>
      <c r="F93" s="315"/>
      <c r="G93" s="316"/>
      <c r="H93" s="397"/>
      <c r="I93" s="314"/>
      <c r="J93" s="315"/>
      <c r="K93" s="316"/>
      <c r="L93" s="397"/>
      <c r="M93" s="314"/>
      <c r="N93" s="315"/>
      <c r="O93" s="316"/>
      <c r="P93" s="397"/>
      <c r="Q93" s="198"/>
      <c r="R93" s="219"/>
      <c r="S93" s="406"/>
      <c r="T93" s="403"/>
      <c r="U93" s="198"/>
      <c r="V93" s="219"/>
      <c r="W93" s="406"/>
      <c r="X93" s="403"/>
      <c r="Y93" s="198"/>
      <c r="Z93" s="219"/>
      <c r="AA93" s="406"/>
      <c r="AB93" s="403"/>
      <c r="AC93" s="198"/>
      <c r="AD93" s="219"/>
      <c r="AE93" s="406"/>
      <c r="AF93" s="403"/>
      <c r="AG93" s="198"/>
      <c r="AH93" s="219"/>
      <c r="AI93" s="406"/>
      <c r="AJ93" s="403"/>
      <c r="AK93" s="397"/>
      <c r="AL93" s="397"/>
      <c r="AM93" s="397"/>
    </row>
    <row r="94">
      <c r="A94" s="314"/>
      <c r="B94" s="315"/>
      <c r="C94" s="316"/>
      <c r="D94" s="397"/>
      <c r="E94" s="314"/>
      <c r="F94" s="315"/>
      <c r="G94" s="316"/>
      <c r="H94" s="397"/>
      <c r="I94" s="314"/>
      <c r="J94" s="315"/>
      <c r="K94" s="316"/>
      <c r="L94" s="397"/>
      <c r="M94" s="314"/>
      <c r="N94" s="315"/>
      <c r="O94" s="316"/>
      <c r="P94" s="397"/>
      <c r="Q94" s="198"/>
      <c r="R94" s="219"/>
      <c r="S94" s="406"/>
      <c r="T94" s="403"/>
      <c r="U94" s="198"/>
      <c r="V94" s="219"/>
      <c r="W94" s="406"/>
      <c r="X94" s="403"/>
      <c r="Y94" s="198"/>
      <c r="Z94" s="219"/>
      <c r="AA94" s="406"/>
      <c r="AB94" s="403"/>
      <c r="AC94" s="198"/>
      <c r="AD94" s="219"/>
      <c r="AE94" s="406"/>
      <c r="AF94" s="403"/>
      <c r="AG94" s="198"/>
      <c r="AH94" s="219"/>
      <c r="AI94" s="406"/>
      <c r="AJ94" s="403"/>
      <c r="AK94" s="397"/>
      <c r="AL94" s="397"/>
      <c r="AM94" s="397"/>
    </row>
    <row r="95">
      <c r="A95" s="314"/>
      <c r="B95" s="315"/>
      <c r="C95" s="316"/>
      <c r="D95" s="397"/>
      <c r="E95" s="314"/>
      <c r="F95" s="315"/>
      <c r="G95" s="316"/>
      <c r="H95" s="397"/>
      <c r="I95" s="314"/>
      <c r="J95" s="315"/>
      <c r="K95" s="316"/>
      <c r="L95" s="397"/>
      <c r="M95" s="314"/>
      <c r="N95" s="315"/>
      <c r="O95" s="316"/>
      <c r="P95" s="397"/>
      <c r="Q95" s="198"/>
      <c r="R95" s="219"/>
      <c r="S95" s="406"/>
      <c r="T95" s="403"/>
      <c r="U95" s="198"/>
      <c r="V95" s="219"/>
      <c r="W95" s="406"/>
      <c r="X95" s="403"/>
      <c r="Y95" s="198"/>
      <c r="Z95" s="219"/>
      <c r="AA95" s="406"/>
      <c r="AB95" s="403"/>
      <c r="AC95" s="198"/>
      <c r="AD95" s="219"/>
      <c r="AE95" s="406"/>
      <c r="AF95" s="403"/>
      <c r="AG95" s="198"/>
      <c r="AH95" s="219"/>
      <c r="AI95" s="406"/>
      <c r="AJ95" s="403"/>
      <c r="AK95" s="397"/>
      <c r="AL95" s="397"/>
      <c r="AM95" s="397"/>
    </row>
    <row r="96">
      <c r="A96" s="314"/>
      <c r="B96" s="315"/>
      <c r="C96" s="316"/>
      <c r="D96" s="397"/>
      <c r="E96" s="314"/>
      <c r="F96" s="315"/>
      <c r="G96" s="316"/>
      <c r="H96" s="397"/>
      <c r="I96" s="314"/>
      <c r="J96" s="315"/>
      <c r="K96" s="316"/>
      <c r="L96" s="397"/>
      <c r="M96" s="314"/>
      <c r="N96" s="315"/>
      <c r="O96" s="316"/>
      <c r="P96" s="397"/>
      <c r="Q96" s="198"/>
      <c r="R96" s="219"/>
      <c r="S96" s="406"/>
      <c r="T96" s="403"/>
      <c r="U96" s="198"/>
      <c r="V96" s="219"/>
      <c r="W96" s="406"/>
      <c r="X96" s="403"/>
      <c r="Y96" s="198"/>
      <c r="Z96" s="219"/>
      <c r="AA96" s="406"/>
      <c r="AB96" s="403"/>
      <c r="AC96" s="198"/>
      <c r="AD96" s="219"/>
      <c r="AE96" s="406"/>
      <c r="AF96" s="403"/>
      <c r="AG96" s="198"/>
      <c r="AH96" s="219"/>
      <c r="AI96" s="406"/>
      <c r="AJ96" s="403"/>
      <c r="AK96" s="397"/>
      <c r="AL96" s="397"/>
      <c r="AM96" s="397"/>
    </row>
    <row r="97">
      <c r="A97" s="314"/>
      <c r="B97" s="315"/>
      <c r="C97" s="316"/>
      <c r="D97" s="397"/>
      <c r="E97" s="314"/>
      <c r="F97" s="315"/>
      <c r="G97" s="316"/>
      <c r="H97" s="397"/>
      <c r="I97" s="314"/>
      <c r="J97" s="315"/>
      <c r="K97" s="316"/>
      <c r="L97" s="397"/>
      <c r="M97" s="314"/>
      <c r="N97" s="315"/>
      <c r="O97" s="316"/>
      <c r="P97" s="397"/>
      <c r="Q97" s="198"/>
      <c r="R97" s="219"/>
      <c r="S97" s="406"/>
      <c r="T97" s="403"/>
      <c r="U97" s="198"/>
      <c r="V97" s="219"/>
      <c r="W97" s="406"/>
      <c r="X97" s="403"/>
      <c r="Y97" s="198"/>
      <c r="Z97" s="219"/>
      <c r="AA97" s="406"/>
      <c r="AB97" s="403"/>
      <c r="AC97" s="198"/>
      <c r="AD97" s="219"/>
      <c r="AE97" s="406"/>
      <c r="AF97" s="403"/>
      <c r="AG97" s="198"/>
      <c r="AH97" s="219"/>
      <c r="AI97" s="406"/>
      <c r="AJ97" s="403"/>
      <c r="AK97" s="397"/>
      <c r="AL97" s="397"/>
      <c r="AM97" s="397"/>
    </row>
    <row r="98">
      <c r="A98" s="314"/>
      <c r="B98" s="315"/>
      <c r="C98" s="316"/>
      <c r="D98" s="397"/>
      <c r="E98" s="314"/>
      <c r="F98" s="315"/>
      <c r="G98" s="316"/>
      <c r="H98" s="397"/>
      <c r="I98" s="314"/>
      <c r="J98" s="315"/>
      <c r="K98" s="316"/>
      <c r="L98" s="397"/>
      <c r="M98" s="314"/>
      <c r="N98" s="315"/>
      <c r="O98" s="316"/>
      <c r="P98" s="397"/>
      <c r="Q98" s="198"/>
      <c r="R98" s="219"/>
      <c r="S98" s="406"/>
      <c r="T98" s="403"/>
      <c r="U98" s="198"/>
      <c r="V98" s="219"/>
      <c r="W98" s="406"/>
      <c r="X98" s="403"/>
      <c r="Y98" s="198"/>
      <c r="Z98" s="219"/>
      <c r="AA98" s="406"/>
      <c r="AB98" s="403"/>
      <c r="AC98" s="198"/>
      <c r="AD98" s="219"/>
      <c r="AE98" s="406"/>
      <c r="AF98" s="403"/>
      <c r="AG98" s="198"/>
      <c r="AH98" s="219"/>
      <c r="AI98" s="406"/>
      <c r="AJ98" s="403"/>
      <c r="AK98" s="397"/>
      <c r="AL98" s="397"/>
      <c r="AM98" s="397"/>
    </row>
    <row r="99">
      <c r="A99" s="314"/>
      <c r="B99" s="315"/>
      <c r="C99" s="316"/>
      <c r="D99" s="397"/>
      <c r="E99" s="314"/>
      <c r="F99" s="315"/>
      <c r="G99" s="316"/>
      <c r="H99" s="397"/>
      <c r="I99" s="314"/>
      <c r="J99" s="315"/>
      <c r="K99" s="316"/>
      <c r="L99" s="397"/>
      <c r="M99" s="314"/>
      <c r="N99" s="315"/>
      <c r="O99" s="316"/>
      <c r="P99" s="397"/>
      <c r="Q99" s="198"/>
      <c r="R99" s="219"/>
      <c r="S99" s="406"/>
      <c r="T99" s="403"/>
      <c r="U99" s="198"/>
      <c r="V99" s="219"/>
      <c r="W99" s="406"/>
      <c r="X99" s="403"/>
      <c r="Y99" s="198"/>
      <c r="Z99" s="219"/>
      <c r="AA99" s="406"/>
      <c r="AB99" s="403"/>
      <c r="AC99" s="198"/>
      <c r="AD99" s="219"/>
      <c r="AE99" s="406"/>
      <c r="AF99" s="403"/>
      <c r="AG99" s="198"/>
      <c r="AH99" s="219"/>
      <c r="AI99" s="406"/>
      <c r="AJ99" s="403"/>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6"/>
      <c r="T100" s="403"/>
      <c r="U100" s="198"/>
      <c r="V100" s="219"/>
      <c r="W100" s="406"/>
      <c r="X100" s="403"/>
      <c r="Y100" s="198"/>
      <c r="Z100" s="219"/>
      <c r="AA100" s="406"/>
      <c r="AB100" s="403"/>
      <c r="AC100" s="198"/>
      <c r="AD100" s="219"/>
      <c r="AE100" s="406"/>
      <c r="AF100" s="403"/>
      <c r="AG100" s="198"/>
      <c r="AH100" s="219"/>
      <c r="AI100" s="406"/>
      <c r="AJ100" s="403"/>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6"/>
      <c r="T101" s="403"/>
      <c r="U101" s="198"/>
      <c r="V101" s="219"/>
      <c r="W101" s="406"/>
      <c r="X101" s="403"/>
      <c r="Y101" s="198"/>
      <c r="Z101" s="219"/>
      <c r="AA101" s="406"/>
      <c r="AB101" s="403"/>
      <c r="AC101" s="198"/>
      <c r="AD101" s="219"/>
      <c r="AE101" s="406"/>
      <c r="AF101" s="403"/>
      <c r="AG101" s="198"/>
      <c r="AH101" s="219"/>
      <c r="AI101" s="406"/>
      <c r="AJ101" s="403"/>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6"/>
      <c r="T102" s="403"/>
      <c r="U102" s="198"/>
      <c r="V102" s="219"/>
      <c r="W102" s="406"/>
      <c r="X102" s="403"/>
      <c r="Y102" s="198"/>
      <c r="Z102" s="219"/>
      <c r="AA102" s="406"/>
      <c r="AB102" s="403"/>
      <c r="AC102" s="198"/>
      <c r="AD102" s="219"/>
      <c r="AE102" s="406"/>
      <c r="AF102" s="403"/>
      <c r="AG102" s="198"/>
      <c r="AH102" s="219"/>
      <c r="AI102" s="406"/>
      <c r="AJ102" s="403"/>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6"/>
      <c r="T103" s="403"/>
      <c r="U103" s="198"/>
      <c r="V103" s="219"/>
      <c r="W103" s="406"/>
      <c r="X103" s="403"/>
      <c r="Y103" s="198"/>
      <c r="Z103" s="219"/>
      <c r="AA103" s="406"/>
      <c r="AB103" s="403"/>
      <c r="AC103" s="198"/>
      <c r="AD103" s="219"/>
      <c r="AE103" s="406"/>
      <c r="AF103" s="403"/>
      <c r="AG103" s="198"/>
      <c r="AH103" s="219"/>
      <c r="AI103" s="406"/>
      <c r="AJ103" s="403"/>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6"/>
      <c r="T104" s="403"/>
      <c r="U104" s="198"/>
      <c r="V104" s="219"/>
      <c r="W104" s="406"/>
      <c r="X104" s="403"/>
      <c r="Y104" s="198"/>
      <c r="Z104" s="219"/>
      <c r="AA104" s="406"/>
      <c r="AB104" s="403"/>
      <c r="AC104" s="198"/>
      <c r="AD104" s="219"/>
      <c r="AE104" s="406"/>
      <c r="AF104" s="403"/>
      <c r="AG104" s="198"/>
      <c r="AH104" s="219"/>
      <c r="AI104" s="406"/>
      <c r="AJ104" s="403"/>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6"/>
      <c r="T105" s="403"/>
      <c r="U105" s="198"/>
      <c r="V105" s="219"/>
      <c r="W105" s="406"/>
      <c r="X105" s="403"/>
      <c r="Y105" s="198"/>
      <c r="Z105" s="219"/>
      <c r="AA105" s="406"/>
      <c r="AB105" s="403"/>
      <c r="AC105" s="198"/>
      <c r="AD105" s="219"/>
      <c r="AE105" s="406"/>
      <c r="AF105" s="403"/>
      <c r="AG105" s="198"/>
      <c r="AH105" s="219"/>
      <c r="AI105" s="406"/>
      <c r="AJ105" s="403"/>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6"/>
      <c r="T106" s="403"/>
      <c r="U106" s="198"/>
      <c r="V106" s="219"/>
      <c r="W106" s="406"/>
      <c r="X106" s="403"/>
      <c r="Y106" s="198"/>
      <c r="Z106" s="219"/>
      <c r="AA106" s="406"/>
      <c r="AB106" s="403"/>
      <c r="AC106" s="198"/>
      <c r="AD106" s="219"/>
      <c r="AE106" s="406"/>
      <c r="AF106" s="403"/>
      <c r="AG106" s="198"/>
      <c r="AH106" s="219"/>
      <c r="AI106" s="406"/>
      <c r="AJ106" s="403"/>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6"/>
      <c r="T107" s="403"/>
      <c r="U107" s="198"/>
      <c r="V107" s="219"/>
      <c r="W107" s="406"/>
      <c r="X107" s="403"/>
      <c r="Y107" s="198"/>
      <c r="Z107" s="219"/>
      <c r="AA107" s="406"/>
      <c r="AB107" s="403"/>
      <c r="AC107" s="198"/>
      <c r="AD107" s="219"/>
      <c r="AE107" s="406"/>
      <c r="AF107" s="403"/>
      <c r="AG107" s="198"/>
      <c r="AH107" s="219"/>
      <c r="AI107" s="406"/>
      <c r="AJ107" s="403"/>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6"/>
      <c r="T108" s="403"/>
      <c r="U108" s="198"/>
      <c r="V108" s="219"/>
      <c r="W108" s="406"/>
      <c r="X108" s="403"/>
      <c r="Y108" s="198"/>
      <c r="Z108" s="219"/>
      <c r="AA108" s="406"/>
      <c r="AB108" s="403"/>
      <c r="AC108" s="198"/>
      <c r="AD108" s="219"/>
      <c r="AE108" s="406"/>
      <c r="AF108" s="403"/>
      <c r="AG108" s="198"/>
      <c r="AH108" s="219"/>
      <c r="AI108" s="406"/>
      <c r="AJ108" s="403"/>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6"/>
      <c r="T109" s="403"/>
      <c r="U109" s="198"/>
      <c r="V109" s="219"/>
      <c r="W109" s="406"/>
      <c r="X109" s="403"/>
      <c r="Y109" s="198"/>
      <c r="Z109" s="219"/>
      <c r="AA109" s="406"/>
      <c r="AB109" s="403"/>
      <c r="AC109" s="198"/>
      <c r="AD109" s="219"/>
      <c r="AE109" s="406"/>
      <c r="AF109" s="403"/>
      <c r="AG109" s="198"/>
      <c r="AH109" s="219"/>
      <c r="AI109" s="406"/>
      <c r="AJ109" s="403"/>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6"/>
      <c r="T110" s="403"/>
      <c r="U110" s="198"/>
      <c r="V110" s="219"/>
      <c r="W110" s="406"/>
      <c r="X110" s="403"/>
      <c r="Y110" s="198"/>
      <c r="Z110" s="219"/>
      <c r="AA110" s="406"/>
      <c r="AB110" s="403"/>
      <c r="AC110" s="198"/>
      <c r="AD110" s="219"/>
      <c r="AE110" s="406"/>
      <c r="AF110" s="403"/>
      <c r="AG110" s="198"/>
      <c r="AH110" s="219"/>
      <c r="AI110" s="406"/>
      <c r="AJ110" s="403"/>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6"/>
      <c r="T111" s="403"/>
      <c r="U111" s="198"/>
      <c r="V111" s="219"/>
      <c r="W111" s="406"/>
      <c r="X111" s="403"/>
      <c r="Y111" s="198"/>
      <c r="Z111" s="219"/>
      <c r="AA111" s="406"/>
      <c r="AB111" s="403"/>
      <c r="AC111" s="198"/>
      <c r="AD111" s="219"/>
      <c r="AE111" s="406"/>
      <c r="AF111" s="403"/>
      <c r="AG111" s="198"/>
      <c r="AH111" s="219"/>
      <c r="AI111" s="406"/>
      <c r="AJ111" s="403"/>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6"/>
      <c r="T112" s="403"/>
      <c r="U112" s="198"/>
      <c r="V112" s="219"/>
      <c r="W112" s="406"/>
      <c r="X112" s="403"/>
      <c r="Y112" s="198"/>
      <c r="Z112" s="219"/>
      <c r="AA112" s="406"/>
      <c r="AB112" s="403"/>
      <c r="AC112" s="198"/>
      <c r="AD112" s="219"/>
      <c r="AE112" s="406"/>
      <c r="AF112" s="403"/>
      <c r="AG112" s="198"/>
      <c r="AH112" s="219"/>
      <c r="AI112" s="406"/>
      <c r="AJ112" s="403"/>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6"/>
      <c r="T113" s="403"/>
      <c r="U113" s="198"/>
      <c r="V113" s="219"/>
      <c r="W113" s="406"/>
      <c r="X113" s="403"/>
      <c r="Y113" s="198"/>
      <c r="Z113" s="219"/>
      <c r="AA113" s="406"/>
      <c r="AB113" s="403"/>
      <c r="AC113" s="198"/>
      <c r="AD113" s="219"/>
      <c r="AE113" s="406"/>
      <c r="AF113" s="403"/>
      <c r="AG113" s="198"/>
      <c r="AH113" s="219"/>
      <c r="AI113" s="406"/>
      <c r="AJ113" s="403"/>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6"/>
      <c r="T114" s="403"/>
      <c r="U114" s="198"/>
      <c r="V114" s="219"/>
      <c r="W114" s="406"/>
      <c r="X114" s="403"/>
      <c r="Y114" s="198"/>
      <c r="Z114" s="219"/>
      <c r="AA114" s="406"/>
      <c r="AB114" s="403"/>
      <c r="AC114" s="198"/>
      <c r="AD114" s="219"/>
      <c r="AE114" s="406"/>
      <c r="AF114" s="403"/>
      <c r="AG114" s="198"/>
      <c r="AH114" s="219"/>
      <c r="AI114" s="406"/>
      <c r="AJ114" s="403"/>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6"/>
      <c r="T115" s="403"/>
      <c r="U115" s="198"/>
      <c r="V115" s="219"/>
      <c r="W115" s="406"/>
      <c r="X115" s="403"/>
      <c r="Y115" s="198"/>
      <c r="Z115" s="219"/>
      <c r="AA115" s="406"/>
      <c r="AB115" s="403"/>
      <c r="AC115" s="198"/>
      <c r="AD115" s="219"/>
      <c r="AE115" s="406"/>
      <c r="AF115" s="403"/>
      <c r="AG115" s="198"/>
      <c r="AH115" s="219"/>
      <c r="AI115" s="406"/>
      <c r="AJ115" s="403"/>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6"/>
      <c r="T116" s="403"/>
      <c r="U116" s="198"/>
      <c r="V116" s="219"/>
      <c r="W116" s="406"/>
      <c r="X116" s="403"/>
      <c r="Y116" s="198"/>
      <c r="Z116" s="219"/>
      <c r="AA116" s="406"/>
      <c r="AB116" s="403"/>
      <c r="AC116" s="198"/>
      <c r="AD116" s="219"/>
      <c r="AE116" s="406"/>
      <c r="AF116" s="403"/>
      <c r="AG116" s="198"/>
      <c r="AH116" s="219"/>
      <c r="AI116" s="406"/>
      <c r="AJ116" s="403"/>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6"/>
      <c r="T117" s="403"/>
      <c r="U117" s="198"/>
      <c r="V117" s="219"/>
      <c r="W117" s="406"/>
      <c r="X117" s="403"/>
      <c r="Y117" s="198"/>
      <c r="Z117" s="219"/>
      <c r="AA117" s="406"/>
      <c r="AB117" s="403"/>
      <c r="AC117" s="198"/>
      <c r="AD117" s="219"/>
      <c r="AE117" s="406"/>
      <c r="AF117" s="403"/>
      <c r="AG117" s="198"/>
      <c r="AH117" s="219"/>
      <c r="AI117" s="406"/>
      <c r="AJ117" s="403"/>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6"/>
      <c r="T118" s="403"/>
      <c r="U118" s="198"/>
      <c r="V118" s="219"/>
      <c r="W118" s="406"/>
      <c r="X118" s="403"/>
      <c r="Y118" s="198"/>
      <c r="Z118" s="219"/>
      <c r="AA118" s="406"/>
      <c r="AB118" s="403"/>
      <c r="AC118" s="198"/>
      <c r="AD118" s="219"/>
      <c r="AE118" s="406"/>
      <c r="AF118" s="403"/>
      <c r="AG118" s="198"/>
      <c r="AH118" s="219"/>
      <c r="AI118" s="406"/>
      <c r="AJ118" s="403"/>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6"/>
      <c r="T119" s="403"/>
      <c r="U119" s="198"/>
      <c r="V119" s="219"/>
      <c r="W119" s="406"/>
      <c r="X119" s="403"/>
      <c r="Y119" s="198"/>
      <c r="Z119" s="219"/>
      <c r="AA119" s="406"/>
      <c r="AB119" s="403"/>
      <c r="AC119" s="198"/>
      <c r="AD119" s="219"/>
      <c r="AE119" s="406"/>
      <c r="AF119" s="403"/>
      <c r="AG119" s="198"/>
      <c r="AH119" s="219"/>
      <c r="AI119" s="406"/>
      <c r="AJ119" s="403"/>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6"/>
      <c r="T120" s="403"/>
      <c r="U120" s="198"/>
      <c r="V120" s="219"/>
      <c r="W120" s="406"/>
      <c r="X120" s="403"/>
      <c r="Y120" s="198"/>
      <c r="Z120" s="219"/>
      <c r="AA120" s="406"/>
      <c r="AB120" s="403"/>
      <c r="AC120" s="198"/>
      <c r="AD120" s="219"/>
      <c r="AE120" s="406"/>
      <c r="AF120" s="403"/>
      <c r="AG120" s="198"/>
      <c r="AH120" s="219"/>
      <c r="AI120" s="406"/>
      <c r="AJ120" s="403"/>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6"/>
      <c r="T121" s="403"/>
      <c r="U121" s="198"/>
      <c r="V121" s="219"/>
      <c r="W121" s="406"/>
      <c r="X121" s="403"/>
      <c r="Y121" s="198"/>
      <c r="Z121" s="219"/>
      <c r="AA121" s="406"/>
      <c r="AB121" s="403"/>
      <c r="AC121" s="198"/>
      <c r="AD121" s="219"/>
      <c r="AE121" s="406"/>
      <c r="AF121" s="403"/>
      <c r="AG121" s="198"/>
      <c r="AH121" s="219"/>
      <c r="AI121" s="406"/>
      <c r="AJ121" s="403"/>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6"/>
      <c r="T122" s="403"/>
      <c r="U122" s="198"/>
      <c r="V122" s="219"/>
      <c r="W122" s="406"/>
      <c r="X122" s="403"/>
      <c r="Y122" s="198"/>
      <c r="Z122" s="219"/>
      <c r="AA122" s="406"/>
      <c r="AB122" s="403"/>
      <c r="AC122" s="198"/>
      <c r="AD122" s="219"/>
      <c r="AE122" s="406"/>
      <c r="AF122" s="403"/>
      <c r="AG122" s="198"/>
      <c r="AH122" s="219"/>
      <c r="AI122" s="406"/>
      <c r="AJ122" s="403"/>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6"/>
      <c r="T123" s="403"/>
      <c r="U123" s="198"/>
      <c r="V123" s="219"/>
      <c r="W123" s="406"/>
      <c r="X123" s="403"/>
      <c r="Y123" s="198"/>
      <c r="Z123" s="219"/>
      <c r="AA123" s="406"/>
      <c r="AB123" s="403"/>
      <c r="AC123" s="198"/>
      <c r="AD123" s="219"/>
      <c r="AE123" s="406"/>
      <c r="AF123" s="403"/>
      <c r="AG123" s="198"/>
      <c r="AH123" s="219"/>
      <c r="AI123" s="406"/>
      <c r="AJ123" s="403"/>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6"/>
      <c r="T124" s="403"/>
      <c r="U124" s="198"/>
      <c r="V124" s="219"/>
      <c r="W124" s="406"/>
      <c r="X124" s="403"/>
      <c r="Y124" s="198"/>
      <c r="Z124" s="219"/>
      <c r="AA124" s="406"/>
      <c r="AB124" s="403"/>
      <c r="AC124" s="198"/>
      <c r="AD124" s="219"/>
      <c r="AE124" s="406"/>
      <c r="AF124" s="403"/>
      <c r="AG124" s="198"/>
      <c r="AH124" s="219"/>
      <c r="AI124" s="406"/>
      <c r="AJ124" s="403"/>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6"/>
      <c r="T125" s="403"/>
      <c r="U125" s="198"/>
      <c r="V125" s="219"/>
      <c r="W125" s="406"/>
      <c r="X125" s="403"/>
      <c r="Y125" s="198"/>
      <c r="Z125" s="219"/>
      <c r="AA125" s="406"/>
      <c r="AB125" s="403"/>
      <c r="AC125" s="198"/>
      <c r="AD125" s="219"/>
      <c r="AE125" s="406"/>
      <c r="AF125" s="403"/>
      <c r="AG125" s="198"/>
      <c r="AH125" s="219"/>
      <c r="AI125" s="406"/>
      <c r="AJ125" s="403"/>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6"/>
      <c r="T126" s="403"/>
      <c r="U126" s="198"/>
      <c r="V126" s="219"/>
      <c r="W126" s="406"/>
      <c r="X126" s="403"/>
      <c r="Y126" s="198"/>
      <c r="Z126" s="219"/>
      <c r="AA126" s="406"/>
      <c r="AB126" s="403"/>
      <c r="AC126" s="198"/>
      <c r="AD126" s="219"/>
      <c r="AE126" s="406"/>
      <c r="AF126" s="403"/>
      <c r="AG126" s="198"/>
      <c r="AH126" s="219"/>
      <c r="AI126" s="406"/>
      <c r="AJ126" s="403"/>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6"/>
      <c r="T127" s="403"/>
      <c r="U127" s="198"/>
      <c r="V127" s="219"/>
      <c r="W127" s="406"/>
      <c r="X127" s="403"/>
      <c r="Y127" s="198"/>
      <c r="Z127" s="219"/>
      <c r="AA127" s="406"/>
      <c r="AB127" s="403"/>
      <c r="AC127" s="198"/>
      <c r="AD127" s="219"/>
      <c r="AE127" s="406"/>
      <c r="AF127" s="403"/>
      <c r="AG127" s="198"/>
      <c r="AH127" s="219"/>
      <c r="AI127" s="406"/>
      <c r="AJ127" s="403"/>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6"/>
      <c r="T128" s="403"/>
      <c r="U128" s="198"/>
      <c r="V128" s="219"/>
      <c r="W128" s="406"/>
      <c r="X128" s="403"/>
      <c r="Y128" s="198"/>
      <c r="Z128" s="219"/>
      <c r="AA128" s="406"/>
      <c r="AB128" s="403"/>
      <c r="AC128" s="198"/>
      <c r="AD128" s="219"/>
      <c r="AE128" s="406"/>
      <c r="AF128" s="403"/>
      <c r="AG128" s="198"/>
      <c r="AH128" s="219"/>
      <c r="AI128" s="406"/>
      <c r="AJ128" s="403"/>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6"/>
      <c r="T129" s="403"/>
      <c r="U129" s="198"/>
      <c r="V129" s="219"/>
      <c r="W129" s="406"/>
      <c r="X129" s="403"/>
      <c r="Y129" s="198"/>
      <c r="Z129" s="219"/>
      <c r="AA129" s="406"/>
      <c r="AB129" s="403"/>
      <c r="AC129" s="198"/>
      <c r="AD129" s="219"/>
      <c r="AE129" s="406"/>
      <c r="AF129" s="403"/>
      <c r="AG129" s="198"/>
      <c r="AH129" s="219"/>
      <c r="AI129" s="406"/>
      <c r="AJ129" s="403"/>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6"/>
      <c r="T130" s="403"/>
      <c r="U130" s="198"/>
      <c r="V130" s="219"/>
      <c r="W130" s="406"/>
      <c r="X130" s="403"/>
      <c r="Y130" s="198"/>
      <c r="Z130" s="219"/>
      <c r="AA130" s="406"/>
      <c r="AB130" s="403"/>
      <c r="AC130" s="198"/>
      <c r="AD130" s="219"/>
      <c r="AE130" s="406"/>
      <c r="AF130" s="403"/>
      <c r="AG130" s="198"/>
      <c r="AH130" s="219"/>
      <c r="AI130" s="406"/>
      <c r="AJ130" s="403"/>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6"/>
      <c r="T131" s="403"/>
      <c r="U131" s="198"/>
      <c r="V131" s="219"/>
      <c r="W131" s="406"/>
      <c r="X131" s="403"/>
      <c r="Y131" s="198"/>
      <c r="Z131" s="219"/>
      <c r="AA131" s="406"/>
      <c r="AB131" s="403"/>
      <c r="AC131" s="198"/>
      <c r="AD131" s="219"/>
      <c r="AE131" s="406"/>
      <c r="AF131" s="403"/>
      <c r="AG131" s="198"/>
      <c r="AH131" s="219"/>
      <c r="AI131" s="406"/>
      <c r="AJ131" s="403"/>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6"/>
      <c r="T132" s="403"/>
      <c r="U132" s="198"/>
      <c r="V132" s="219"/>
      <c r="W132" s="406"/>
      <c r="X132" s="403"/>
      <c r="Y132" s="198"/>
      <c r="Z132" s="219"/>
      <c r="AA132" s="406"/>
      <c r="AB132" s="403"/>
      <c r="AC132" s="198"/>
      <c r="AD132" s="219"/>
      <c r="AE132" s="406"/>
      <c r="AF132" s="403"/>
      <c r="AG132" s="198"/>
      <c r="AH132" s="219"/>
      <c r="AI132" s="406"/>
      <c r="AJ132" s="403"/>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6"/>
      <c r="T133" s="403"/>
      <c r="U133" s="198"/>
      <c r="V133" s="219"/>
      <c r="W133" s="406"/>
      <c r="X133" s="403"/>
      <c r="Y133" s="198"/>
      <c r="Z133" s="219"/>
      <c r="AA133" s="406"/>
      <c r="AB133" s="403"/>
      <c r="AC133" s="198"/>
      <c r="AD133" s="219"/>
      <c r="AE133" s="406"/>
      <c r="AF133" s="403"/>
      <c r="AG133" s="198"/>
      <c r="AH133" s="219"/>
      <c r="AI133" s="406"/>
      <c r="AJ133" s="403"/>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6"/>
      <c r="T134" s="403"/>
      <c r="U134" s="198"/>
      <c r="V134" s="219"/>
      <c r="W134" s="406"/>
      <c r="X134" s="403"/>
      <c r="Y134" s="198"/>
      <c r="Z134" s="219"/>
      <c r="AA134" s="406"/>
      <c r="AB134" s="403"/>
      <c r="AC134" s="198"/>
      <c r="AD134" s="219"/>
      <c r="AE134" s="406"/>
      <c r="AF134" s="403"/>
      <c r="AG134" s="198"/>
      <c r="AH134" s="219"/>
      <c r="AI134" s="406"/>
      <c r="AJ134" s="403"/>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6"/>
      <c r="T135" s="403"/>
      <c r="U135" s="198"/>
      <c r="V135" s="219"/>
      <c r="W135" s="406"/>
      <c r="X135" s="403"/>
      <c r="Y135" s="198"/>
      <c r="Z135" s="219"/>
      <c r="AA135" s="406"/>
      <c r="AB135" s="403"/>
      <c r="AC135" s="198"/>
      <c r="AD135" s="219"/>
      <c r="AE135" s="406"/>
      <c r="AF135" s="403"/>
      <c r="AG135" s="198"/>
      <c r="AH135" s="219"/>
      <c r="AI135" s="406"/>
      <c r="AJ135" s="403"/>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6"/>
      <c r="T136" s="403"/>
      <c r="U136" s="198"/>
      <c r="V136" s="219"/>
      <c r="W136" s="406"/>
      <c r="X136" s="403"/>
      <c r="Y136" s="198"/>
      <c r="Z136" s="219"/>
      <c r="AA136" s="406"/>
      <c r="AB136" s="403"/>
      <c r="AC136" s="198"/>
      <c r="AD136" s="219"/>
      <c r="AE136" s="406"/>
      <c r="AF136" s="403"/>
      <c r="AG136" s="198"/>
      <c r="AH136" s="219"/>
      <c r="AI136" s="406"/>
      <c r="AJ136" s="403"/>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6"/>
      <c r="T137" s="403"/>
      <c r="U137" s="198"/>
      <c r="V137" s="219"/>
      <c r="W137" s="406"/>
      <c r="X137" s="403"/>
      <c r="Y137" s="198"/>
      <c r="Z137" s="219"/>
      <c r="AA137" s="406"/>
      <c r="AB137" s="403"/>
      <c r="AC137" s="198"/>
      <c r="AD137" s="219"/>
      <c r="AE137" s="406"/>
      <c r="AF137" s="403"/>
      <c r="AG137" s="198"/>
      <c r="AH137" s="219"/>
      <c r="AI137" s="406"/>
      <c r="AJ137" s="403"/>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6"/>
      <c r="T138" s="403"/>
      <c r="U138" s="198"/>
      <c r="V138" s="219"/>
      <c r="W138" s="406"/>
      <c r="X138" s="403"/>
      <c r="Y138" s="198"/>
      <c r="Z138" s="219"/>
      <c r="AA138" s="406"/>
      <c r="AB138" s="403"/>
      <c r="AC138" s="198"/>
      <c r="AD138" s="219"/>
      <c r="AE138" s="406"/>
      <c r="AF138" s="403"/>
      <c r="AG138" s="198"/>
      <c r="AH138" s="219"/>
      <c r="AI138" s="406"/>
      <c r="AJ138" s="403"/>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6"/>
      <c r="T139" s="403"/>
      <c r="U139" s="198"/>
      <c r="V139" s="219"/>
      <c r="W139" s="406"/>
      <c r="X139" s="403"/>
      <c r="Y139" s="198"/>
      <c r="Z139" s="219"/>
      <c r="AA139" s="406"/>
      <c r="AB139" s="403"/>
      <c r="AC139" s="198"/>
      <c r="AD139" s="219"/>
      <c r="AE139" s="406"/>
      <c r="AF139" s="403"/>
      <c r="AG139" s="198"/>
      <c r="AH139" s="219"/>
      <c r="AI139" s="406"/>
      <c r="AJ139" s="403"/>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6"/>
      <c r="T140" s="403"/>
      <c r="U140" s="198"/>
      <c r="V140" s="219"/>
      <c r="W140" s="406"/>
      <c r="X140" s="403"/>
      <c r="Y140" s="198"/>
      <c r="Z140" s="219"/>
      <c r="AA140" s="406"/>
      <c r="AB140" s="403"/>
      <c r="AC140" s="198"/>
      <c r="AD140" s="219"/>
      <c r="AE140" s="406"/>
      <c r="AF140" s="403"/>
      <c r="AG140" s="198"/>
      <c r="AH140" s="219"/>
      <c r="AI140" s="406"/>
      <c r="AJ140" s="403"/>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6"/>
      <c r="T141" s="403"/>
      <c r="U141" s="198"/>
      <c r="V141" s="219"/>
      <c r="W141" s="406"/>
      <c r="X141" s="403"/>
      <c r="Y141" s="198"/>
      <c r="Z141" s="219"/>
      <c r="AA141" s="406"/>
      <c r="AB141" s="403"/>
      <c r="AC141" s="198"/>
      <c r="AD141" s="219"/>
      <c r="AE141" s="406"/>
      <c r="AF141" s="403"/>
      <c r="AG141" s="198"/>
      <c r="AH141" s="219"/>
      <c r="AI141" s="406"/>
      <c r="AJ141" s="403"/>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6"/>
      <c r="T142" s="403"/>
      <c r="U142" s="198"/>
      <c r="V142" s="219"/>
      <c r="W142" s="406"/>
      <c r="X142" s="403"/>
      <c r="Y142" s="198"/>
      <c r="Z142" s="219"/>
      <c r="AA142" s="406"/>
      <c r="AB142" s="403"/>
      <c r="AC142" s="198"/>
      <c r="AD142" s="219"/>
      <c r="AE142" s="406"/>
      <c r="AF142" s="403"/>
      <c r="AG142" s="198"/>
      <c r="AH142" s="219"/>
      <c r="AI142" s="406"/>
      <c r="AJ142" s="403"/>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6"/>
      <c r="T143" s="403"/>
      <c r="U143" s="198"/>
      <c r="V143" s="219"/>
      <c r="W143" s="406"/>
      <c r="X143" s="403"/>
      <c r="Y143" s="198"/>
      <c r="Z143" s="219"/>
      <c r="AA143" s="406"/>
      <c r="AB143" s="403"/>
      <c r="AC143" s="198"/>
      <c r="AD143" s="219"/>
      <c r="AE143" s="406"/>
      <c r="AF143" s="403"/>
      <c r="AG143" s="198"/>
      <c r="AH143" s="219"/>
      <c r="AI143" s="406"/>
      <c r="AJ143" s="403"/>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6"/>
      <c r="T144" s="403"/>
      <c r="U144" s="198"/>
      <c r="V144" s="219"/>
      <c r="W144" s="406"/>
      <c r="X144" s="403"/>
      <c r="Y144" s="198"/>
      <c r="Z144" s="219"/>
      <c r="AA144" s="406"/>
      <c r="AB144" s="403"/>
      <c r="AC144" s="198"/>
      <c r="AD144" s="219"/>
      <c r="AE144" s="406"/>
      <c r="AF144" s="403"/>
      <c r="AG144" s="198"/>
      <c r="AH144" s="219"/>
      <c r="AI144" s="406"/>
      <c r="AJ144" s="403"/>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6"/>
      <c r="T145" s="403"/>
      <c r="U145" s="198"/>
      <c r="V145" s="219"/>
      <c r="W145" s="406"/>
      <c r="X145" s="403"/>
      <c r="Y145" s="198"/>
      <c r="Z145" s="219"/>
      <c r="AA145" s="406"/>
      <c r="AB145" s="403"/>
      <c r="AC145" s="198"/>
      <c r="AD145" s="219"/>
      <c r="AE145" s="406"/>
      <c r="AF145" s="403"/>
      <c r="AG145" s="198"/>
      <c r="AH145" s="219"/>
      <c r="AI145" s="406"/>
      <c r="AJ145" s="403"/>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6"/>
      <c r="T146" s="403"/>
      <c r="U146" s="198"/>
      <c r="V146" s="219"/>
      <c r="W146" s="406"/>
      <c r="X146" s="403"/>
      <c r="Y146" s="198"/>
      <c r="Z146" s="219"/>
      <c r="AA146" s="406"/>
      <c r="AB146" s="403"/>
      <c r="AC146" s="198"/>
      <c r="AD146" s="219"/>
      <c r="AE146" s="406"/>
      <c r="AF146" s="403"/>
      <c r="AG146" s="198"/>
      <c r="AH146" s="219"/>
      <c r="AI146" s="406"/>
      <c r="AJ146" s="403"/>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6"/>
      <c r="T147" s="403"/>
      <c r="U147" s="198"/>
      <c r="V147" s="219"/>
      <c r="W147" s="406"/>
      <c r="X147" s="403"/>
      <c r="Y147" s="198"/>
      <c r="Z147" s="219"/>
      <c r="AA147" s="406"/>
      <c r="AB147" s="403"/>
      <c r="AC147" s="198"/>
      <c r="AD147" s="219"/>
      <c r="AE147" s="406"/>
      <c r="AF147" s="403"/>
      <c r="AG147" s="198"/>
      <c r="AH147" s="219"/>
      <c r="AI147" s="406"/>
      <c r="AJ147" s="403"/>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6"/>
      <c r="T148" s="403"/>
      <c r="U148" s="198"/>
      <c r="V148" s="219"/>
      <c r="W148" s="406"/>
      <c r="X148" s="403"/>
      <c r="Y148" s="198"/>
      <c r="Z148" s="219"/>
      <c r="AA148" s="406"/>
      <c r="AB148" s="403"/>
      <c r="AC148" s="198"/>
      <c r="AD148" s="219"/>
      <c r="AE148" s="406"/>
      <c r="AF148" s="403"/>
      <c r="AG148" s="198"/>
      <c r="AH148" s="219"/>
      <c r="AI148" s="406"/>
      <c r="AJ148" s="403"/>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6"/>
      <c r="T149" s="403"/>
      <c r="U149" s="198"/>
      <c r="V149" s="219"/>
      <c r="W149" s="406"/>
      <c r="X149" s="403"/>
      <c r="Y149" s="198"/>
      <c r="Z149" s="219"/>
      <c r="AA149" s="406"/>
      <c r="AB149" s="403"/>
      <c r="AC149" s="198"/>
      <c r="AD149" s="219"/>
      <c r="AE149" s="406"/>
      <c r="AF149" s="403"/>
      <c r="AG149" s="198"/>
      <c r="AH149" s="219"/>
      <c r="AI149" s="406"/>
      <c r="AJ149" s="403"/>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6"/>
      <c r="T150" s="403"/>
      <c r="U150" s="198"/>
      <c r="V150" s="219"/>
      <c r="W150" s="406"/>
      <c r="X150" s="403"/>
      <c r="Y150" s="198"/>
      <c r="Z150" s="219"/>
      <c r="AA150" s="406"/>
      <c r="AB150" s="403"/>
      <c r="AC150" s="198"/>
      <c r="AD150" s="219"/>
      <c r="AE150" s="406"/>
      <c r="AF150" s="403"/>
      <c r="AG150" s="198"/>
      <c r="AH150" s="219"/>
      <c r="AI150" s="406"/>
      <c r="AJ150" s="403"/>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6"/>
      <c r="T151" s="403"/>
      <c r="U151" s="198"/>
      <c r="V151" s="219"/>
      <c r="W151" s="406"/>
      <c r="X151" s="403"/>
      <c r="Y151" s="198"/>
      <c r="Z151" s="219"/>
      <c r="AA151" s="406"/>
      <c r="AB151" s="403"/>
      <c r="AC151" s="198"/>
      <c r="AD151" s="219"/>
      <c r="AE151" s="406"/>
      <c r="AF151" s="403"/>
      <c r="AG151" s="198"/>
      <c r="AH151" s="219"/>
      <c r="AI151" s="406"/>
      <c r="AJ151" s="403"/>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6"/>
      <c r="T152" s="403"/>
      <c r="U152" s="198"/>
      <c r="V152" s="219"/>
      <c r="W152" s="406"/>
      <c r="X152" s="403"/>
      <c r="Y152" s="198"/>
      <c r="Z152" s="219"/>
      <c r="AA152" s="406"/>
      <c r="AB152" s="403"/>
      <c r="AC152" s="198"/>
      <c r="AD152" s="219"/>
      <c r="AE152" s="406"/>
      <c r="AF152" s="403"/>
      <c r="AG152" s="198"/>
      <c r="AH152" s="219"/>
      <c r="AI152" s="406"/>
      <c r="AJ152" s="403"/>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6"/>
      <c r="T153" s="403"/>
      <c r="U153" s="198"/>
      <c r="V153" s="219"/>
      <c r="W153" s="406"/>
      <c r="X153" s="403"/>
      <c r="Y153" s="198"/>
      <c r="Z153" s="219"/>
      <c r="AA153" s="406"/>
      <c r="AB153" s="403"/>
      <c r="AC153" s="198"/>
      <c r="AD153" s="219"/>
      <c r="AE153" s="406"/>
      <c r="AF153" s="403"/>
      <c r="AG153" s="198"/>
      <c r="AH153" s="219"/>
      <c r="AI153" s="406"/>
      <c r="AJ153" s="403"/>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6"/>
      <c r="T154" s="403"/>
      <c r="U154" s="198"/>
      <c r="V154" s="219"/>
      <c r="W154" s="406"/>
      <c r="X154" s="403"/>
      <c r="Y154" s="198"/>
      <c r="Z154" s="219"/>
      <c r="AA154" s="406"/>
      <c r="AB154" s="403"/>
      <c r="AC154" s="198"/>
      <c r="AD154" s="219"/>
      <c r="AE154" s="406"/>
      <c r="AF154" s="403"/>
      <c r="AG154" s="198"/>
      <c r="AH154" s="219"/>
      <c r="AI154" s="406"/>
      <c r="AJ154" s="403"/>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6"/>
      <c r="T155" s="403"/>
      <c r="U155" s="198"/>
      <c r="V155" s="219"/>
      <c r="W155" s="406"/>
      <c r="X155" s="403"/>
      <c r="Y155" s="198"/>
      <c r="Z155" s="219"/>
      <c r="AA155" s="406"/>
      <c r="AB155" s="403"/>
      <c r="AC155" s="198"/>
      <c r="AD155" s="219"/>
      <c r="AE155" s="406"/>
      <c r="AF155" s="403"/>
      <c r="AG155" s="198"/>
      <c r="AH155" s="219"/>
      <c r="AI155" s="406"/>
      <c r="AJ155" s="403"/>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6"/>
      <c r="T156" s="403"/>
      <c r="U156" s="198"/>
      <c r="V156" s="219"/>
      <c r="W156" s="406"/>
      <c r="X156" s="403"/>
      <c r="Y156" s="198"/>
      <c r="Z156" s="219"/>
      <c r="AA156" s="406"/>
      <c r="AB156" s="403"/>
      <c r="AC156" s="198"/>
      <c r="AD156" s="219"/>
      <c r="AE156" s="406"/>
      <c r="AF156" s="403"/>
      <c r="AG156" s="198"/>
      <c r="AH156" s="219"/>
      <c r="AI156" s="406"/>
      <c r="AJ156" s="403"/>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6"/>
      <c r="T157" s="403"/>
      <c r="U157" s="198"/>
      <c r="V157" s="219"/>
      <c r="W157" s="406"/>
      <c r="X157" s="403"/>
      <c r="Y157" s="198"/>
      <c r="Z157" s="219"/>
      <c r="AA157" s="406"/>
      <c r="AB157" s="403"/>
      <c r="AC157" s="198"/>
      <c r="AD157" s="219"/>
      <c r="AE157" s="406"/>
      <c r="AF157" s="403"/>
      <c r="AG157" s="198"/>
      <c r="AH157" s="219"/>
      <c r="AI157" s="406"/>
      <c r="AJ157" s="403"/>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6"/>
      <c r="T158" s="403"/>
      <c r="U158" s="198"/>
      <c r="V158" s="219"/>
      <c r="W158" s="406"/>
      <c r="X158" s="403"/>
      <c r="Y158" s="198"/>
      <c r="Z158" s="219"/>
      <c r="AA158" s="406"/>
      <c r="AB158" s="403"/>
      <c r="AC158" s="198"/>
      <c r="AD158" s="219"/>
      <c r="AE158" s="406"/>
      <c r="AF158" s="403"/>
      <c r="AG158" s="198"/>
      <c r="AH158" s="219"/>
      <c r="AI158" s="406"/>
      <c r="AJ158" s="403"/>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6"/>
      <c r="T159" s="403"/>
      <c r="U159" s="198"/>
      <c r="V159" s="219"/>
      <c r="W159" s="406"/>
      <c r="X159" s="403"/>
      <c r="Y159" s="198"/>
      <c r="Z159" s="219"/>
      <c r="AA159" s="406"/>
      <c r="AB159" s="403"/>
      <c r="AC159" s="198"/>
      <c r="AD159" s="219"/>
      <c r="AE159" s="406"/>
      <c r="AF159" s="403"/>
      <c r="AG159" s="198"/>
      <c r="AH159" s="219"/>
      <c r="AI159" s="406"/>
      <c r="AJ159" s="403"/>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6"/>
      <c r="T160" s="403"/>
      <c r="U160" s="198"/>
      <c r="V160" s="219"/>
      <c r="W160" s="406"/>
      <c r="X160" s="403"/>
      <c r="Y160" s="198"/>
      <c r="Z160" s="219"/>
      <c r="AA160" s="406"/>
      <c r="AB160" s="403"/>
      <c r="AC160" s="198"/>
      <c r="AD160" s="219"/>
      <c r="AE160" s="406"/>
      <c r="AF160" s="403"/>
      <c r="AG160" s="198"/>
      <c r="AH160" s="219"/>
      <c r="AI160" s="406"/>
      <c r="AJ160" s="403"/>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6"/>
      <c r="T161" s="403"/>
      <c r="U161" s="198"/>
      <c r="V161" s="219"/>
      <c r="W161" s="406"/>
      <c r="X161" s="403"/>
      <c r="Y161" s="198"/>
      <c r="Z161" s="219"/>
      <c r="AA161" s="406"/>
      <c r="AB161" s="403"/>
      <c r="AC161" s="198"/>
      <c r="AD161" s="219"/>
      <c r="AE161" s="406"/>
      <c r="AF161" s="403"/>
      <c r="AG161" s="198"/>
      <c r="AH161" s="219"/>
      <c r="AI161" s="406"/>
      <c r="AJ161" s="403"/>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6"/>
      <c r="T162" s="403"/>
      <c r="U162" s="198"/>
      <c r="V162" s="219"/>
      <c r="W162" s="406"/>
      <c r="X162" s="403"/>
      <c r="Y162" s="198"/>
      <c r="Z162" s="219"/>
      <c r="AA162" s="406"/>
      <c r="AB162" s="403"/>
      <c r="AC162" s="198"/>
      <c r="AD162" s="219"/>
      <c r="AE162" s="406"/>
      <c r="AF162" s="403"/>
      <c r="AG162" s="198"/>
      <c r="AH162" s="219"/>
      <c r="AI162" s="406"/>
      <c r="AJ162" s="403"/>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6"/>
      <c r="T163" s="403"/>
      <c r="U163" s="198"/>
      <c r="V163" s="219"/>
      <c r="W163" s="406"/>
      <c r="X163" s="403"/>
      <c r="Y163" s="198"/>
      <c r="Z163" s="219"/>
      <c r="AA163" s="406"/>
      <c r="AB163" s="403"/>
      <c r="AC163" s="198"/>
      <c r="AD163" s="219"/>
      <c r="AE163" s="406"/>
      <c r="AF163" s="403"/>
      <c r="AG163" s="198"/>
      <c r="AH163" s="219"/>
      <c r="AI163" s="406"/>
      <c r="AJ163" s="403"/>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6"/>
      <c r="T164" s="403"/>
      <c r="U164" s="198"/>
      <c r="V164" s="219"/>
      <c r="W164" s="406"/>
      <c r="X164" s="403"/>
      <c r="Y164" s="198"/>
      <c r="Z164" s="219"/>
      <c r="AA164" s="406"/>
      <c r="AB164" s="403"/>
      <c r="AC164" s="198"/>
      <c r="AD164" s="219"/>
      <c r="AE164" s="406"/>
      <c r="AF164" s="403"/>
      <c r="AG164" s="198"/>
      <c r="AH164" s="219"/>
      <c r="AI164" s="406"/>
      <c r="AJ164" s="403"/>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6"/>
      <c r="T165" s="403"/>
      <c r="U165" s="198"/>
      <c r="V165" s="219"/>
      <c r="W165" s="406"/>
      <c r="X165" s="403"/>
      <c r="Y165" s="198"/>
      <c r="Z165" s="219"/>
      <c r="AA165" s="406"/>
      <c r="AB165" s="403"/>
      <c r="AC165" s="198"/>
      <c r="AD165" s="219"/>
      <c r="AE165" s="406"/>
      <c r="AF165" s="403"/>
      <c r="AG165" s="198"/>
      <c r="AH165" s="219"/>
      <c r="AI165" s="406"/>
      <c r="AJ165" s="403"/>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6"/>
      <c r="T166" s="403"/>
      <c r="U166" s="198"/>
      <c r="V166" s="219"/>
      <c r="W166" s="406"/>
      <c r="X166" s="403"/>
      <c r="Y166" s="198"/>
      <c r="Z166" s="219"/>
      <c r="AA166" s="406"/>
      <c r="AB166" s="403"/>
      <c r="AC166" s="198"/>
      <c r="AD166" s="219"/>
      <c r="AE166" s="406"/>
      <c r="AF166" s="403"/>
      <c r="AG166" s="198"/>
      <c r="AH166" s="219"/>
      <c r="AI166" s="406"/>
      <c r="AJ166" s="403"/>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6"/>
      <c r="T167" s="403"/>
      <c r="U167" s="198"/>
      <c r="V167" s="219"/>
      <c r="W167" s="406"/>
      <c r="X167" s="403"/>
      <c r="Y167" s="198"/>
      <c r="Z167" s="219"/>
      <c r="AA167" s="406"/>
      <c r="AB167" s="403"/>
      <c r="AC167" s="198"/>
      <c r="AD167" s="219"/>
      <c r="AE167" s="406"/>
      <c r="AF167" s="403"/>
      <c r="AG167" s="198"/>
      <c r="AH167" s="219"/>
      <c r="AI167" s="406"/>
      <c r="AJ167" s="403"/>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6"/>
      <c r="T168" s="403"/>
      <c r="U168" s="198"/>
      <c r="V168" s="219"/>
      <c r="W168" s="406"/>
      <c r="X168" s="403"/>
      <c r="Y168" s="198"/>
      <c r="Z168" s="219"/>
      <c r="AA168" s="406"/>
      <c r="AB168" s="403"/>
      <c r="AC168" s="198"/>
      <c r="AD168" s="219"/>
      <c r="AE168" s="406"/>
      <c r="AF168" s="403"/>
      <c r="AG168" s="198"/>
      <c r="AH168" s="219"/>
      <c r="AI168" s="406"/>
      <c r="AJ168" s="403"/>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6"/>
      <c r="T169" s="403"/>
      <c r="U169" s="198"/>
      <c r="V169" s="219"/>
      <c r="W169" s="406"/>
      <c r="X169" s="403"/>
      <c r="Y169" s="198"/>
      <c r="Z169" s="219"/>
      <c r="AA169" s="406"/>
      <c r="AB169" s="403"/>
      <c r="AC169" s="198"/>
      <c r="AD169" s="219"/>
      <c r="AE169" s="406"/>
      <c r="AF169" s="403"/>
      <c r="AG169" s="198"/>
      <c r="AH169" s="219"/>
      <c r="AI169" s="406"/>
      <c r="AJ169" s="403"/>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6"/>
      <c r="T170" s="403"/>
      <c r="U170" s="198"/>
      <c r="V170" s="219"/>
      <c r="W170" s="406"/>
      <c r="X170" s="403"/>
      <c r="Y170" s="198"/>
      <c r="Z170" s="219"/>
      <c r="AA170" s="406"/>
      <c r="AB170" s="403"/>
      <c r="AC170" s="198"/>
      <c r="AD170" s="219"/>
      <c r="AE170" s="406"/>
      <c r="AF170" s="403"/>
      <c r="AG170" s="198"/>
      <c r="AH170" s="219"/>
      <c r="AI170" s="406"/>
      <c r="AJ170" s="403"/>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6"/>
      <c r="T171" s="403"/>
      <c r="U171" s="198"/>
      <c r="V171" s="219"/>
      <c r="W171" s="406"/>
      <c r="X171" s="403"/>
      <c r="Y171" s="198"/>
      <c r="Z171" s="219"/>
      <c r="AA171" s="406"/>
      <c r="AB171" s="403"/>
      <c r="AC171" s="198"/>
      <c r="AD171" s="219"/>
      <c r="AE171" s="406"/>
      <c r="AF171" s="403"/>
      <c r="AG171" s="198"/>
      <c r="AH171" s="219"/>
      <c r="AI171" s="406"/>
      <c r="AJ171" s="403"/>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6"/>
      <c r="T172" s="403"/>
      <c r="U172" s="198"/>
      <c r="V172" s="219"/>
      <c r="W172" s="406"/>
      <c r="X172" s="403"/>
      <c r="Y172" s="198"/>
      <c r="Z172" s="219"/>
      <c r="AA172" s="406"/>
      <c r="AB172" s="403"/>
      <c r="AC172" s="198"/>
      <c r="AD172" s="219"/>
      <c r="AE172" s="406"/>
      <c r="AF172" s="403"/>
      <c r="AG172" s="198"/>
      <c r="AH172" s="219"/>
      <c r="AI172" s="406"/>
      <c r="AJ172" s="403"/>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6"/>
      <c r="T173" s="403"/>
      <c r="U173" s="198"/>
      <c r="V173" s="219"/>
      <c r="W173" s="406"/>
      <c r="X173" s="403"/>
      <c r="Y173" s="198"/>
      <c r="Z173" s="219"/>
      <c r="AA173" s="406"/>
      <c r="AB173" s="403"/>
      <c r="AC173" s="198"/>
      <c r="AD173" s="219"/>
      <c r="AE173" s="406"/>
      <c r="AF173" s="403"/>
      <c r="AG173" s="198"/>
      <c r="AH173" s="219"/>
      <c r="AI173" s="406"/>
      <c r="AJ173" s="403"/>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6"/>
      <c r="T174" s="403"/>
      <c r="U174" s="198"/>
      <c r="V174" s="219"/>
      <c r="W174" s="406"/>
      <c r="X174" s="403"/>
      <c r="Y174" s="198"/>
      <c r="Z174" s="219"/>
      <c r="AA174" s="406"/>
      <c r="AB174" s="403"/>
      <c r="AC174" s="198"/>
      <c r="AD174" s="219"/>
      <c r="AE174" s="406"/>
      <c r="AF174" s="403"/>
      <c r="AG174" s="198"/>
      <c r="AH174" s="219"/>
      <c r="AI174" s="406"/>
      <c r="AJ174" s="403"/>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6"/>
      <c r="T175" s="403"/>
      <c r="U175" s="198"/>
      <c r="V175" s="219"/>
      <c r="W175" s="406"/>
      <c r="X175" s="403"/>
      <c r="Y175" s="198"/>
      <c r="Z175" s="219"/>
      <c r="AA175" s="406"/>
      <c r="AB175" s="403"/>
      <c r="AC175" s="198"/>
      <c r="AD175" s="219"/>
      <c r="AE175" s="406"/>
      <c r="AF175" s="403"/>
      <c r="AG175" s="198"/>
      <c r="AH175" s="219"/>
      <c r="AI175" s="406"/>
      <c r="AJ175" s="403"/>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6"/>
      <c r="T176" s="403"/>
      <c r="U176" s="198"/>
      <c r="V176" s="219"/>
      <c r="W176" s="406"/>
      <c r="X176" s="403"/>
      <c r="Y176" s="198"/>
      <c r="Z176" s="219"/>
      <c r="AA176" s="406"/>
      <c r="AB176" s="403"/>
      <c r="AC176" s="198"/>
      <c r="AD176" s="219"/>
      <c r="AE176" s="406"/>
      <c r="AF176" s="403"/>
      <c r="AG176" s="198"/>
      <c r="AH176" s="219"/>
      <c r="AI176" s="406"/>
      <c r="AJ176" s="403"/>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6"/>
      <c r="T177" s="403"/>
      <c r="U177" s="198"/>
      <c r="V177" s="219"/>
      <c r="W177" s="406"/>
      <c r="X177" s="403"/>
      <c r="Y177" s="198"/>
      <c r="Z177" s="219"/>
      <c r="AA177" s="406"/>
      <c r="AB177" s="403"/>
      <c r="AC177" s="198"/>
      <c r="AD177" s="219"/>
      <c r="AE177" s="406"/>
      <c r="AF177" s="403"/>
      <c r="AG177" s="198"/>
      <c r="AH177" s="219"/>
      <c r="AI177" s="406"/>
      <c r="AJ177" s="403"/>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6"/>
      <c r="T178" s="403"/>
      <c r="U178" s="198"/>
      <c r="V178" s="219"/>
      <c r="W178" s="406"/>
      <c r="X178" s="403"/>
      <c r="Y178" s="198"/>
      <c r="Z178" s="219"/>
      <c r="AA178" s="406"/>
      <c r="AB178" s="403"/>
      <c r="AC178" s="198"/>
      <c r="AD178" s="219"/>
      <c r="AE178" s="406"/>
      <c r="AF178" s="403"/>
      <c r="AG178" s="198"/>
      <c r="AH178" s="219"/>
      <c r="AI178" s="406"/>
      <c r="AJ178" s="403"/>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6"/>
      <c r="T179" s="403"/>
      <c r="U179" s="198"/>
      <c r="V179" s="219"/>
      <c r="W179" s="406"/>
      <c r="X179" s="403"/>
      <c r="Y179" s="198"/>
      <c r="Z179" s="219"/>
      <c r="AA179" s="406"/>
      <c r="AB179" s="403"/>
      <c r="AC179" s="198"/>
      <c r="AD179" s="219"/>
      <c r="AE179" s="406"/>
      <c r="AF179" s="403"/>
      <c r="AG179" s="198"/>
      <c r="AH179" s="219"/>
      <c r="AI179" s="406"/>
      <c r="AJ179" s="403"/>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6"/>
      <c r="T180" s="403"/>
      <c r="U180" s="198"/>
      <c r="V180" s="219"/>
      <c r="W180" s="406"/>
      <c r="X180" s="403"/>
      <c r="Y180" s="198"/>
      <c r="Z180" s="219"/>
      <c r="AA180" s="406"/>
      <c r="AB180" s="403"/>
      <c r="AC180" s="198"/>
      <c r="AD180" s="219"/>
      <c r="AE180" s="406"/>
      <c r="AF180" s="403"/>
      <c r="AG180" s="198"/>
      <c r="AH180" s="219"/>
      <c r="AI180" s="406"/>
      <c r="AJ180" s="403"/>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6"/>
      <c r="T181" s="403"/>
      <c r="U181" s="198"/>
      <c r="V181" s="219"/>
      <c r="W181" s="406"/>
      <c r="X181" s="403"/>
      <c r="Y181" s="198"/>
      <c r="Z181" s="219"/>
      <c r="AA181" s="406"/>
      <c r="AB181" s="403"/>
      <c r="AC181" s="198"/>
      <c r="AD181" s="219"/>
      <c r="AE181" s="406"/>
      <c r="AF181" s="403"/>
      <c r="AG181" s="198"/>
      <c r="AH181" s="219"/>
      <c r="AI181" s="406"/>
      <c r="AJ181" s="403"/>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6"/>
      <c r="T182" s="403"/>
      <c r="U182" s="198"/>
      <c r="V182" s="219"/>
      <c r="W182" s="406"/>
      <c r="X182" s="403"/>
      <c r="Y182" s="198"/>
      <c r="Z182" s="219"/>
      <c r="AA182" s="406"/>
      <c r="AB182" s="403"/>
      <c r="AC182" s="198"/>
      <c r="AD182" s="219"/>
      <c r="AE182" s="406"/>
      <c r="AF182" s="403"/>
      <c r="AG182" s="198"/>
      <c r="AH182" s="219"/>
      <c r="AI182" s="406"/>
      <c r="AJ182" s="403"/>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6"/>
      <c r="T183" s="403"/>
      <c r="U183" s="198"/>
      <c r="V183" s="219"/>
      <c r="W183" s="406"/>
      <c r="X183" s="403"/>
      <c r="Y183" s="198"/>
      <c r="Z183" s="219"/>
      <c r="AA183" s="406"/>
      <c r="AB183" s="403"/>
      <c r="AC183" s="198"/>
      <c r="AD183" s="219"/>
      <c r="AE183" s="406"/>
      <c r="AF183" s="403"/>
      <c r="AG183" s="198"/>
      <c r="AH183" s="219"/>
      <c r="AI183" s="406"/>
      <c r="AJ183" s="403"/>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6"/>
      <c r="T184" s="403"/>
      <c r="U184" s="198"/>
      <c r="V184" s="219"/>
      <c r="W184" s="406"/>
      <c r="X184" s="403"/>
      <c r="Y184" s="198"/>
      <c r="Z184" s="219"/>
      <c r="AA184" s="406"/>
      <c r="AB184" s="403"/>
      <c r="AC184" s="198"/>
      <c r="AD184" s="219"/>
      <c r="AE184" s="406"/>
      <c r="AF184" s="403"/>
      <c r="AG184" s="198"/>
      <c r="AH184" s="219"/>
      <c r="AI184" s="406"/>
      <c r="AJ184" s="403"/>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6"/>
      <c r="T185" s="403"/>
      <c r="U185" s="198"/>
      <c r="V185" s="219"/>
      <c r="W185" s="406"/>
      <c r="X185" s="403"/>
      <c r="Y185" s="198"/>
      <c r="Z185" s="219"/>
      <c r="AA185" s="406"/>
      <c r="AB185" s="403"/>
      <c r="AC185" s="198"/>
      <c r="AD185" s="219"/>
      <c r="AE185" s="406"/>
      <c r="AF185" s="403"/>
      <c r="AG185" s="198"/>
      <c r="AH185" s="219"/>
      <c r="AI185" s="406"/>
      <c r="AJ185" s="403"/>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6"/>
      <c r="T186" s="403"/>
      <c r="U186" s="198"/>
      <c r="V186" s="219"/>
      <c r="W186" s="406"/>
      <c r="X186" s="403"/>
      <c r="Y186" s="198"/>
      <c r="Z186" s="219"/>
      <c r="AA186" s="406"/>
      <c r="AB186" s="403"/>
      <c r="AC186" s="198"/>
      <c r="AD186" s="219"/>
      <c r="AE186" s="406"/>
      <c r="AF186" s="403"/>
      <c r="AG186" s="198"/>
      <c r="AH186" s="219"/>
      <c r="AI186" s="406"/>
      <c r="AJ186" s="403"/>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6"/>
      <c r="T187" s="403"/>
      <c r="U187" s="198"/>
      <c r="V187" s="219"/>
      <c r="W187" s="406"/>
      <c r="X187" s="403"/>
      <c r="Y187" s="198"/>
      <c r="Z187" s="219"/>
      <c r="AA187" s="406"/>
      <c r="AB187" s="403"/>
      <c r="AC187" s="198"/>
      <c r="AD187" s="219"/>
      <c r="AE187" s="406"/>
      <c r="AF187" s="403"/>
      <c r="AG187" s="198"/>
      <c r="AH187" s="219"/>
      <c r="AI187" s="406"/>
      <c r="AJ187" s="403"/>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6"/>
      <c r="T188" s="403"/>
      <c r="U188" s="198"/>
      <c r="V188" s="219"/>
      <c r="W188" s="406"/>
      <c r="X188" s="403"/>
      <c r="Y188" s="198"/>
      <c r="Z188" s="219"/>
      <c r="AA188" s="406"/>
      <c r="AB188" s="403"/>
      <c r="AC188" s="198"/>
      <c r="AD188" s="219"/>
      <c r="AE188" s="406"/>
      <c r="AF188" s="403"/>
      <c r="AG188" s="198"/>
      <c r="AH188" s="219"/>
      <c r="AI188" s="406"/>
      <c r="AJ188" s="403"/>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6"/>
      <c r="T189" s="403"/>
      <c r="U189" s="198"/>
      <c r="V189" s="219"/>
      <c r="W189" s="406"/>
      <c r="X189" s="403"/>
      <c r="Y189" s="198"/>
      <c r="Z189" s="219"/>
      <c r="AA189" s="406"/>
      <c r="AB189" s="403"/>
      <c r="AC189" s="198"/>
      <c r="AD189" s="219"/>
      <c r="AE189" s="406"/>
      <c r="AF189" s="403"/>
      <c r="AG189" s="198"/>
      <c r="AH189" s="219"/>
      <c r="AI189" s="406"/>
      <c r="AJ189" s="403"/>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6"/>
      <c r="T190" s="403"/>
      <c r="U190" s="198"/>
      <c r="V190" s="219"/>
      <c r="W190" s="406"/>
      <c r="X190" s="403"/>
      <c r="Y190" s="198"/>
      <c r="Z190" s="219"/>
      <c r="AA190" s="406"/>
      <c r="AB190" s="403"/>
      <c r="AC190" s="198"/>
      <c r="AD190" s="219"/>
      <c r="AE190" s="406"/>
      <c r="AF190" s="403"/>
      <c r="AG190" s="198"/>
      <c r="AH190" s="219"/>
      <c r="AI190" s="406"/>
      <c r="AJ190" s="403"/>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6"/>
      <c r="T191" s="403"/>
      <c r="U191" s="198"/>
      <c r="V191" s="219"/>
      <c r="W191" s="406"/>
      <c r="X191" s="403"/>
      <c r="Y191" s="198"/>
      <c r="Z191" s="219"/>
      <c r="AA191" s="406"/>
      <c r="AB191" s="403"/>
      <c r="AC191" s="198"/>
      <c r="AD191" s="219"/>
      <c r="AE191" s="406"/>
      <c r="AF191" s="403"/>
      <c r="AG191" s="198"/>
      <c r="AH191" s="219"/>
      <c r="AI191" s="406"/>
      <c r="AJ191" s="403"/>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6"/>
      <c r="T192" s="403"/>
      <c r="U192" s="198"/>
      <c r="V192" s="219"/>
      <c r="W192" s="406"/>
      <c r="X192" s="403"/>
      <c r="Y192" s="198"/>
      <c r="Z192" s="219"/>
      <c r="AA192" s="406"/>
      <c r="AB192" s="403"/>
      <c r="AC192" s="198"/>
      <c r="AD192" s="219"/>
      <c r="AE192" s="406"/>
      <c r="AF192" s="403"/>
      <c r="AG192" s="198"/>
      <c r="AH192" s="219"/>
      <c r="AI192" s="406"/>
      <c r="AJ192" s="403"/>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6"/>
      <c r="T193" s="403"/>
      <c r="U193" s="198"/>
      <c r="V193" s="219"/>
      <c r="W193" s="406"/>
      <c r="X193" s="403"/>
      <c r="Y193" s="198"/>
      <c r="Z193" s="219"/>
      <c r="AA193" s="406"/>
      <c r="AB193" s="403"/>
      <c r="AC193" s="198"/>
      <c r="AD193" s="219"/>
      <c r="AE193" s="406"/>
      <c r="AF193" s="403"/>
      <c r="AG193" s="198"/>
      <c r="AH193" s="219"/>
      <c r="AI193" s="406"/>
      <c r="AJ193" s="403"/>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6"/>
      <c r="T194" s="403"/>
      <c r="U194" s="198"/>
      <c r="V194" s="219"/>
      <c r="W194" s="406"/>
      <c r="X194" s="403"/>
      <c r="Y194" s="198"/>
      <c r="Z194" s="219"/>
      <c r="AA194" s="406"/>
      <c r="AB194" s="403"/>
      <c r="AC194" s="198"/>
      <c r="AD194" s="219"/>
      <c r="AE194" s="406"/>
      <c r="AF194" s="403"/>
      <c r="AG194" s="198"/>
      <c r="AH194" s="219"/>
      <c r="AI194" s="406"/>
      <c r="AJ194" s="403"/>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6"/>
      <c r="T195" s="403"/>
      <c r="U195" s="198"/>
      <c r="V195" s="219"/>
      <c r="W195" s="406"/>
      <c r="X195" s="403"/>
      <c r="Y195" s="198"/>
      <c r="Z195" s="219"/>
      <c r="AA195" s="406"/>
      <c r="AB195" s="403"/>
      <c r="AC195" s="198"/>
      <c r="AD195" s="219"/>
      <c r="AE195" s="406"/>
      <c r="AF195" s="403"/>
      <c r="AG195" s="198"/>
      <c r="AH195" s="219"/>
      <c r="AI195" s="406"/>
      <c r="AJ195" s="403"/>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6"/>
      <c r="T196" s="403"/>
      <c r="U196" s="198"/>
      <c r="V196" s="219"/>
      <c r="W196" s="406"/>
      <c r="X196" s="403"/>
      <c r="Y196" s="198"/>
      <c r="Z196" s="219"/>
      <c r="AA196" s="406"/>
      <c r="AB196" s="403"/>
      <c r="AC196" s="198"/>
      <c r="AD196" s="219"/>
      <c r="AE196" s="406"/>
      <c r="AF196" s="403"/>
      <c r="AG196" s="198"/>
      <c r="AH196" s="219"/>
      <c r="AI196" s="406"/>
      <c r="AJ196" s="403"/>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6"/>
      <c r="T197" s="403"/>
      <c r="U197" s="198"/>
      <c r="V197" s="219"/>
      <c r="W197" s="406"/>
      <c r="X197" s="403"/>
      <c r="Y197" s="198"/>
      <c r="Z197" s="219"/>
      <c r="AA197" s="406"/>
      <c r="AB197" s="403"/>
      <c r="AC197" s="198"/>
      <c r="AD197" s="219"/>
      <c r="AE197" s="406"/>
      <c r="AF197" s="403"/>
      <c r="AG197" s="198"/>
      <c r="AH197" s="219"/>
      <c r="AI197" s="406"/>
      <c r="AJ197" s="403"/>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6"/>
      <c r="T198" s="403"/>
      <c r="U198" s="198"/>
      <c r="V198" s="219"/>
      <c r="W198" s="406"/>
      <c r="X198" s="403"/>
      <c r="Y198" s="198"/>
      <c r="Z198" s="219"/>
      <c r="AA198" s="406"/>
      <c r="AB198" s="403"/>
      <c r="AC198" s="198"/>
      <c r="AD198" s="219"/>
      <c r="AE198" s="406"/>
      <c r="AF198" s="403"/>
      <c r="AG198" s="198"/>
      <c r="AH198" s="219"/>
      <c r="AI198" s="406"/>
      <c r="AJ198" s="403"/>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6"/>
      <c r="T199" s="403"/>
      <c r="U199" s="198"/>
      <c r="V199" s="219"/>
      <c r="W199" s="406"/>
      <c r="X199" s="403"/>
      <c r="Y199" s="198"/>
      <c r="Z199" s="219"/>
      <c r="AA199" s="406"/>
      <c r="AB199" s="403"/>
      <c r="AC199" s="198"/>
      <c r="AD199" s="219"/>
      <c r="AE199" s="406"/>
      <c r="AF199" s="403"/>
      <c r="AG199" s="198"/>
      <c r="AH199" s="219"/>
      <c r="AI199" s="406"/>
      <c r="AJ199" s="403"/>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6"/>
      <c r="T200" s="403"/>
      <c r="U200" s="198"/>
      <c r="V200" s="219"/>
      <c r="W200" s="406"/>
      <c r="X200" s="403"/>
      <c r="Y200" s="198"/>
      <c r="Z200" s="219"/>
      <c r="AA200" s="406"/>
      <c r="AB200" s="403"/>
      <c r="AC200" s="198"/>
      <c r="AD200" s="219"/>
      <c r="AE200" s="406"/>
      <c r="AF200" s="403"/>
      <c r="AG200" s="198"/>
      <c r="AH200" s="219"/>
      <c r="AI200" s="406"/>
      <c r="AJ200" s="403"/>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6"/>
      <c r="T201" s="403"/>
      <c r="U201" s="198"/>
      <c r="V201" s="219"/>
      <c r="W201" s="406"/>
      <c r="X201" s="403"/>
      <c r="Y201" s="198"/>
      <c r="Z201" s="219"/>
      <c r="AA201" s="406"/>
      <c r="AB201" s="403"/>
      <c r="AC201" s="198"/>
      <c r="AD201" s="219"/>
      <c r="AE201" s="406"/>
      <c r="AF201" s="403"/>
      <c r="AG201" s="198"/>
      <c r="AH201" s="219"/>
      <c r="AI201" s="406"/>
      <c r="AJ201" s="403"/>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6"/>
      <c r="T202" s="403"/>
      <c r="U202" s="198"/>
      <c r="V202" s="219"/>
      <c r="W202" s="406"/>
      <c r="X202" s="403"/>
      <c r="Y202" s="198"/>
      <c r="Z202" s="219"/>
      <c r="AA202" s="406"/>
      <c r="AB202" s="403"/>
      <c r="AC202" s="198"/>
      <c r="AD202" s="219"/>
      <c r="AE202" s="406"/>
      <c r="AF202" s="403"/>
      <c r="AG202" s="198"/>
      <c r="AH202" s="219"/>
      <c r="AI202" s="406"/>
      <c r="AJ202" s="403"/>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6"/>
      <c r="T203" s="403"/>
      <c r="U203" s="198"/>
      <c r="V203" s="219"/>
      <c r="W203" s="406"/>
      <c r="X203" s="403"/>
      <c r="Y203" s="198"/>
      <c r="Z203" s="219"/>
      <c r="AA203" s="406"/>
      <c r="AB203" s="403"/>
      <c r="AC203" s="198"/>
      <c r="AD203" s="219"/>
      <c r="AE203" s="406"/>
      <c r="AF203" s="403"/>
      <c r="AG203" s="198"/>
      <c r="AH203" s="219"/>
      <c r="AI203" s="406"/>
      <c r="AJ203" s="403"/>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6"/>
      <c r="T204" s="403"/>
      <c r="U204" s="198"/>
      <c r="V204" s="219"/>
      <c r="W204" s="406"/>
      <c r="X204" s="403"/>
      <c r="Y204" s="198"/>
      <c r="Z204" s="219"/>
      <c r="AA204" s="406"/>
      <c r="AB204" s="403"/>
      <c r="AC204" s="198"/>
      <c r="AD204" s="219"/>
      <c r="AE204" s="406"/>
      <c r="AF204" s="403"/>
      <c r="AG204" s="198"/>
      <c r="AH204" s="219"/>
      <c r="AI204" s="406"/>
      <c r="AJ204" s="403"/>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6"/>
      <c r="T205" s="403"/>
      <c r="U205" s="198"/>
      <c r="V205" s="219"/>
      <c r="W205" s="406"/>
      <c r="X205" s="403"/>
      <c r="Y205" s="198"/>
      <c r="Z205" s="219"/>
      <c r="AA205" s="406"/>
      <c r="AB205" s="403"/>
      <c r="AC205" s="198"/>
      <c r="AD205" s="219"/>
      <c r="AE205" s="406"/>
      <c r="AF205" s="403"/>
      <c r="AG205" s="198"/>
      <c r="AH205" s="219"/>
      <c r="AI205" s="406"/>
      <c r="AJ205" s="403"/>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6"/>
      <c r="T206" s="403"/>
      <c r="U206" s="198"/>
      <c r="V206" s="219"/>
      <c r="W206" s="406"/>
      <c r="X206" s="403"/>
      <c r="Y206" s="198"/>
      <c r="Z206" s="219"/>
      <c r="AA206" s="406"/>
      <c r="AB206" s="403"/>
      <c r="AC206" s="198"/>
      <c r="AD206" s="219"/>
      <c r="AE206" s="406"/>
      <c r="AF206" s="403"/>
      <c r="AG206" s="198"/>
      <c r="AH206" s="219"/>
      <c r="AI206" s="406"/>
      <c r="AJ206" s="403"/>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6"/>
      <c r="T207" s="403"/>
      <c r="U207" s="198"/>
      <c r="V207" s="219"/>
      <c r="W207" s="406"/>
      <c r="X207" s="403"/>
      <c r="Y207" s="198"/>
      <c r="Z207" s="219"/>
      <c r="AA207" s="406"/>
      <c r="AB207" s="403"/>
      <c r="AC207" s="198"/>
      <c r="AD207" s="219"/>
      <c r="AE207" s="406"/>
      <c r="AF207" s="403"/>
      <c r="AG207" s="198"/>
      <c r="AH207" s="219"/>
      <c r="AI207" s="406"/>
      <c r="AJ207" s="403"/>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6"/>
      <c r="T208" s="403"/>
      <c r="U208" s="198"/>
      <c r="V208" s="219"/>
      <c r="W208" s="406"/>
      <c r="X208" s="403"/>
      <c r="Y208" s="198"/>
      <c r="Z208" s="219"/>
      <c r="AA208" s="406"/>
      <c r="AB208" s="403"/>
      <c r="AC208" s="198"/>
      <c r="AD208" s="219"/>
      <c r="AE208" s="406"/>
      <c r="AF208" s="403"/>
      <c r="AG208" s="198"/>
      <c r="AH208" s="219"/>
      <c r="AI208" s="406"/>
      <c r="AJ208" s="403"/>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6"/>
      <c r="T209" s="403"/>
      <c r="U209" s="198"/>
      <c r="V209" s="219"/>
      <c r="W209" s="406"/>
      <c r="X209" s="403"/>
      <c r="Y209" s="198"/>
      <c r="Z209" s="219"/>
      <c r="AA209" s="406"/>
      <c r="AB209" s="403"/>
      <c r="AC209" s="198"/>
      <c r="AD209" s="219"/>
      <c r="AE209" s="406"/>
      <c r="AF209" s="403"/>
      <c r="AG209" s="198"/>
      <c r="AH209" s="219"/>
      <c r="AI209" s="406"/>
      <c r="AJ209" s="403"/>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6"/>
      <c r="T210" s="403"/>
      <c r="U210" s="198"/>
      <c r="V210" s="219"/>
      <c r="W210" s="406"/>
      <c r="X210" s="403"/>
      <c r="Y210" s="198"/>
      <c r="Z210" s="219"/>
      <c r="AA210" s="406"/>
      <c r="AB210" s="403"/>
      <c r="AC210" s="198"/>
      <c r="AD210" s="219"/>
      <c r="AE210" s="406"/>
      <c r="AF210" s="403"/>
      <c r="AG210" s="198"/>
      <c r="AH210" s="219"/>
      <c r="AI210" s="406"/>
      <c r="AJ210" s="403"/>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6"/>
      <c r="T211" s="403"/>
      <c r="U211" s="198"/>
      <c r="V211" s="219"/>
      <c r="W211" s="406"/>
      <c r="X211" s="403"/>
      <c r="Y211" s="198"/>
      <c r="Z211" s="219"/>
      <c r="AA211" s="406"/>
      <c r="AB211" s="403"/>
      <c r="AC211" s="198"/>
      <c r="AD211" s="219"/>
      <c r="AE211" s="406"/>
      <c r="AF211" s="403"/>
      <c r="AG211" s="198"/>
      <c r="AH211" s="219"/>
      <c r="AI211" s="406"/>
      <c r="AJ211" s="403"/>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6"/>
      <c r="T212" s="403"/>
      <c r="U212" s="198"/>
      <c r="V212" s="219"/>
      <c r="W212" s="406"/>
      <c r="X212" s="403"/>
      <c r="Y212" s="198"/>
      <c r="Z212" s="219"/>
      <c r="AA212" s="406"/>
      <c r="AB212" s="403"/>
      <c r="AC212" s="198"/>
      <c r="AD212" s="219"/>
      <c r="AE212" s="406"/>
      <c r="AF212" s="403"/>
      <c r="AG212" s="198"/>
      <c r="AH212" s="219"/>
      <c r="AI212" s="406"/>
      <c r="AJ212" s="403"/>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6"/>
      <c r="T213" s="403"/>
      <c r="U213" s="198"/>
      <c r="V213" s="219"/>
      <c r="W213" s="406"/>
      <c r="X213" s="403"/>
      <c r="Y213" s="198"/>
      <c r="Z213" s="219"/>
      <c r="AA213" s="406"/>
      <c r="AB213" s="403"/>
      <c r="AC213" s="198"/>
      <c r="AD213" s="219"/>
      <c r="AE213" s="406"/>
      <c r="AF213" s="403"/>
      <c r="AG213" s="198"/>
      <c r="AH213" s="219"/>
      <c r="AI213" s="406"/>
      <c r="AJ213" s="403"/>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6"/>
      <c r="T214" s="403"/>
      <c r="U214" s="198"/>
      <c r="V214" s="219"/>
      <c r="W214" s="406"/>
      <c r="X214" s="403"/>
      <c r="Y214" s="198"/>
      <c r="Z214" s="219"/>
      <c r="AA214" s="406"/>
      <c r="AB214" s="403"/>
      <c r="AC214" s="198"/>
      <c r="AD214" s="219"/>
      <c r="AE214" s="406"/>
      <c r="AF214" s="403"/>
      <c r="AG214" s="198"/>
      <c r="AH214" s="219"/>
      <c r="AI214" s="406"/>
      <c r="AJ214" s="403"/>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6"/>
      <c r="T215" s="403"/>
      <c r="U215" s="198"/>
      <c r="V215" s="219"/>
      <c r="W215" s="406"/>
      <c r="X215" s="403"/>
      <c r="Y215" s="198"/>
      <c r="Z215" s="219"/>
      <c r="AA215" s="406"/>
      <c r="AB215" s="403"/>
      <c r="AC215" s="198"/>
      <c r="AD215" s="219"/>
      <c r="AE215" s="406"/>
      <c r="AF215" s="403"/>
      <c r="AG215" s="198"/>
      <c r="AH215" s="219"/>
      <c r="AI215" s="406"/>
      <c r="AJ215" s="403"/>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6"/>
      <c r="T216" s="403"/>
      <c r="U216" s="198"/>
      <c r="V216" s="219"/>
      <c r="W216" s="406"/>
      <c r="X216" s="403"/>
      <c r="Y216" s="198"/>
      <c r="Z216" s="219"/>
      <c r="AA216" s="406"/>
      <c r="AB216" s="403"/>
      <c r="AC216" s="198"/>
      <c r="AD216" s="219"/>
      <c r="AE216" s="406"/>
      <c r="AF216" s="403"/>
      <c r="AG216" s="198"/>
      <c r="AH216" s="219"/>
      <c r="AI216" s="406"/>
      <c r="AJ216" s="403"/>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6"/>
      <c r="T217" s="403"/>
      <c r="U217" s="198"/>
      <c r="V217" s="219"/>
      <c r="W217" s="406"/>
      <c r="X217" s="403"/>
      <c r="Y217" s="198"/>
      <c r="Z217" s="219"/>
      <c r="AA217" s="406"/>
      <c r="AB217" s="403"/>
      <c r="AC217" s="198"/>
      <c r="AD217" s="219"/>
      <c r="AE217" s="406"/>
      <c r="AF217" s="403"/>
      <c r="AG217" s="198"/>
      <c r="AH217" s="219"/>
      <c r="AI217" s="406"/>
      <c r="AJ217" s="403"/>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6"/>
      <c r="T218" s="403"/>
      <c r="U218" s="198"/>
      <c r="V218" s="219"/>
      <c r="W218" s="406"/>
      <c r="X218" s="403"/>
      <c r="Y218" s="198"/>
      <c r="Z218" s="219"/>
      <c r="AA218" s="406"/>
      <c r="AB218" s="403"/>
      <c r="AC218" s="198"/>
      <c r="AD218" s="219"/>
      <c r="AE218" s="406"/>
      <c r="AF218" s="403"/>
      <c r="AG218" s="198"/>
      <c r="AH218" s="219"/>
      <c r="AI218" s="406"/>
      <c r="AJ218" s="403"/>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6"/>
      <c r="T219" s="403"/>
      <c r="U219" s="198"/>
      <c r="V219" s="219"/>
      <c r="W219" s="406"/>
      <c r="X219" s="403"/>
      <c r="Y219" s="198"/>
      <c r="Z219" s="219"/>
      <c r="AA219" s="406"/>
      <c r="AB219" s="403"/>
      <c r="AC219" s="198"/>
      <c r="AD219" s="219"/>
      <c r="AE219" s="406"/>
      <c r="AF219" s="403"/>
      <c r="AG219" s="198"/>
      <c r="AH219" s="219"/>
      <c r="AI219" s="406"/>
      <c r="AJ219" s="403"/>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6"/>
      <c r="T220" s="403"/>
      <c r="U220" s="198"/>
      <c r="V220" s="219"/>
      <c r="W220" s="406"/>
      <c r="X220" s="403"/>
      <c r="Y220" s="198"/>
      <c r="Z220" s="219"/>
      <c r="AA220" s="406"/>
      <c r="AB220" s="403"/>
      <c r="AC220" s="198"/>
      <c r="AD220" s="219"/>
      <c r="AE220" s="406"/>
      <c r="AF220" s="403"/>
      <c r="AG220" s="198"/>
      <c r="AH220" s="219"/>
      <c r="AI220" s="406"/>
      <c r="AJ220" s="403"/>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6"/>
      <c r="T221" s="403"/>
      <c r="U221" s="198"/>
      <c r="V221" s="219"/>
      <c r="W221" s="406"/>
      <c r="X221" s="403"/>
      <c r="Y221" s="198"/>
      <c r="Z221" s="219"/>
      <c r="AA221" s="406"/>
      <c r="AB221" s="403"/>
      <c r="AC221" s="198"/>
      <c r="AD221" s="219"/>
      <c r="AE221" s="406"/>
      <c r="AF221" s="403"/>
      <c r="AG221" s="198"/>
      <c r="AH221" s="219"/>
      <c r="AI221" s="406"/>
      <c r="AJ221" s="403"/>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6"/>
      <c r="T222" s="403"/>
      <c r="U222" s="198"/>
      <c r="V222" s="219"/>
      <c r="W222" s="406"/>
      <c r="X222" s="403"/>
      <c r="Y222" s="198"/>
      <c r="Z222" s="219"/>
      <c r="AA222" s="406"/>
      <c r="AB222" s="403"/>
      <c r="AC222" s="198"/>
      <c r="AD222" s="219"/>
      <c r="AE222" s="406"/>
      <c r="AF222" s="403"/>
      <c r="AG222" s="198"/>
      <c r="AH222" s="219"/>
      <c r="AI222" s="406"/>
      <c r="AJ222" s="403"/>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6"/>
      <c r="T223" s="403"/>
      <c r="U223" s="198"/>
      <c r="V223" s="219"/>
      <c r="W223" s="406"/>
      <c r="X223" s="403"/>
      <c r="Y223" s="198"/>
      <c r="Z223" s="219"/>
      <c r="AA223" s="406"/>
      <c r="AB223" s="403"/>
      <c r="AC223" s="198"/>
      <c r="AD223" s="219"/>
      <c r="AE223" s="406"/>
      <c r="AF223" s="403"/>
      <c r="AG223" s="198"/>
      <c r="AH223" s="219"/>
      <c r="AI223" s="406"/>
      <c r="AJ223" s="403"/>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6"/>
      <c r="T224" s="403"/>
      <c r="U224" s="198"/>
      <c r="V224" s="219"/>
      <c r="W224" s="406"/>
      <c r="X224" s="403"/>
      <c r="Y224" s="198"/>
      <c r="Z224" s="219"/>
      <c r="AA224" s="406"/>
      <c r="AB224" s="403"/>
      <c r="AC224" s="198"/>
      <c r="AD224" s="219"/>
      <c r="AE224" s="406"/>
      <c r="AF224" s="403"/>
      <c r="AG224" s="198"/>
      <c r="AH224" s="219"/>
      <c r="AI224" s="406"/>
      <c r="AJ224" s="403"/>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6"/>
      <c r="T225" s="403"/>
      <c r="U225" s="198"/>
      <c r="V225" s="219"/>
      <c r="W225" s="406"/>
      <c r="X225" s="403"/>
      <c r="Y225" s="198"/>
      <c r="Z225" s="219"/>
      <c r="AA225" s="406"/>
      <c r="AB225" s="403"/>
      <c r="AC225" s="198"/>
      <c r="AD225" s="219"/>
      <c r="AE225" s="406"/>
      <c r="AF225" s="403"/>
      <c r="AG225" s="198"/>
      <c r="AH225" s="219"/>
      <c r="AI225" s="406"/>
      <c r="AJ225" s="403"/>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6"/>
      <c r="T226" s="403"/>
      <c r="U226" s="198"/>
      <c r="V226" s="219"/>
      <c r="W226" s="406"/>
      <c r="X226" s="403"/>
      <c r="Y226" s="198"/>
      <c r="Z226" s="219"/>
      <c r="AA226" s="406"/>
      <c r="AB226" s="403"/>
      <c r="AC226" s="198"/>
      <c r="AD226" s="219"/>
      <c r="AE226" s="406"/>
      <c r="AF226" s="403"/>
      <c r="AG226" s="198"/>
      <c r="AH226" s="219"/>
      <c r="AI226" s="406"/>
      <c r="AJ226" s="403"/>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6"/>
      <c r="T227" s="403"/>
      <c r="U227" s="198"/>
      <c r="V227" s="219"/>
      <c r="W227" s="406"/>
      <c r="X227" s="403"/>
      <c r="Y227" s="198"/>
      <c r="Z227" s="219"/>
      <c r="AA227" s="406"/>
      <c r="AB227" s="403"/>
      <c r="AC227" s="198"/>
      <c r="AD227" s="219"/>
      <c r="AE227" s="406"/>
      <c r="AF227" s="403"/>
      <c r="AG227" s="198"/>
      <c r="AH227" s="219"/>
      <c r="AI227" s="406"/>
      <c r="AJ227" s="403"/>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6"/>
      <c r="T228" s="403"/>
      <c r="U228" s="198"/>
      <c r="V228" s="219"/>
      <c r="W228" s="406"/>
      <c r="X228" s="403"/>
      <c r="Y228" s="198"/>
      <c r="Z228" s="219"/>
      <c r="AA228" s="406"/>
      <c r="AB228" s="403"/>
      <c r="AC228" s="198"/>
      <c r="AD228" s="219"/>
      <c r="AE228" s="406"/>
      <c r="AF228" s="403"/>
      <c r="AG228" s="198"/>
      <c r="AH228" s="219"/>
      <c r="AI228" s="406"/>
      <c r="AJ228" s="403"/>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6"/>
      <c r="T229" s="403"/>
      <c r="U229" s="198"/>
      <c r="V229" s="219"/>
      <c r="W229" s="406"/>
      <c r="X229" s="403"/>
      <c r="Y229" s="198"/>
      <c r="Z229" s="219"/>
      <c r="AA229" s="406"/>
      <c r="AB229" s="403"/>
      <c r="AC229" s="198"/>
      <c r="AD229" s="219"/>
      <c r="AE229" s="406"/>
      <c r="AF229" s="403"/>
      <c r="AG229" s="198"/>
      <c r="AH229" s="219"/>
      <c r="AI229" s="406"/>
      <c r="AJ229" s="403"/>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6"/>
      <c r="T230" s="403"/>
      <c r="U230" s="198"/>
      <c r="V230" s="219"/>
      <c r="W230" s="406"/>
      <c r="X230" s="403"/>
      <c r="Y230" s="198"/>
      <c r="Z230" s="219"/>
      <c r="AA230" s="406"/>
      <c r="AB230" s="403"/>
      <c r="AC230" s="198"/>
      <c r="AD230" s="219"/>
      <c r="AE230" s="406"/>
      <c r="AF230" s="403"/>
      <c r="AG230" s="198"/>
      <c r="AH230" s="219"/>
      <c r="AI230" s="406"/>
      <c r="AJ230" s="403"/>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6"/>
      <c r="T231" s="403"/>
      <c r="U231" s="198"/>
      <c r="V231" s="219"/>
      <c r="W231" s="406"/>
      <c r="X231" s="403"/>
      <c r="Y231" s="198"/>
      <c r="Z231" s="219"/>
      <c r="AA231" s="406"/>
      <c r="AB231" s="403"/>
      <c r="AC231" s="198"/>
      <c r="AD231" s="219"/>
      <c r="AE231" s="406"/>
      <c r="AF231" s="403"/>
      <c r="AG231" s="198"/>
      <c r="AH231" s="219"/>
      <c r="AI231" s="406"/>
      <c r="AJ231" s="403"/>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6"/>
      <c r="T232" s="403"/>
      <c r="U232" s="198"/>
      <c r="V232" s="219"/>
      <c r="W232" s="406"/>
      <c r="X232" s="403"/>
      <c r="Y232" s="198"/>
      <c r="Z232" s="219"/>
      <c r="AA232" s="406"/>
      <c r="AB232" s="403"/>
      <c r="AC232" s="198"/>
      <c r="AD232" s="219"/>
      <c r="AE232" s="406"/>
      <c r="AF232" s="403"/>
      <c r="AG232" s="198"/>
      <c r="AH232" s="219"/>
      <c r="AI232" s="406"/>
      <c r="AJ232" s="403"/>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6"/>
      <c r="T233" s="403"/>
      <c r="U233" s="198"/>
      <c r="V233" s="219"/>
      <c r="W233" s="406"/>
      <c r="X233" s="403"/>
      <c r="Y233" s="198"/>
      <c r="Z233" s="219"/>
      <c r="AA233" s="406"/>
      <c r="AB233" s="403"/>
      <c r="AC233" s="198"/>
      <c r="AD233" s="219"/>
      <c r="AE233" s="406"/>
      <c r="AF233" s="403"/>
      <c r="AG233" s="198"/>
      <c r="AH233" s="219"/>
      <c r="AI233" s="406"/>
      <c r="AJ233" s="403"/>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6"/>
      <c r="T234" s="403"/>
      <c r="U234" s="198"/>
      <c r="V234" s="219"/>
      <c r="W234" s="406"/>
      <c r="X234" s="403"/>
      <c r="Y234" s="198"/>
      <c r="Z234" s="219"/>
      <c r="AA234" s="406"/>
      <c r="AB234" s="403"/>
      <c r="AC234" s="198"/>
      <c r="AD234" s="219"/>
      <c r="AE234" s="406"/>
      <c r="AF234" s="403"/>
      <c r="AG234" s="198"/>
      <c r="AH234" s="219"/>
      <c r="AI234" s="406"/>
      <c r="AJ234" s="403"/>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6"/>
      <c r="T235" s="403"/>
      <c r="U235" s="198"/>
      <c r="V235" s="219"/>
      <c r="W235" s="406"/>
      <c r="X235" s="403"/>
      <c r="Y235" s="198"/>
      <c r="Z235" s="219"/>
      <c r="AA235" s="406"/>
      <c r="AB235" s="403"/>
      <c r="AC235" s="198"/>
      <c r="AD235" s="219"/>
      <c r="AE235" s="406"/>
      <c r="AF235" s="403"/>
      <c r="AG235" s="198"/>
      <c r="AH235" s="219"/>
      <c r="AI235" s="406"/>
      <c r="AJ235" s="403"/>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6"/>
      <c r="T236" s="403"/>
      <c r="U236" s="198"/>
      <c r="V236" s="219"/>
      <c r="W236" s="406"/>
      <c r="X236" s="403"/>
      <c r="Y236" s="198"/>
      <c r="Z236" s="219"/>
      <c r="AA236" s="406"/>
      <c r="AB236" s="403"/>
      <c r="AC236" s="198"/>
      <c r="AD236" s="219"/>
      <c r="AE236" s="406"/>
      <c r="AF236" s="403"/>
      <c r="AG236" s="198"/>
      <c r="AH236" s="219"/>
      <c r="AI236" s="406"/>
      <c r="AJ236" s="403"/>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6"/>
      <c r="T237" s="403"/>
      <c r="U237" s="198"/>
      <c r="V237" s="219"/>
      <c r="W237" s="406"/>
      <c r="X237" s="403"/>
      <c r="Y237" s="198"/>
      <c r="Z237" s="219"/>
      <c r="AA237" s="406"/>
      <c r="AB237" s="403"/>
      <c r="AC237" s="198"/>
      <c r="AD237" s="219"/>
      <c r="AE237" s="406"/>
      <c r="AF237" s="403"/>
      <c r="AG237" s="198"/>
      <c r="AH237" s="219"/>
      <c r="AI237" s="406"/>
      <c r="AJ237" s="403"/>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6"/>
      <c r="T238" s="403"/>
      <c r="U238" s="198"/>
      <c r="V238" s="219"/>
      <c r="W238" s="406"/>
      <c r="X238" s="403"/>
      <c r="Y238" s="198"/>
      <c r="Z238" s="219"/>
      <c r="AA238" s="406"/>
      <c r="AB238" s="403"/>
      <c r="AC238" s="198"/>
      <c r="AD238" s="219"/>
      <c r="AE238" s="406"/>
      <c r="AF238" s="403"/>
      <c r="AG238" s="198"/>
      <c r="AH238" s="219"/>
      <c r="AI238" s="406"/>
      <c r="AJ238" s="403"/>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6"/>
      <c r="T239" s="403"/>
      <c r="U239" s="198"/>
      <c r="V239" s="219"/>
      <c r="W239" s="406"/>
      <c r="X239" s="403"/>
      <c r="Y239" s="198"/>
      <c r="Z239" s="219"/>
      <c r="AA239" s="406"/>
      <c r="AB239" s="403"/>
      <c r="AC239" s="198"/>
      <c r="AD239" s="219"/>
      <c r="AE239" s="406"/>
      <c r="AF239" s="403"/>
      <c r="AG239" s="198"/>
      <c r="AH239" s="219"/>
      <c r="AI239" s="406"/>
      <c r="AJ239" s="403"/>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6"/>
      <c r="T240" s="403"/>
      <c r="U240" s="198"/>
      <c r="V240" s="219"/>
      <c r="W240" s="406"/>
      <c r="X240" s="403"/>
      <c r="Y240" s="198"/>
      <c r="Z240" s="219"/>
      <c r="AA240" s="406"/>
      <c r="AB240" s="403"/>
      <c r="AC240" s="198"/>
      <c r="AD240" s="219"/>
      <c r="AE240" s="406"/>
      <c r="AF240" s="403"/>
      <c r="AG240" s="198"/>
      <c r="AH240" s="219"/>
      <c r="AI240" s="406"/>
      <c r="AJ240" s="403"/>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6"/>
      <c r="T241" s="403"/>
      <c r="U241" s="198"/>
      <c r="V241" s="219"/>
      <c r="W241" s="406"/>
      <c r="X241" s="403"/>
      <c r="Y241" s="198"/>
      <c r="Z241" s="219"/>
      <c r="AA241" s="406"/>
      <c r="AB241" s="403"/>
      <c r="AC241" s="198"/>
      <c r="AD241" s="219"/>
      <c r="AE241" s="406"/>
      <c r="AF241" s="403"/>
      <c r="AG241" s="198"/>
      <c r="AH241" s="219"/>
      <c r="AI241" s="406"/>
      <c r="AJ241" s="403"/>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6"/>
      <c r="T242" s="403"/>
      <c r="U242" s="198"/>
      <c r="V242" s="219"/>
      <c r="W242" s="406"/>
      <c r="X242" s="403"/>
      <c r="Y242" s="198"/>
      <c r="Z242" s="219"/>
      <c r="AA242" s="406"/>
      <c r="AB242" s="403"/>
      <c r="AC242" s="198"/>
      <c r="AD242" s="219"/>
      <c r="AE242" s="406"/>
      <c r="AF242" s="403"/>
      <c r="AG242" s="198"/>
      <c r="AH242" s="219"/>
      <c r="AI242" s="406"/>
      <c r="AJ242" s="403"/>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6"/>
      <c r="T243" s="403"/>
      <c r="U243" s="198"/>
      <c r="V243" s="219"/>
      <c r="W243" s="406"/>
      <c r="X243" s="403"/>
      <c r="Y243" s="198"/>
      <c r="Z243" s="219"/>
      <c r="AA243" s="406"/>
      <c r="AB243" s="403"/>
      <c r="AC243" s="198"/>
      <c r="AD243" s="219"/>
      <c r="AE243" s="406"/>
      <c r="AF243" s="403"/>
      <c r="AG243" s="198"/>
      <c r="AH243" s="219"/>
      <c r="AI243" s="406"/>
      <c r="AJ243" s="403"/>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6"/>
      <c r="T244" s="403"/>
      <c r="U244" s="198"/>
      <c r="V244" s="219"/>
      <c r="W244" s="406"/>
      <c r="X244" s="403"/>
      <c r="Y244" s="198"/>
      <c r="Z244" s="219"/>
      <c r="AA244" s="406"/>
      <c r="AB244" s="403"/>
      <c r="AC244" s="198"/>
      <c r="AD244" s="219"/>
      <c r="AE244" s="406"/>
      <c r="AF244" s="403"/>
      <c r="AG244" s="198"/>
      <c r="AH244" s="219"/>
      <c r="AI244" s="406"/>
      <c r="AJ244" s="403"/>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6"/>
      <c r="T245" s="403"/>
      <c r="U245" s="198"/>
      <c r="V245" s="219"/>
      <c r="W245" s="406"/>
      <c r="X245" s="403"/>
      <c r="Y245" s="198"/>
      <c r="Z245" s="219"/>
      <c r="AA245" s="406"/>
      <c r="AB245" s="403"/>
      <c r="AC245" s="198"/>
      <c r="AD245" s="219"/>
      <c r="AE245" s="406"/>
      <c r="AF245" s="403"/>
      <c r="AG245" s="198"/>
      <c r="AH245" s="219"/>
      <c r="AI245" s="406"/>
      <c r="AJ245" s="403"/>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6"/>
      <c r="T246" s="403"/>
      <c r="U246" s="198"/>
      <c r="V246" s="219"/>
      <c r="W246" s="406"/>
      <c r="X246" s="403"/>
      <c r="Y246" s="198"/>
      <c r="Z246" s="219"/>
      <c r="AA246" s="406"/>
      <c r="AB246" s="403"/>
      <c r="AC246" s="198"/>
      <c r="AD246" s="219"/>
      <c r="AE246" s="406"/>
      <c r="AF246" s="403"/>
      <c r="AG246" s="198"/>
      <c r="AH246" s="219"/>
      <c r="AI246" s="406"/>
      <c r="AJ246" s="403"/>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6"/>
      <c r="T247" s="403"/>
      <c r="U247" s="198"/>
      <c r="V247" s="219"/>
      <c r="W247" s="406"/>
      <c r="X247" s="403"/>
      <c r="Y247" s="198"/>
      <c r="Z247" s="219"/>
      <c r="AA247" s="406"/>
      <c r="AB247" s="403"/>
      <c r="AC247" s="198"/>
      <c r="AD247" s="219"/>
      <c r="AE247" s="406"/>
      <c r="AF247" s="403"/>
      <c r="AG247" s="198"/>
      <c r="AH247" s="219"/>
      <c r="AI247" s="406"/>
      <c r="AJ247" s="403"/>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6"/>
      <c r="T248" s="403"/>
      <c r="U248" s="198"/>
      <c r="V248" s="219"/>
      <c r="W248" s="406"/>
      <c r="X248" s="403"/>
      <c r="Y248" s="198"/>
      <c r="Z248" s="219"/>
      <c r="AA248" s="406"/>
      <c r="AB248" s="403"/>
      <c r="AC248" s="198"/>
      <c r="AD248" s="219"/>
      <c r="AE248" s="406"/>
      <c r="AF248" s="403"/>
      <c r="AG248" s="198"/>
      <c r="AH248" s="219"/>
      <c r="AI248" s="406"/>
      <c r="AJ248" s="403"/>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6"/>
      <c r="T249" s="403"/>
      <c r="U249" s="198"/>
      <c r="V249" s="219"/>
      <c r="W249" s="406"/>
      <c r="X249" s="403"/>
      <c r="Y249" s="198"/>
      <c r="Z249" s="219"/>
      <c r="AA249" s="406"/>
      <c r="AB249" s="403"/>
      <c r="AC249" s="198"/>
      <c r="AD249" s="219"/>
      <c r="AE249" s="406"/>
      <c r="AF249" s="403"/>
      <c r="AG249" s="198"/>
      <c r="AH249" s="219"/>
      <c r="AI249" s="406"/>
      <c r="AJ249" s="403"/>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6"/>
      <c r="T250" s="403"/>
      <c r="U250" s="198"/>
      <c r="V250" s="219"/>
      <c r="W250" s="406"/>
      <c r="X250" s="403"/>
      <c r="Y250" s="198"/>
      <c r="Z250" s="219"/>
      <c r="AA250" s="406"/>
      <c r="AB250" s="403"/>
      <c r="AC250" s="198"/>
      <c r="AD250" s="219"/>
      <c r="AE250" s="406"/>
      <c r="AF250" s="403"/>
      <c r="AG250" s="198"/>
      <c r="AH250" s="219"/>
      <c r="AI250" s="406"/>
      <c r="AJ250" s="403"/>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6"/>
      <c r="T251" s="403"/>
      <c r="U251" s="198"/>
      <c r="V251" s="219"/>
      <c r="W251" s="406"/>
      <c r="X251" s="403"/>
      <c r="Y251" s="198"/>
      <c r="Z251" s="219"/>
      <c r="AA251" s="406"/>
      <c r="AB251" s="403"/>
      <c r="AC251" s="198"/>
      <c r="AD251" s="219"/>
      <c r="AE251" s="406"/>
      <c r="AF251" s="403"/>
      <c r="AG251" s="198"/>
      <c r="AH251" s="219"/>
      <c r="AI251" s="406"/>
      <c r="AJ251" s="403"/>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6"/>
      <c r="T252" s="403"/>
      <c r="U252" s="198"/>
      <c r="V252" s="219"/>
      <c r="W252" s="406"/>
      <c r="X252" s="403"/>
      <c r="Y252" s="198"/>
      <c r="Z252" s="219"/>
      <c r="AA252" s="406"/>
      <c r="AB252" s="403"/>
      <c r="AC252" s="198"/>
      <c r="AD252" s="219"/>
      <c r="AE252" s="406"/>
      <c r="AF252" s="403"/>
      <c r="AG252" s="198"/>
      <c r="AH252" s="219"/>
      <c r="AI252" s="406"/>
      <c r="AJ252" s="403"/>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6"/>
      <c r="T253" s="403"/>
      <c r="U253" s="198"/>
      <c r="V253" s="219"/>
      <c r="W253" s="406"/>
      <c r="X253" s="403"/>
      <c r="Y253" s="198"/>
      <c r="Z253" s="219"/>
      <c r="AA253" s="406"/>
      <c r="AB253" s="403"/>
      <c r="AC253" s="198"/>
      <c r="AD253" s="219"/>
      <c r="AE253" s="406"/>
      <c r="AF253" s="403"/>
      <c r="AG253" s="198"/>
      <c r="AH253" s="219"/>
      <c r="AI253" s="406"/>
      <c r="AJ253" s="403"/>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6"/>
      <c r="T254" s="403"/>
      <c r="U254" s="198"/>
      <c r="V254" s="219"/>
      <c r="W254" s="406"/>
      <c r="X254" s="403"/>
      <c r="Y254" s="198"/>
      <c r="Z254" s="219"/>
      <c r="AA254" s="406"/>
      <c r="AB254" s="403"/>
      <c r="AC254" s="198"/>
      <c r="AD254" s="219"/>
      <c r="AE254" s="406"/>
      <c r="AF254" s="403"/>
      <c r="AG254" s="198"/>
      <c r="AH254" s="219"/>
      <c r="AI254" s="406"/>
      <c r="AJ254" s="403"/>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6"/>
      <c r="T255" s="403"/>
      <c r="U255" s="198"/>
      <c r="V255" s="219"/>
      <c r="W255" s="406"/>
      <c r="X255" s="403"/>
      <c r="Y255" s="198"/>
      <c r="Z255" s="219"/>
      <c r="AA255" s="406"/>
      <c r="AB255" s="403"/>
      <c r="AC255" s="198"/>
      <c r="AD255" s="219"/>
      <c r="AE255" s="406"/>
      <c r="AF255" s="403"/>
      <c r="AG255" s="198"/>
      <c r="AH255" s="219"/>
      <c r="AI255" s="406"/>
      <c r="AJ255" s="403"/>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6"/>
      <c r="T256" s="403"/>
      <c r="U256" s="198"/>
      <c r="V256" s="219"/>
      <c r="W256" s="406"/>
      <c r="X256" s="403"/>
      <c r="Y256" s="198"/>
      <c r="Z256" s="219"/>
      <c r="AA256" s="406"/>
      <c r="AB256" s="403"/>
      <c r="AC256" s="198"/>
      <c r="AD256" s="219"/>
      <c r="AE256" s="406"/>
      <c r="AF256" s="403"/>
      <c r="AG256" s="198"/>
      <c r="AH256" s="219"/>
      <c r="AI256" s="406"/>
      <c r="AJ256" s="403"/>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6"/>
      <c r="T257" s="403"/>
      <c r="U257" s="198"/>
      <c r="V257" s="219"/>
      <c r="W257" s="406"/>
      <c r="X257" s="403"/>
      <c r="Y257" s="198"/>
      <c r="Z257" s="219"/>
      <c r="AA257" s="406"/>
      <c r="AB257" s="403"/>
      <c r="AC257" s="198"/>
      <c r="AD257" s="219"/>
      <c r="AE257" s="406"/>
      <c r="AF257" s="403"/>
      <c r="AG257" s="198"/>
      <c r="AH257" s="219"/>
      <c r="AI257" s="406"/>
      <c r="AJ257" s="403"/>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6"/>
      <c r="T258" s="403"/>
      <c r="U258" s="198"/>
      <c r="V258" s="219"/>
      <c r="W258" s="406"/>
      <c r="X258" s="403"/>
      <c r="Y258" s="198"/>
      <c r="Z258" s="219"/>
      <c r="AA258" s="406"/>
      <c r="AB258" s="403"/>
      <c r="AC258" s="198"/>
      <c r="AD258" s="219"/>
      <c r="AE258" s="406"/>
      <c r="AF258" s="403"/>
      <c r="AG258" s="198"/>
      <c r="AH258" s="219"/>
      <c r="AI258" s="406"/>
      <c r="AJ258" s="403"/>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6"/>
      <c r="T259" s="403"/>
      <c r="U259" s="198"/>
      <c r="V259" s="219"/>
      <c r="W259" s="406"/>
      <c r="X259" s="403"/>
      <c r="Y259" s="198"/>
      <c r="Z259" s="219"/>
      <c r="AA259" s="406"/>
      <c r="AB259" s="403"/>
      <c r="AC259" s="198"/>
      <c r="AD259" s="219"/>
      <c r="AE259" s="406"/>
      <c r="AF259" s="403"/>
      <c r="AG259" s="198"/>
      <c r="AH259" s="219"/>
      <c r="AI259" s="406"/>
      <c r="AJ259" s="403"/>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6"/>
      <c r="T260" s="403"/>
      <c r="U260" s="198"/>
      <c r="V260" s="219"/>
      <c r="W260" s="406"/>
      <c r="X260" s="403"/>
      <c r="Y260" s="198"/>
      <c r="Z260" s="219"/>
      <c r="AA260" s="406"/>
      <c r="AB260" s="403"/>
      <c r="AC260" s="198"/>
      <c r="AD260" s="219"/>
      <c r="AE260" s="406"/>
      <c r="AF260" s="403"/>
      <c r="AG260" s="198"/>
      <c r="AH260" s="219"/>
      <c r="AI260" s="406"/>
      <c r="AJ260" s="403"/>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6"/>
      <c r="T261" s="403"/>
      <c r="U261" s="198"/>
      <c r="V261" s="219"/>
      <c r="W261" s="406"/>
      <c r="X261" s="403"/>
      <c r="Y261" s="198"/>
      <c r="Z261" s="219"/>
      <c r="AA261" s="406"/>
      <c r="AB261" s="403"/>
      <c r="AC261" s="198"/>
      <c r="AD261" s="219"/>
      <c r="AE261" s="406"/>
      <c r="AF261" s="403"/>
      <c r="AG261" s="198"/>
      <c r="AH261" s="219"/>
      <c r="AI261" s="406"/>
      <c r="AJ261" s="403"/>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6"/>
      <c r="T262" s="403"/>
      <c r="U262" s="198"/>
      <c r="V262" s="219"/>
      <c r="W262" s="406"/>
      <c r="X262" s="403"/>
      <c r="Y262" s="198"/>
      <c r="Z262" s="219"/>
      <c r="AA262" s="406"/>
      <c r="AB262" s="403"/>
      <c r="AC262" s="198"/>
      <c r="AD262" s="219"/>
      <c r="AE262" s="406"/>
      <c r="AF262" s="403"/>
      <c r="AG262" s="198"/>
      <c r="AH262" s="219"/>
      <c r="AI262" s="406"/>
      <c r="AJ262" s="403"/>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6"/>
      <c r="T263" s="403"/>
      <c r="U263" s="198"/>
      <c r="V263" s="219"/>
      <c r="W263" s="406"/>
      <c r="X263" s="403"/>
      <c r="Y263" s="198"/>
      <c r="Z263" s="219"/>
      <c r="AA263" s="406"/>
      <c r="AB263" s="403"/>
      <c r="AC263" s="198"/>
      <c r="AD263" s="219"/>
      <c r="AE263" s="406"/>
      <c r="AF263" s="403"/>
      <c r="AG263" s="198"/>
      <c r="AH263" s="219"/>
      <c r="AI263" s="406"/>
      <c r="AJ263" s="403"/>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6"/>
      <c r="T264" s="403"/>
      <c r="U264" s="198"/>
      <c r="V264" s="219"/>
      <c r="W264" s="406"/>
      <c r="X264" s="403"/>
      <c r="Y264" s="198"/>
      <c r="Z264" s="219"/>
      <c r="AA264" s="406"/>
      <c r="AB264" s="403"/>
      <c r="AC264" s="198"/>
      <c r="AD264" s="219"/>
      <c r="AE264" s="406"/>
      <c r="AF264" s="403"/>
      <c r="AG264" s="198"/>
      <c r="AH264" s="219"/>
      <c r="AI264" s="406"/>
      <c r="AJ264" s="403"/>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6"/>
      <c r="T265" s="403"/>
      <c r="U265" s="198"/>
      <c r="V265" s="219"/>
      <c r="W265" s="406"/>
      <c r="X265" s="403"/>
      <c r="Y265" s="198"/>
      <c r="Z265" s="219"/>
      <c r="AA265" s="406"/>
      <c r="AB265" s="403"/>
      <c r="AC265" s="198"/>
      <c r="AD265" s="219"/>
      <c r="AE265" s="406"/>
      <c r="AF265" s="403"/>
      <c r="AG265" s="198"/>
      <c r="AH265" s="219"/>
      <c r="AI265" s="406"/>
      <c r="AJ265" s="403"/>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6"/>
      <c r="T266" s="403"/>
      <c r="U266" s="198"/>
      <c r="V266" s="219"/>
      <c r="W266" s="406"/>
      <c r="X266" s="403"/>
      <c r="Y266" s="198"/>
      <c r="Z266" s="219"/>
      <c r="AA266" s="406"/>
      <c r="AB266" s="403"/>
      <c r="AC266" s="198"/>
      <c r="AD266" s="219"/>
      <c r="AE266" s="406"/>
      <c r="AF266" s="403"/>
      <c r="AG266" s="198"/>
      <c r="AH266" s="219"/>
      <c r="AI266" s="406"/>
      <c r="AJ266" s="403"/>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6"/>
      <c r="T267" s="403"/>
      <c r="U267" s="198"/>
      <c r="V267" s="219"/>
      <c r="W267" s="406"/>
      <c r="X267" s="403"/>
      <c r="Y267" s="198"/>
      <c r="Z267" s="219"/>
      <c r="AA267" s="406"/>
      <c r="AB267" s="403"/>
      <c r="AC267" s="198"/>
      <c r="AD267" s="219"/>
      <c r="AE267" s="406"/>
      <c r="AF267" s="403"/>
      <c r="AG267" s="198"/>
      <c r="AH267" s="219"/>
      <c r="AI267" s="406"/>
      <c r="AJ267" s="403"/>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6"/>
      <c r="T268" s="403"/>
      <c r="U268" s="198"/>
      <c r="V268" s="219"/>
      <c r="W268" s="406"/>
      <c r="X268" s="403"/>
      <c r="Y268" s="198"/>
      <c r="Z268" s="219"/>
      <c r="AA268" s="406"/>
      <c r="AB268" s="403"/>
      <c r="AC268" s="198"/>
      <c r="AD268" s="219"/>
      <c r="AE268" s="406"/>
      <c r="AF268" s="403"/>
      <c r="AG268" s="198"/>
      <c r="AH268" s="219"/>
      <c r="AI268" s="406"/>
      <c r="AJ268" s="403"/>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6"/>
      <c r="T269" s="403"/>
      <c r="U269" s="198"/>
      <c r="V269" s="219"/>
      <c r="W269" s="406"/>
      <c r="X269" s="403"/>
      <c r="Y269" s="198"/>
      <c r="Z269" s="219"/>
      <c r="AA269" s="406"/>
      <c r="AB269" s="403"/>
      <c r="AC269" s="198"/>
      <c r="AD269" s="219"/>
      <c r="AE269" s="406"/>
      <c r="AF269" s="403"/>
      <c r="AG269" s="198"/>
      <c r="AH269" s="219"/>
      <c r="AI269" s="406"/>
      <c r="AJ269" s="403"/>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6"/>
      <c r="T270" s="403"/>
      <c r="U270" s="198"/>
      <c r="V270" s="219"/>
      <c r="W270" s="406"/>
      <c r="X270" s="403"/>
      <c r="Y270" s="198"/>
      <c r="Z270" s="219"/>
      <c r="AA270" s="406"/>
      <c r="AB270" s="403"/>
      <c r="AC270" s="198"/>
      <c r="AD270" s="219"/>
      <c r="AE270" s="406"/>
      <c r="AF270" s="403"/>
      <c r="AG270" s="198"/>
      <c r="AH270" s="219"/>
      <c r="AI270" s="406"/>
      <c r="AJ270" s="403"/>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6"/>
      <c r="T271" s="403"/>
      <c r="U271" s="198"/>
      <c r="V271" s="219"/>
      <c r="W271" s="406"/>
      <c r="X271" s="403"/>
      <c r="Y271" s="198"/>
      <c r="Z271" s="219"/>
      <c r="AA271" s="406"/>
      <c r="AB271" s="403"/>
      <c r="AC271" s="198"/>
      <c r="AD271" s="219"/>
      <c r="AE271" s="406"/>
      <c r="AF271" s="403"/>
      <c r="AG271" s="198"/>
      <c r="AH271" s="219"/>
      <c r="AI271" s="406"/>
      <c r="AJ271" s="403"/>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6"/>
      <c r="T272" s="403"/>
      <c r="U272" s="198"/>
      <c r="V272" s="219"/>
      <c r="W272" s="406"/>
      <c r="X272" s="403"/>
      <c r="Y272" s="198"/>
      <c r="Z272" s="219"/>
      <c r="AA272" s="406"/>
      <c r="AB272" s="403"/>
      <c r="AC272" s="198"/>
      <c r="AD272" s="219"/>
      <c r="AE272" s="406"/>
      <c r="AF272" s="403"/>
      <c r="AG272" s="198"/>
      <c r="AH272" s="219"/>
      <c r="AI272" s="406"/>
      <c r="AJ272" s="403"/>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6"/>
      <c r="T273" s="403"/>
      <c r="U273" s="198"/>
      <c r="V273" s="219"/>
      <c r="W273" s="406"/>
      <c r="X273" s="403"/>
      <c r="Y273" s="198"/>
      <c r="Z273" s="219"/>
      <c r="AA273" s="406"/>
      <c r="AB273" s="403"/>
      <c r="AC273" s="198"/>
      <c r="AD273" s="219"/>
      <c r="AE273" s="406"/>
      <c r="AF273" s="403"/>
      <c r="AG273" s="198"/>
      <c r="AH273" s="219"/>
      <c r="AI273" s="406"/>
      <c r="AJ273" s="403"/>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6"/>
      <c r="T274" s="403"/>
      <c r="U274" s="198"/>
      <c r="V274" s="219"/>
      <c r="W274" s="406"/>
      <c r="X274" s="403"/>
      <c r="Y274" s="198"/>
      <c r="Z274" s="219"/>
      <c r="AA274" s="406"/>
      <c r="AB274" s="403"/>
      <c r="AC274" s="198"/>
      <c r="AD274" s="219"/>
      <c r="AE274" s="406"/>
      <c r="AF274" s="403"/>
      <c r="AG274" s="198"/>
      <c r="AH274" s="219"/>
      <c r="AI274" s="406"/>
      <c r="AJ274" s="403"/>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6"/>
      <c r="T275" s="403"/>
      <c r="U275" s="198"/>
      <c r="V275" s="219"/>
      <c r="W275" s="406"/>
      <c r="X275" s="403"/>
      <c r="Y275" s="198"/>
      <c r="Z275" s="219"/>
      <c r="AA275" s="406"/>
      <c r="AB275" s="403"/>
      <c r="AC275" s="198"/>
      <c r="AD275" s="219"/>
      <c r="AE275" s="406"/>
      <c r="AF275" s="403"/>
      <c r="AG275" s="198"/>
      <c r="AH275" s="219"/>
      <c r="AI275" s="406"/>
      <c r="AJ275" s="403"/>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6"/>
      <c r="T276" s="403"/>
      <c r="U276" s="198"/>
      <c r="V276" s="219"/>
      <c r="W276" s="406"/>
      <c r="X276" s="403"/>
      <c r="Y276" s="198"/>
      <c r="Z276" s="219"/>
      <c r="AA276" s="406"/>
      <c r="AB276" s="403"/>
      <c r="AC276" s="198"/>
      <c r="AD276" s="219"/>
      <c r="AE276" s="406"/>
      <c r="AF276" s="403"/>
      <c r="AG276" s="198"/>
      <c r="AH276" s="219"/>
      <c r="AI276" s="406"/>
      <c r="AJ276" s="403"/>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6"/>
      <c r="T277" s="403"/>
      <c r="U277" s="198"/>
      <c r="V277" s="219"/>
      <c r="W277" s="406"/>
      <c r="X277" s="403"/>
      <c r="Y277" s="198"/>
      <c r="Z277" s="219"/>
      <c r="AA277" s="406"/>
      <c r="AB277" s="403"/>
      <c r="AC277" s="198"/>
      <c r="AD277" s="219"/>
      <c r="AE277" s="406"/>
      <c r="AF277" s="403"/>
      <c r="AG277" s="198"/>
      <c r="AH277" s="219"/>
      <c r="AI277" s="406"/>
      <c r="AJ277" s="403"/>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6"/>
      <c r="T278" s="403"/>
      <c r="U278" s="198"/>
      <c r="V278" s="219"/>
      <c r="W278" s="406"/>
      <c r="X278" s="403"/>
      <c r="Y278" s="198"/>
      <c r="Z278" s="219"/>
      <c r="AA278" s="406"/>
      <c r="AB278" s="403"/>
      <c r="AC278" s="198"/>
      <c r="AD278" s="219"/>
      <c r="AE278" s="406"/>
      <c r="AF278" s="403"/>
      <c r="AG278" s="198"/>
      <c r="AH278" s="219"/>
      <c r="AI278" s="406"/>
      <c r="AJ278" s="403"/>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6"/>
      <c r="T279" s="403"/>
      <c r="U279" s="198"/>
      <c r="V279" s="219"/>
      <c r="W279" s="406"/>
      <c r="X279" s="403"/>
      <c r="Y279" s="198"/>
      <c r="Z279" s="219"/>
      <c r="AA279" s="406"/>
      <c r="AB279" s="403"/>
      <c r="AC279" s="198"/>
      <c r="AD279" s="219"/>
      <c r="AE279" s="406"/>
      <c r="AF279" s="403"/>
      <c r="AG279" s="198"/>
      <c r="AH279" s="219"/>
      <c r="AI279" s="406"/>
      <c r="AJ279" s="403"/>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6"/>
      <c r="T280" s="403"/>
      <c r="U280" s="198"/>
      <c r="V280" s="219"/>
      <c r="W280" s="406"/>
      <c r="X280" s="403"/>
      <c r="Y280" s="198"/>
      <c r="Z280" s="219"/>
      <c r="AA280" s="406"/>
      <c r="AB280" s="403"/>
      <c r="AC280" s="198"/>
      <c r="AD280" s="219"/>
      <c r="AE280" s="406"/>
      <c r="AF280" s="403"/>
      <c r="AG280" s="198"/>
      <c r="AH280" s="219"/>
      <c r="AI280" s="406"/>
      <c r="AJ280" s="403"/>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6"/>
      <c r="T281" s="403"/>
      <c r="U281" s="198"/>
      <c r="V281" s="219"/>
      <c r="W281" s="406"/>
      <c r="X281" s="403"/>
      <c r="Y281" s="198"/>
      <c r="Z281" s="219"/>
      <c r="AA281" s="406"/>
      <c r="AB281" s="403"/>
      <c r="AC281" s="198"/>
      <c r="AD281" s="219"/>
      <c r="AE281" s="406"/>
      <c r="AF281" s="403"/>
      <c r="AG281" s="198"/>
      <c r="AH281" s="219"/>
      <c r="AI281" s="406"/>
      <c r="AJ281" s="403"/>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6"/>
      <c r="T282" s="403"/>
      <c r="U282" s="198"/>
      <c r="V282" s="219"/>
      <c r="W282" s="406"/>
      <c r="X282" s="403"/>
      <c r="Y282" s="198"/>
      <c r="Z282" s="219"/>
      <c r="AA282" s="406"/>
      <c r="AB282" s="403"/>
      <c r="AC282" s="198"/>
      <c r="AD282" s="219"/>
      <c r="AE282" s="406"/>
      <c r="AF282" s="403"/>
      <c r="AG282" s="198"/>
      <c r="AH282" s="219"/>
      <c r="AI282" s="406"/>
      <c r="AJ282" s="403"/>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6"/>
      <c r="T283" s="403"/>
      <c r="U283" s="198"/>
      <c r="V283" s="219"/>
      <c r="W283" s="406"/>
      <c r="X283" s="403"/>
      <c r="Y283" s="198"/>
      <c r="Z283" s="219"/>
      <c r="AA283" s="406"/>
      <c r="AB283" s="403"/>
      <c r="AC283" s="198"/>
      <c r="AD283" s="219"/>
      <c r="AE283" s="406"/>
      <c r="AF283" s="403"/>
      <c r="AG283" s="200"/>
      <c r="AH283" s="219"/>
      <c r="AI283" s="406"/>
      <c r="AJ283" s="403"/>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6"/>
      <c r="T284" s="403"/>
      <c r="U284" s="198"/>
      <c r="V284" s="219"/>
      <c r="W284" s="406"/>
      <c r="X284" s="403"/>
      <c r="Y284" s="198"/>
      <c r="Z284" s="219"/>
      <c r="AA284" s="406"/>
      <c r="AB284" s="403"/>
      <c r="AC284" s="198"/>
      <c r="AD284" s="219"/>
      <c r="AE284" s="406"/>
      <c r="AF284" s="403"/>
      <c r="AG284" s="200"/>
      <c r="AH284" s="219"/>
      <c r="AI284" s="406"/>
      <c r="AJ284" s="403"/>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6"/>
      <c r="T285" s="403"/>
      <c r="U285" s="198"/>
      <c r="V285" s="219"/>
      <c r="W285" s="406"/>
      <c r="X285" s="403"/>
      <c r="Y285" s="198"/>
      <c r="Z285" s="219"/>
      <c r="AA285" s="406"/>
      <c r="AB285" s="403"/>
      <c r="AC285" s="198"/>
      <c r="AD285" s="219"/>
      <c r="AE285" s="406"/>
      <c r="AF285" s="403"/>
      <c r="AG285" s="200"/>
      <c r="AH285" s="219"/>
      <c r="AI285" s="406"/>
      <c r="AJ285" s="403"/>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6"/>
      <c r="T286" s="403"/>
      <c r="U286" s="198"/>
      <c r="V286" s="219"/>
      <c r="W286" s="406"/>
      <c r="X286" s="403"/>
      <c r="Y286" s="198"/>
      <c r="Z286" s="219"/>
      <c r="AA286" s="406"/>
      <c r="AB286" s="403"/>
      <c r="AC286" s="198"/>
      <c r="AD286" s="219"/>
      <c r="AE286" s="406"/>
      <c r="AF286" s="403"/>
      <c r="AG286" s="200"/>
      <c r="AH286" s="219"/>
      <c r="AI286" s="406"/>
      <c r="AJ286" s="403"/>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6"/>
      <c r="T287" s="403"/>
      <c r="U287" s="198"/>
      <c r="V287" s="219"/>
      <c r="W287" s="406"/>
      <c r="X287" s="403"/>
      <c r="Y287" s="198"/>
      <c r="Z287" s="219"/>
      <c r="AA287" s="406"/>
      <c r="AB287" s="403"/>
      <c r="AC287" s="198"/>
      <c r="AD287" s="219"/>
      <c r="AE287" s="406"/>
      <c r="AF287" s="403"/>
      <c r="AG287" s="200"/>
      <c r="AH287" s="219"/>
      <c r="AI287" s="406"/>
      <c r="AJ287" s="403"/>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6"/>
      <c r="T288" s="403"/>
      <c r="U288" s="198"/>
      <c r="V288" s="219"/>
      <c r="W288" s="406"/>
      <c r="X288" s="403"/>
      <c r="Y288" s="198"/>
      <c r="Z288" s="219"/>
      <c r="AA288" s="406"/>
      <c r="AB288" s="403"/>
      <c r="AC288" s="198"/>
      <c r="AD288" s="219"/>
      <c r="AE288" s="406"/>
      <c r="AF288" s="403"/>
      <c r="AG288" s="200"/>
      <c r="AH288" s="219"/>
      <c r="AI288" s="406"/>
      <c r="AJ288" s="403"/>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6"/>
      <c r="T289" s="403"/>
      <c r="U289" s="198"/>
      <c r="V289" s="219"/>
      <c r="W289" s="406"/>
      <c r="X289" s="403"/>
      <c r="Y289" s="198"/>
      <c r="Z289" s="219"/>
      <c r="AA289" s="406"/>
      <c r="AB289" s="403"/>
      <c r="AC289" s="198"/>
      <c r="AD289" s="219"/>
      <c r="AE289" s="406"/>
      <c r="AF289" s="403"/>
      <c r="AG289" s="200"/>
      <c r="AH289" s="219"/>
      <c r="AI289" s="406"/>
      <c r="AJ289" s="403"/>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6"/>
      <c r="T290" s="403"/>
      <c r="U290" s="198"/>
      <c r="V290" s="219"/>
      <c r="W290" s="406"/>
      <c r="X290" s="403"/>
      <c r="Y290" s="198"/>
      <c r="Z290" s="219"/>
      <c r="AA290" s="406"/>
      <c r="AB290" s="403"/>
      <c r="AC290" s="198"/>
      <c r="AD290" s="219"/>
      <c r="AE290" s="406"/>
      <c r="AF290" s="403"/>
      <c r="AG290" s="200"/>
      <c r="AH290" s="219"/>
      <c r="AI290" s="406"/>
      <c r="AJ290" s="403"/>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6"/>
      <c r="T291" s="403"/>
      <c r="U291" s="198"/>
      <c r="V291" s="219"/>
      <c r="W291" s="406"/>
      <c r="X291" s="403"/>
      <c r="Y291" s="198"/>
      <c r="Z291" s="219"/>
      <c r="AA291" s="406"/>
      <c r="AB291" s="403"/>
      <c r="AC291" s="198"/>
      <c r="AD291" s="219"/>
      <c r="AE291" s="406"/>
      <c r="AF291" s="403"/>
      <c r="AG291" s="200"/>
      <c r="AH291" s="219"/>
      <c r="AI291" s="406"/>
      <c r="AJ291" s="403"/>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6"/>
      <c r="T292" s="403"/>
      <c r="U292" s="198"/>
      <c r="V292" s="219"/>
      <c r="W292" s="406"/>
      <c r="X292" s="403"/>
      <c r="Y292" s="198"/>
      <c r="Z292" s="219"/>
      <c r="AA292" s="406"/>
      <c r="AB292" s="403"/>
      <c r="AC292" s="198"/>
      <c r="AD292" s="219"/>
      <c r="AE292" s="406"/>
      <c r="AF292" s="403"/>
      <c r="AG292" s="200"/>
      <c r="AH292" s="219"/>
      <c r="AI292" s="406"/>
      <c r="AJ292" s="403"/>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6"/>
      <c r="T293" s="403"/>
      <c r="U293" s="198"/>
      <c r="V293" s="219"/>
      <c r="W293" s="406"/>
      <c r="X293" s="403"/>
      <c r="Y293" s="198"/>
      <c r="Z293" s="219"/>
      <c r="AA293" s="406"/>
      <c r="AB293" s="403"/>
      <c r="AC293" s="198"/>
      <c r="AD293" s="219"/>
      <c r="AE293" s="406"/>
      <c r="AF293" s="403"/>
      <c r="AG293" s="200"/>
      <c r="AH293" s="219"/>
      <c r="AI293" s="406"/>
      <c r="AJ293" s="403"/>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6"/>
      <c r="T294" s="403"/>
      <c r="U294" s="198"/>
      <c r="V294" s="219"/>
      <c r="W294" s="406"/>
      <c r="X294" s="403"/>
      <c r="Y294" s="198"/>
      <c r="Z294" s="219"/>
      <c r="AA294" s="406"/>
      <c r="AB294" s="403"/>
      <c r="AC294" s="198"/>
      <c r="AD294" s="219"/>
      <c r="AE294" s="406"/>
      <c r="AF294" s="403"/>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6"/>
      <c r="T295" s="403"/>
      <c r="U295" s="198"/>
      <c r="V295" s="219"/>
      <c r="W295" s="406"/>
      <c r="X295" s="403"/>
      <c r="Y295" s="198"/>
      <c r="Z295" s="219"/>
      <c r="AA295" s="406"/>
      <c r="AB295" s="403"/>
      <c r="AC295" s="198"/>
      <c r="AD295" s="219"/>
      <c r="AE295" s="406"/>
      <c r="AF295" s="403"/>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6"/>
      <c r="T296" s="403"/>
      <c r="U296" s="198"/>
      <c r="V296" s="219"/>
      <c r="W296" s="406"/>
      <c r="X296" s="403"/>
      <c r="Y296" s="198"/>
      <c r="Z296" s="219"/>
      <c r="AA296" s="406"/>
      <c r="AB296" s="403"/>
      <c r="AC296" s="198"/>
      <c r="AD296" s="219"/>
      <c r="AE296" s="406"/>
      <c r="AF296" s="403"/>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6"/>
      <c r="T297" s="403"/>
      <c r="U297" s="198"/>
      <c r="V297" s="219"/>
      <c r="W297" s="406"/>
      <c r="X297" s="403"/>
      <c r="Y297" s="198"/>
      <c r="Z297" s="219"/>
      <c r="AA297" s="406"/>
      <c r="AB297" s="403"/>
      <c r="AC297" s="198"/>
      <c r="AD297" s="219"/>
      <c r="AE297" s="406"/>
      <c r="AF297" s="403"/>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6"/>
      <c r="T298" s="403"/>
      <c r="U298" s="198"/>
      <c r="V298" s="219"/>
      <c r="W298" s="406"/>
      <c r="X298" s="403"/>
      <c r="Y298" s="198"/>
      <c r="Z298" s="219"/>
      <c r="AA298" s="406"/>
      <c r="AB298" s="403"/>
      <c r="AC298" s="198"/>
      <c r="AD298" s="219"/>
      <c r="AE298" s="406"/>
      <c r="AF298" s="403"/>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6"/>
      <c r="T299" s="403"/>
      <c r="U299" s="198"/>
      <c r="V299" s="219"/>
      <c r="W299" s="406"/>
      <c r="X299" s="403"/>
      <c r="Y299" s="198"/>
      <c r="Z299" s="219"/>
      <c r="AA299" s="406"/>
      <c r="AB299" s="403"/>
      <c r="AC299" s="198"/>
      <c r="AD299" s="219"/>
      <c r="AE299" s="406"/>
      <c r="AF299" s="403"/>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6"/>
      <c r="T300" s="403"/>
      <c r="U300" s="198"/>
      <c r="V300" s="219"/>
      <c r="W300" s="406"/>
      <c r="X300" s="403"/>
      <c r="Y300" s="198"/>
      <c r="Z300" s="219"/>
      <c r="AA300" s="406"/>
      <c r="AB300" s="403"/>
      <c r="AC300" s="198"/>
      <c r="AD300" s="219"/>
      <c r="AE300" s="406"/>
      <c r="AF300" s="403"/>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6"/>
      <c r="T301" s="403"/>
      <c r="U301" s="198"/>
      <c r="V301" s="219"/>
      <c r="W301" s="406"/>
      <c r="X301" s="403"/>
      <c r="Y301" s="198"/>
      <c r="Z301" s="219"/>
      <c r="AA301" s="406"/>
      <c r="AB301" s="403"/>
      <c r="AC301" s="198"/>
      <c r="AD301" s="219"/>
      <c r="AE301" s="406"/>
      <c r="AF301" s="403"/>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6"/>
      <c r="T302" s="403"/>
      <c r="U302" s="198"/>
      <c r="V302" s="219"/>
      <c r="W302" s="406"/>
      <c r="X302" s="403"/>
      <c r="Y302" s="198"/>
      <c r="Z302" s="219"/>
      <c r="AA302" s="406"/>
      <c r="AB302" s="403"/>
      <c r="AC302" s="198"/>
      <c r="AD302" s="219"/>
      <c r="AE302" s="406"/>
      <c r="AF302" s="403"/>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6"/>
      <c r="T303" s="403"/>
      <c r="U303" s="198"/>
      <c r="V303" s="219"/>
      <c r="W303" s="406"/>
      <c r="X303" s="403"/>
      <c r="Y303" s="198"/>
      <c r="Z303" s="219"/>
      <c r="AA303" s="406"/>
      <c r="AB303" s="403"/>
      <c r="AC303" s="198"/>
      <c r="AD303" s="219"/>
      <c r="AE303" s="406"/>
      <c r="AF303" s="403"/>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6"/>
      <c r="T304" s="403"/>
      <c r="U304" s="198"/>
      <c r="V304" s="219"/>
      <c r="W304" s="406"/>
      <c r="X304" s="403"/>
      <c r="Y304" s="198"/>
      <c r="Z304" s="219"/>
      <c r="AA304" s="406"/>
      <c r="AB304" s="403"/>
      <c r="AC304" s="198"/>
      <c r="AD304" s="219"/>
      <c r="AE304" s="406"/>
      <c r="AF304" s="403"/>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6"/>
      <c r="T305" s="403"/>
      <c r="U305" s="198"/>
      <c r="V305" s="219"/>
      <c r="W305" s="406"/>
      <c r="X305" s="403"/>
      <c r="Y305" s="198"/>
      <c r="Z305" s="219"/>
      <c r="AA305" s="406"/>
      <c r="AB305" s="403"/>
      <c r="AC305" s="198"/>
      <c r="AD305" s="219"/>
      <c r="AE305" s="406"/>
      <c r="AF305" s="403"/>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6"/>
      <c r="T306" s="403"/>
      <c r="U306" s="198"/>
      <c r="V306" s="219"/>
      <c r="W306" s="406"/>
      <c r="X306" s="403"/>
      <c r="Y306" s="198"/>
      <c r="Z306" s="219"/>
      <c r="AA306" s="406"/>
      <c r="AB306" s="403"/>
      <c r="AC306" s="198"/>
      <c r="AD306" s="219"/>
      <c r="AE306" s="406"/>
      <c r="AF306" s="403"/>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6"/>
      <c r="T307" s="403"/>
      <c r="U307" s="198"/>
      <c r="V307" s="219"/>
      <c r="W307" s="406"/>
      <c r="X307" s="403"/>
      <c r="Y307" s="198"/>
      <c r="Z307" s="219"/>
      <c r="AA307" s="406"/>
      <c r="AB307" s="403"/>
      <c r="AC307" s="198"/>
      <c r="AD307" s="219"/>
      <c r="AE307" s="406"/>
      <c r="AF307" s="403"/>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6"/>
      <c r="T308" s="403"/>
      <c r="U308" s="198"/>
      <c r="V308" s="219"/>
      <c r="W308" s="406"/>
      <c r="X308" s="403"/>
      <c r="Y308" s="198"/>
      <c r="Z308" s="219"/>
      <c r="AA308" s="406"/>
      <c r="AB308" s="403"/>
      <c r="AC308" s="198"/>
      <c r="AD308" s="219"/>
      <c r="AE308" s="406"/>
      <c r="AF308" s="403"/>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6"/>
      <c r="T309" s="403"/>
      <c r="U309" s="198"/>
      <c r="V309" s="219"/>
      <c r="W309" s="406"/>
      <c r="X309" s="403"/>
      <c r="Y309" s="198"/>
      <c r="Z309" s="219"/>
      <c r="AA309" s="406"/>
      <c r="AB309" s="403"/>
      <c r="AC309" s="198"/>
      <c r="AD309" s="219"/>
      <c r="AE309" s="406"/>
      <c r="AF309" s="403"/>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6"/>
      <c r="T310" s="403"/>
      <c r="U310" s="198"/>
      <c r="V310" s="219"/>
      <c r="W310" s="406"/>
      <c r="X310" s="403"/>
      <c r="Y310" s="198"/>
      <c r="Z310" s="219"/>
      <c r="AA310" s="406"/>
      <c r="AB310" s="403"/>
      <c r="AC310" s="198"/>
      <c r="AD310" s="219"/>
      <c r="AE310" s="406"/>
      <c r="AF310" s="403"/>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6"/>
      <c r="T311" s="403"/>
      <c r="U311" s="198"/>
      <c r="V311" s="219"/>
      <c r="W311" s="406"/>
      <c r="X311" s="403"/>
      <c r="Y311" s="198"/>
      <c r="Z311" s="219"/>
      <c r="AA311" s="406"/>
      <c r="AB311" s="403"/>
      <c r="AC311" s="198"/>
      <c r="AD311" s="219"/>
      <c r="AE311" s="406"/>
      <c r="AF311" s="403"/>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6"/>
      <c r="T312" s="403"/>
      <c r="U312" s="198"/>
      <c r="V312" s="219"/>
      <c r="W312" s="406"/>
      <c r="X312" s="403"/>
      <c r="Y312" s="198"/>
      <c r="Z312" s="219"/>
      <c r="AA312" s="406"/>
      <c r="AB312" s="403"/>
      <c r="AC312" s="198"/>
      <c r="AD312" s="219"/>
      <c r="AE312" s="406"/>
      <c r="AF312" s="403"/>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6"/>
      <c r="T313" s="403"/>
      <c r="U313" s="198"/>
      <c r="V313" s="219"/>
      <c r="W313" s="406"/>
      <c r="X313" s="403"/>
      <c r="Y313" s="198"/>
      <c r="Z313" s="219"/>
      <c r="AA313" s="406"/>
      <c r="AB313" s="403"/>
      <c r="AC313" s="198"/>
      <c r="AD313" s="219"/>
      <c r="AE313" s="406"/>
      <c r="AF313" s="403"/>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6"/>
      <c r="T314" s="403"/>
      <c r="U314" s="198"/>
      <c r="V314" s="219"/>
      <c r="W314" s="406"/>
      <c r="X314" s="403"/>
      <c r="Y314" s="198"/>
      <c r="Z314" s="219"/>
      <c r="AA314" s="406"/>
      <c r="AB314" s="403"/>
      <c r="AC314" s="198"/>
      <c r="AD314" s="219"/>
      <c r="AE314" s="406"/>
      <c r="AF314" s="403"/>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6"/>
      <c r="T315" s="403"/>
      <c r="U315" s="198"/>
      <c r="V315" s="219"/>
      <c r="W315" s="406"/>
      <c r="X315" s="403"/>
      <c r="Y315" s="198"/>
      <c r="Z315" s="219"/>
      <c r="AA315" s="406"/>
      <c r="AB315" s="403"/>
      <c r="AC315" s="198"/>
      <c r="AD315" s="219"/>
      <c r="AE315" s="406"/>
      <c r="AF315" s="403"/>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6"/>
      <c r="T316" s="403"/>
      <c r="U316" s="198"/>
      <c r="V316" s="219"/>
      <c r="W316" s="406"/>
      <c r="X316" s="403"/>
      <c r="Y316" s="198"/>
      <c r="Z316" s="219"/>
      <c r="AA316" s="406"/>
      <c r="AB316" s="403"/>
      <c r="AC316" s="198"/>
      <c r="AD316" s="219"/>
      <c r="AE316" s="406"/>
      <c r="AF316" s="403"/>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6"/>
      <c r="T317" s="403"/>
      <c r="U317" s="198"/>
      <c r="V317" s="219"/>
      <c r="W317" s="406"/>
      <c r="X317" s="403"/>
      <c r="Y317" s="198"/>
      <c r="Z317" s="219"/>
      <c r="AA317" s="406"/>
      <c r="AB317" s="403"/>
      <c r="AC317" s="198"/>
      <c r="AD317" s="219"/>
      <c r="AE317" s="406"/>
      <c r="AF317" s="403"/>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6"/>
      <c r="T318" s="403"/>
      <c r="U318" s="198"/>
      <c r="V318" s="219"/>
      <c r="W318" s="406"/>
      <c r="X318" s="403"/>
      <c r="Y318" s="198"/>
      <c r="Z318" s="219"/>
      <c r="AA318" s="406"/>
      <c r="AB318" s="403"/>
      <c r="AC318" s="198"/>
      <c r="AD318" s="219"/>
      <c r="AE318" s="406"/>
      <c r="AF318" s="403"/>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6"/>
      <c r="T319" s="403"/>
      <c r="U319" s="198"/>
      <c r="V319" s="219"/>
      <c r="W319" s="406"/>
      <c r="X319" s="403"/>
      <c r="Y319" s="198"/>
      <c r="Z319" s="219"/>
      <c r="AA319" s="406"/>
      <c r="AB319" s="403"/>
      <c r="AC319" s="198"/>
      <c r="AD319" s="219"/>
      <c r="AE319" s="406"/>
      <c r="AF319" s="403"/>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6"/>
      <c r="T320" s="403"/>
      <c r="U320" s="198"/>
      <c r="V320" s="219"/>
      <c r="W320" s="406"/>
      <c r="X320" s="403"/>
      <c r="Y320" s="198"/>
      <c r="Z320" s="219"/>
      <c r="AA320" s="406"/>
      <c r="AB320" s="403"/>
      <c r="AC320" s="198"/>
      <c r="AD320" s="219"/>
      <c r="AE320" s="406"/>
      <c r="AF320" s="403"/>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6"/>
      <c r="T321" s="403"/>
      <c r="U321" s="198"/>
      <c r="V321" s="219"/>
      <c r="W321" s="406"/>
      <c r="X321" s="403"/>
      <c r="Y321" s="198"/>
      <c r="Z321" s="219"/>
      <c r="AA321" s="406"/>
      <c r="AB321" s="403"/>
      <c r="AC321" s="198"/>
      <c r="AD321" s="219"/>
      <c r="AE321" s="406"/>
      <c r="AF321" s="403"/>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6"/>
      <c r="T322" s="403"/>
      <c r="U322" s="198"/>
      <c r="V322" s="219"/>
      <c r="W322" s="406"/>
      <c r="X322" s="403"/>
      <c r="Y322" s="198"/>
      <c r="Z322" s="219"/>
      <c r="AA322" s="406"/>
      <c r="AB322" s="403"/>
      <c r="AC322" s="198"/>
      <c r="AD322" s="219"/>
      <c r="AE322" s="406"/>
      <c r="AF322" s="403"/>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6"/>
      <c r="T323" s="403"/>
      <c r="U323" s="198"/>
      <c r="V323" s="219"/>
      <c r="W323" s="406"/>
      <c r="X323" s="403"/>
      <c r="Y323" s="198"/>
      <c r="Z323" s="219"/>
      <c r="AA323" s="406"/>
      <c r="AB323" s="403"/>
      <c r="AC323" s="198"/>
      <c r="AD323" s="219"/>
      <c r="AE323" s="406"/>
      <c r="AF323" s="403"/>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6"/>
      <c r="T324" s="403"/>
      <c r="U324" s="198"/>
      <c r="V324" s="219"/>
      <c r="W324" s="406"/>
      <c r="X324" s="403"/>
      <c r="Y324" s="198"/>
      <c r="Z324" s="219"/>
      <c r="AA324" s="406"/>
      <c r="AB324" s="403"/>
      <c r="AC324" s="198"/>
      <c r="AD324" s="219"/>
      <c r="AE324" s="406"/>
      <c r="AF324" s="403"/>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6"/>
      <c r="T325" s="403"/>
      <c r="U325" s="198"/>
      <c r="V325" s="219"/>
      <c r="W325" s="406"/>
      <c r="X325" s="403"/>
      <c r="Y325" s="198"/>
      <c r="Z325" s="219"/>
      <c r="AA325" s="406"/>
      <c r="AB325" s="403"/>
      <c r="AC325" s="198"/>
      <c r="AD325" s="219"/>
      <c r="AE325" s="406"/>
      <c r="AF325" s="403"/>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6"/>
      <c r="T326" s="403"/>
      <c r="U326" s="198"/>
      <c r="V326" s="219"/>
      <c r="W326" s="406"/>
      <c r="X326" s="403"/>
      <c r="Y326" s="198"/>
      <c r="Z326" s="219"/>
      <c r="AA326" s="406"/>
      <c r="AB326" s="403"/>
      <c r="AC326" s="198"/>
      <c r="AD326" s="219"/>
      <c r="AE326" s="406"/>
      <c r="AF326" s="403"/>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6"/>
      <c r="T327" s="403"/>
      <c r="U327" s="198"/>
      <c r="V327" s="219"/>
      <c r="W327" s="406"/>
      <c r="X327" s="403"/>
      <c r="Y327" s="198"/>
      <c r="Z327" s="219"/>
      <c r="AA327" s="406"/>
      <c r="AB327" s="403"/>
      <c r="AC327" s="198"/>
      <c r="AD327" s="219"/>
      <c r="AE327" s="406"/>
      <c r="AF327" s="403"/>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6"/>
      <c r="T328" s="403"/>
      <c r="U328" s="198"/>
      <c r="V328" s="219"/>
      <c r="W328" s="406"/>
      <c r="X328" s="403"/>
      <c r="Y328" s="198"/>
      <c r="Z328" s="219"/>
      <c r="AA328" s="406"/>
      <c r="AB328" s="403"/>
      <c r="AC328" s="198"/>
      <c r="AD328" s="219"/>
      <c r="AE328" s="406"/>
      <c r="AF328" s="403"/>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6"/>
      <c r="T329" s="403"/>
      <c r="U329" s="198"/>
      <c r="V329" s="219"/>
      <c r="W329" s="406"/>
      <c r="X329" s="403"/>
      <c r="Y329" s="198"/>
      <c r="Z329" s="219"/>
      <c r="AA329" s="406"/>
      <c r="AB329" s="403"/>
      <c r="AC329" s="198"/>
      <c r="AD329" s="219"/>
      <c r="AE329" s="406"/>
      <c r="AF329" s="403"/>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6"/>
      <c r="T330" s="403"/>
      <c r="U330" s="198"/>
      <c r="V330" s="219"/>
      <c r="W330" s="406"/>
      <c r="X330" s="403"/>
      <c r="Y330" s="198"/>
      <c r="Z330" s="219"/>
      <c r="AA330" s="406"/>
      <c r="AB330" s="403"/>
      <c r="AC330" s="198"/>
      <c r="AD330" s="219"/>
      <c r="AE330" s="406"/>
      <c r="AF330" s="403"/>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6"/>
      <c r="T331" s="403"/>
      <c r="U331" s="198"/>
      <c r="V331" s="219"/>
      <c r="W331" s="406"/>
      <c r="X331" s="403"/>
      <c r="Y331" s="198"/>
      <c r="Z331" s="219"/>
      <c r="AA331" s="406"/>
      <c r="AB331" s="403"/>
      <c r="AC331" s="198"/>
      <c r="AD331" s="219"/>
      <c r="AE331" s="406"/>
      <c r="AF331" s="403"/>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6"/>
      <c r="T332" s="403"/>
      <c r="U332" s="198"/>
      <c r="V332" s="219"/>
      <c r="W332" s="406"/>
      <c r="X332" s="403"/>
      <c r="Y332" s="198"/>
      <c r="Z332" s="219"/>
      <c r="AA332" s="406"/>
      <c r="AB332" s="403"/>
      <c r="AC332" s="198"/>
      <c r="AD332" s="219"/>
      <c r="AE332" s="406"/>
      <c r="AF332" s="403"/>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6"/>
      <c r="T333" s="403"/>
      <c r="U333" s="198"/>
      <c r="V333" s="219"/>
      <c r="W333" s="406"/>
      <c r="X333" s="403"/>
      <c r="Y333" s="198"/>
      <c r="Z333" s="219"/>
      <c r="AA333" s="406"/>
      <c r="AB333" s="403"/>
      <c r="AC333" s="198"/>
      <c r="AD333" s="219"/>
      <c r="AE333" s="406"/>
      <c r="AF333" s="403"/>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6"/>
      <c r="T334" s="403"/>
      <c r="U334" s="198"/>
      <c r="V334" s="219"/>
      <c r="W334" s="406"/>
      <c r="X334" s="403"/>
      <c r="Y334" s="198"/>
      <c r="Z334" s="219"/>
      <c r="AA334" s="406"/>
      <c r="AB334" s="403"/>
      <c r="AC334" s="198"/>
      <c r="AD334" s="219"/>
      <c r="AE334" s="406"/>
      <c r="AF334" s="403"/>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6"/>
      <c r="T335" s="403"/>
      <c r="U335" s="198"/>
      <c r="V335" s="219"/>
      <c r="W335" s="406"/>
      <c r="X335" s="403"/>
      <c r="Y335" s="198"/>
      <c r="Z335" s="219"/>
      <c r="AA335" s="406"/>
      <c r="AB335" s="403"/>
      <c r="AC335" s="198"/>
      <c r="AD335" s="219"/>
      <c r="AE335" s="406"/>
      <c r="AF335" s="403"/>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6"/>
      <c r="T336" s="403"/>
      <c r="U336" s="198"/>
      <c r="V336" s="219"/>
      <c r="W336" s="406"/>
      <c r="X336" s="403"/>
      <c r="Y336" s="198"/>
      <c r="Z336" s="219"/>
      <c r="AA336" s="406"/>
      <c r="AB336" s="403"/>
      <c r="AC336" s="198"/>
      <c r="AD336" s="219"/>
      <c r="AE336" s="406"/>
      <c r="AF336" s="403"/>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6"/>
      <c r="T337" s="403"/>
      <c r="U337" s="198"/>
      <c r="V337" s="219"/>
      <c r="W337" s="406"/>
      <c r="X337" s="403"/>
      <c r="Y337" s="198"/>
      <c r="Z337" s="219"/>
      <c r="AA337" s="406"/>
      <c r="AB337" s="403"/>
      <c r="AC337" s="198"/>
      <c r="AD337" s="219"/>
      <c r="AE337" s="406"/>
      <c r="AF337" s="403"/>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6"/>
      <c r="T338" s="403"/>
      <c r="U338" s="198"/>
      <c r="V338" s="219"/>
      <c r="W338" s="406"/>
      <c r="X338" s="403"/>
      <c r="Y338" s="198"/>
      <c r="Z338" s="219"/>
      <c r="AA338" s="406"/>
      <c r="AB338" s="403"/>
      <c r="AC338" s="198"/>
      <c r="AD338" s="219"/>
      <c r="AE338" s="406"/>
      <c r="AF338" s="403"/>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6"/>
      <c r="T339" s="403"/>
      <c r="U339" s="198"/>
      <c r="V339" s="219"/>
      <c r="W339" s="406"/>
      <c r="X339" s="403"/>
      <c r="Y339" s="198"/>
      <c r="Z339" s="219"/>
      <c r="AA339" s="406"/>
      <c r="AB339" s="403"/>
      <c r="AC339" s="198"/>
      <c r="AD339" s="219"/>
      <c r="AE339" s="406"/>
      <c r="AF339" s="403"/>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6"/>
      <c r="T340" s="403"/>
      <c r="U340" s="198"/>
      <c r="V340" s="219"/>
      <c r="W340" s="406"/>
      <c r="X340" s="403"/>
      <c r="Y340" s="198"/>
      <c r="Z340" s="219"/>
      <c r="AA340" s="406"/>
      <c r="AB340" s="403"/>
      <c r="AC340" s="198"/>
      <c r="AD340" s="219"/>
      <c r="AE340" s="406"/>
      <c r="AF340" s="403"/>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6"/>
      <c r="T341" s="403"/>
      <c r="U341" s="198"/>
      <c r="V341" s="219"/>
      <c r="W341" s="406"/>
      <c r="X341" s="403"/>
      <c r="Y341" s="198"/>
      <c r="Z341" s="219"/>
      <c r="AA341" s="406"/>
      <c r="AB341" s="403"/>
      <c r="AC341" s="198"/>
      <c r="AD341" s="219"/>
      <c r="AE341" s="406"/>
      <c r="AF341" s="403"/>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6"/>
      <c r="T342" s="403"/>
      <c r="U342" s="198"/>
      <c r="V342" s="219"/>
      <c r="W342" s="406"/>
      <c r="X342" s="403"/>
      <c r="Y342" s="198"/>
      <c r="Z342" s="219"/>
      <c r="AA342" s="406"/>
      <c r="AB342" s="403"/>
      <c r="AC342" s="198"/>
      <c r="AD342" s="219"/>
      <c r="AE342" s="406"/>
      <c r="AF342" s="403"/>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6"/>
      <c r="T343" s="403"/>
      <c r="U343" s="198"/>
      <c r="V343" s="219"/>
      <c r="W343" s="406"/>
      <c r="X343" s="403"/>
      <c r="Y343" s="198"/>
      <c r="Z343" s="219"/>
      <c r="AA343" s="406"/>
      <c r="AB343" s="403"/>
      <c r="AC343" s="198"/>
      <c r="AD343" s="219"/>
      <c r="AE343" s="406"/>
      <c r="AF343" s="403"/>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6"/>
      <c r="T344" s="403"/>
      <c r="U344" s="198"/>
      <c r="V344" s="219"/>
      <c r="W344" s="406"/>
      <c r="X344" s="403"/>
      <c r="Y344" s="198"/>
      <c r="Z344" s="219"/>
      <c r="AA344" s="406"/>
      <c r="AB344" s="403"/>
      <c r="AC344" s="198"/>
      <c r="AD344" s="219"/>
      <c r="AE344" s="406"/>
      <c r="AF344" s="403"/>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6"/>
      <c r="T345" s="403"/>
      <c r="U345" s="198"/>
      <c r="V345" s="219"/>
      <c r="W345" s="406"/>
      <c r="X345" s="403"/>
      <c r="Y345" s="198"/>
      <c r="Z345" s="219"/>
      <c r="AA345" s="406"/>
      <c r="AB345" s="403"/>
      <c r="AC345" s="198"/>
      <c r="AD345" s="219"/>
      <c r="AE345" s="406"/>
      <c r="AF345" s="403"/>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6"/>
      <c r="T346" s="403"/>
      <c r="U346" s="198"/>
      <c r="V346" s="219"/>
      <c r="W346" s="406"/>
      <c r="X346" s="403"/>
      <c r="Y346" s="198"/>
      <c r="Z346" s="219"/>
      <c r="AA346" s="406"/>
      <c r="AB346" s="403"/>
      <c r="AC346" s="198"/>
      <c r="AD346" s="219"/>
      <c r="AE346" s="406"/>
      <c r="AF346" s="403"/>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6"/>
      <c r="T347" s="403"/>
      <c r="U347" s="198"/>
      <c r="V347" s="219"/>
      <c r="W347" s="406"/>
      <c r="X347" s="403"/>
      <c r="Y347" s="198"/>
      <c r="Z347" s="219"/>
      <c r="AA347" s="406"/>
      <c r="AB347" s="403"/>
      <c r="AC347" s="198"/>
      <c r="AD347" s="219"/>
      <c r="AE347" s="406"/>
      <c r="AF347" s="403"/>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6"/>
      <c r="T348" s="403"/>
      <c r="U348" s="198"/>
      <c r="V348" s="219"/>
      <c r="W348" s="406"/>
      <c r="X348" s="403"/>
      <c r="Y348" s="198"/>
      <c r="Z348" s="219"/>
      <c r="AA348" s="406"/>
      <c r="AB348" s="403"/>
      <c r="AC348" s="198"/>
      <c r="AD348" s="219"/>
      <c r="AE348" s="406"/>
      <c r="AF348" s="403"/>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6"/>
      <c r="T349" s="403"/>
      <c r="U349" s="198"/>
      <c r="V349" s="219"/>
      <c r="W349" s="406"/>
      <c r="X349" s="403"/>
      <c r="Y349" s="198"/>
      <c r="Z349" s="219"/>
      <c r="AA349" s="406"/>
      <c r="AB349" s="403"/>
      <c r="AC349" s="198"/>
      <c r="AD349" s="219"/>
      <c r="AE349" s="406"/>
      <c r="AF349" s="403"/>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6"/>
      <c r="T350" s="403"/>
      <c r="U350" s="198"/>
      <c r="V350" s="219"/>
      <c r="W350" s="406"/>
      <c r="X350" s="403"/>
      <c r="Y350" s="198"/>
      <c r="Z350" s="219"/>
      <c r="AA350" s="406"/>
      <c r="AB350" s="403"/>
      <c r="AC350" s="198"/>
      <c r="AD350" s="219"/>
      <c r="AE350" s="406"/>
      <c r="AF350" s="403"/>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6"/>
      <c r="T351" s="403"/>
      <c r="U351" s="198"/>
      <c r="V351" s="219"/>
      <c r="W351" s="406"/>
      <c r="X351" s="403"/>
      <c r="Y351" s="198"/>
      <c r="Z351" s="219"/>
      <c r="AA351" s="406"/>
      <c r="AB351" s="403"/>
      <c r="AC351" s="198"/>
      <c r="AD351" s="219"/>
      <c r="AE351" s="406"/>
      <c r="AF351" s="403"/>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6"/>
      <c r="T352" s="403"/>
      <c r="U352" s="198"/>
      <c r="V352" s="219"/>
      <c r="W352" s="406"/>
      <c r="X352" s="403"/>
      <c r="Y352" s="198"/>
      <c r="Z352" s="219"/>
      <c r="AA352" s="406"/>
      <c r="AB352" s="403"/>
      <c r="AC352" s="198"/>
      <c r="AD352" s="219"/>
      <c r="AE352" s="406"/>
      <c r="AF352" s="403"/>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6"/>
      <c r="T353" s="403"/>
      <c r="U353" s="198"/>
      <c r="V353" s="219"/>
      <c r="W353" s="406"/>
      <c r="X353" s="403"/>
      <c r="Y353" s="198"/>
      <c r="Z353" s="219"/>
      <c r="AA353" s="406"/>
      <c r="AB353" s="403"/>
      <c r="AC353" s="198"/>
      <c r="AD353" s="219"/>
      <c r="AE353" s="406"/>
      <c r="AF353" s="403"/>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6"/>
      <c r="T354" s="403"/>
      <c r="U354" s="198"/>
      <c r="V354" s="219"/>
      <c r="W354" s="406"/>
      <c r="X354" s="403"/>
      <c r="Y354" s="198"/>
      <c r="Z354" s="219"/>
      <c r="AA354" s="406"/>
      <c r="AB354" s="403"/>
      <c r="AC354" s="198"/>
      <c r="AD354" s="219"/>
      <c r="AE354" s="406"/>
      <c r="AF354" s="403"/>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6"/>
      <c r="T355" s="403"/>
      <c r="U355" s="198"/>
      <c r="V355" s="219"/>
      <c r="W355" s="406"/>
      <c r="X355" s="403"/>
      <c r="Y355" s="198"/>
      <c r="Z355" s="219"/>
      <c r="AA355" s="406"/>
      <c r="AB355" s="403"/>
      <c r="AC355" s="198"/>
      <c r="AD355" s="219"/>
      <c r="AE355" s="406"/>
      <c r="AF355" s="403"/>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6"/>
      <c r="T356" s="403"/>
      <c r="U356" s="198"/>
      <c r="V356" s="219"/>
      <c r="W356" s="406"/>
      <c r="X356" s="403"/>
      <c r="Y356" s="198"/>
      <c r="Z356" s="219"/>
      <c r="AA356" s="406"/>
      <c r="AB356" s="403"/>
      <c r="AC356" s="198"/>
      <c r="AD356" s="219"/>
      <c r="AE356" s="406"/>
      <c r="AF356" s="403"/>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6"/>
      <c r="T357" s="403"/>
      <c r="U357" s="198"/>
      <c r="V357" s="219"/>
      <c r="W357" s="406"/>
      <c r="X357" s="403"/>
      <c r="Y357" s="198"/>
      <c r="Z357" s="219"/>
      <c r="AA357" s="406"/>
      <c r="AB357" s="403"/>
      <c r="AC357" s="198"/>
      <c r="AD357" s="219"/>
      <c r="AE357" s="406"/>
      <c r="AF357" s="403"/>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6"/>
      <c r="T358" s="403"/>
      <c r="U358" s="198"/>
      <c r="V358" s="219"/>
      <c r="W358" s="406"/>
      <c r="X358" s="403"/>
      <c r="Y358" s="198"/>
      <c r="Z358" s="219"/>
      <c r="AA358" s="406"/>
      <c r="AB358" s="403"/>
      <c r="AC358" s="198"/>
      <c r="AD358" s="219"/>
      <c r="AE358" s="406"/>
      <c r="AF358" s="403"/>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6"/>
      <c r="T359" s="403"/>
      <c r="U359" s="198"/>
      <c r="V359" s="219"/>
      <c r="W359" s="406"/>
      <c r="X359" s="403"/>
      <c r="Y359" s="198"/>
      <c r="Z359" s="219"/>
      <c r="AA359" s="406"/>
      <c r="AB359" s="403"/>
      <c r="AC359" s="198"/>
      <c r="AD359" s="219"/>
      <c r="AE359" s="406"/>
      <c r="AF359" s="403"/>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6"/>
      <c r="T360" s="403"/>
      <c r="U360" s="198"/>
      <c r="V360" s="219"/>
      <c r="W360" s="406"/>
      <c r="X360" s="403"/>
      <c r="Y360" s="198"/>
      <c r="Z360" s="219"/>
      <c r="AA360" s="406"/>
      <c r="AB360" s="403"/>
      <c r="AC360" s="198"/>
      <c r="AD360" s="219"/>
      <c r="AE360" s="406"/>
      <c r="AF360" s="403"/>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6"/>
      <c r="T361" s="403"/>
      <c r="U361" s="198"/>
      <c r="V361" s="219"/>
      <c r="W361" s="406"/>
      <c r="X361" s="403"/>
      <c r="Y361" s="198"/>
      <c r="Z361" s="219"/>
      <c r="AA361" s="406"/>
      <c r="AB361" s="403"/>
      <c r="AC361" s="198"/>
      <c r="AD361" s="219"/>
      <c r="AE361" s="406"/>
      <c r="AF361" s="403"/>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6"/>
      <c r="T362" s="403"/>
      <c r="U362" s="198"/>
      <c r="V362" s="219"/>
      <c r="W362" s="406"/>
      <c r="X362" s="403"/>
      <c r="Y362" s="198"/>
      <c r="Z362" s="219"/>
      <c r="AA362" s="406"/>
      <c r="AB362" s="403"/>
      <c r="AC362" s="198"/>
      <c r="AD362" s="219"/>
      <c r="AE362" s="406"/>
      <c r="AF362" s="403"/>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6"/>
      <c r="T363" s="403"/>
      <c r="U363" s="198"/>
      <c r="V363" s="219"/>
      <c r="W363" s="406"/>
      <c r="X363" s="403"/>
      <c r="Y363" s="198"/>
      <c r="Z363" s="219"/>
      <c r="AA363" s="406"/>
      <c r="AB363" s="403"/>
      <c r="AC363" s="198"/>
      <c r="AD363" s="219"/>
      <c r="AE363" s="406"/>
      <c r="AF363" s="403"/>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6"/>
      <c r="T364" s="403"/>
      <c r="U364" s="198"/>
      <c r="V364" s="219"/>
      <c r="W364" s="406"/>
      <c r="X364" s="403"/>
      <c r="Y364" s="198"/>
      <c r="Z364" s="219"/>
      <c r="AA364" s="406"/>
      <c r="AB364" s="403"/>
      <c r="AC364" s="198"/>
      <c r="AD364" s="219"/>
      <c r="AE364" s="406"/>
      <c r="AF364" s="403"/>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6"/>
      <c r="T365" s="403"/>
      <c r="U365" s="198"/>
      <c r="V365" s="219"/>
      <c r="W365" s="406"/>
      <c r="X365" s="403"/>
      <c r="Y365" s="198"/>
      <c r="Z365" s="219"/>
      <c r="AA365" s="406"/>
      <c r="AB365" s="403"/>
      <c r="AC365" s="198"/>
      <c r="AD365" s="219"/>
      <c r="AE365" s="406"/>
      <c r="AF365" s="403"/>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6"/>
      <c r="T366" s="403"/>
      <c r="U366" s="198"/>
      <c r="V366" s="219"/>
      <c r="W366" s="406"/>
      <c r="X366" s="403"/>
      <c r="Y366" s="198"/>
      <c r="Z366" s="219"/>
      <c r="AA366" s="406"/>
      <c r="AB366" s="403"/>
      <c r="AC366" s="198"/>
      <c r="AD366" s="219"/>
      <c r="AE366" s="406"/>
      <c r="AF366" s="403"/>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6"/>
      <c r="T367" s="403"/>
      <c r="U367" s="198"/>
      <c r="V367" s="219"/>
      <c r="W367" s="406"/>
      <c r="X367" s="403"/>
      <c r="Y367" s="198"/>
      <c r="Z367" s="219"/>
      <c r="AA367" s="406"/>
      <c r="AB367" s="403"/>
      <c r="AC367" s="198"/>
      <c r="AD367" s="219"/>
      <c r="AE367" s="406"/>
      <c r="AF367" s="403"/>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6"/>
      <c r="T368" s="403"/>
      <c r="U368" s="198"/>
      <c r="V368" s="219"/>
      <c r="W368" s="406"/>
      <c r="X368" s="403"/>
      <c r="Y368" s="198"/>
      <c r="Z368" s="219"/>
      <c r="AA368" s="406"/>
      <c r="AB368" s="403"/>
      <c r="AC368" s="198"/>
      <c r="AD368" s="219"/>
      <c r="AE368" s="406"/>
      <c r="AF368" s="403"/>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6"/>
      <c r="T369" s="403"/>
      <c r="U369" s="198"/>
      <c r="V369" s="219"/>
      <c r="W369" s="406"/>
      <c r="X369" s="403"/>
      <c r="Y369" s="198"/>
      <c r="Z369" s="219"/>
      <c r="AA369" s="406"/>
      <c r="AB369" s="403"/>
      <c r="AC369" s="198"/>
      <c r="AD369" s="219"/>
      <c r="AE369" s="406"/>
      <c r="AF369" s="403"/>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6"/>
      <c r="T370" s="403"/>
      <c r="U370" s="198"/>
      <c r="V370" s="219"/>
      <c r="W370" s="406"/>
      <c r="X370" s="403"/>
      <c r="Y370" s="198"/>
      <c r="Z370" s="219"/>
      <c r="AA370" s="406"/>
      <c r="AB370" s="403"/>
      <c r="AC370" s="198"/>
      <c r="AD370" s="219"/>
      <c r="AE370" s="406"/>
      <c r="AF370" s="403"/>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6"/>
      <c r="T371" s="403"/>
      <c r="U371" s="198"/>
      <c r="V371" s="219"/>
      <c r="W371" s="406"/>
      <c r="X371" s="403"/>
      <c r="Y371" s="198"/>
      <c r="Z371" s="219"/>
      <c r="AA371" s="406"/>
      <c r="AB371" s="403"/>
      <c r="AC371" s="198"/>
      <c r="AD371" s="219"/>
      <c r="AE371" s="406"/>
      <c r="AF371" s="403"/>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6"/>
      <c r="T372" s="403"/>
      <c r="U372" s="198"/>
      <c r="V372" s="219"/>
      <c r="W372" s="406"/>
      <c r="X372" s="403"/>
      <c r="Y372" s="198"/>
      <c r="Z372" s="219"/>
      <c r="AA372" s="406"/>
      <c r="AB372" s="403"/>
      <c r="AC372" s="198"/>
      <c r="AD372" s="219"/>
      <c r="AE372" s="406"/>
      <c r="AF372" s="403"/>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6"/>
      <c r="T373" s="403"/>
      <c r="U373" s="198"/>
      <c r="V373" s="219"/>
      <c r="W373" s="406"/>
      <c r="X373" s="403"/>
      <c r="Y373" s="198"/>
      <c r="Z373" s="219"/>
      <c r="AA373" s="406"/>
      <c r="AB373" s="403"/>
      <c r="AC373" s="198"/>
      <c r="AD373" s="219"/>
      <c r="AE373" s="406"/>
      <c r="AF373" s="403"/>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6"/>
      <c r="T374" s="403"/>
      <c r="U374" s="198"/>
      <c r="V374" s="219"/>
      <c r="W374" s="406"/>
      <c r="X374" s="403"/>
      <c r="Y374" s="198"/>
      <c r="Z374" s="219"/>
      <c r="AA374" s="406"/>
      <c r="AB374" s="403"/>
      <c r="AC374" s="198"/>
      <c r="AD374" s="219"/>
      <c r="AE374" s="406"/>
      <c r="AF374" s="403"/>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6"/>
      <c r="T375" s="403"/>
      <c r="U375" s="198"/>
      <c r="V375" s="219"/>
      <c r="W375" s="406"/>
      <c r="X375" s="403"/>
      <c r="Y375" s="198"/>
      <c r="Z375" s="219"/>
      <c r="AA375" s="406"/>
      <c r="AB375" s="403"/>
      <c r="AC375" s="198"/>
      <c r="AD375" s="219"/>
      <c r="AE375" s="406"/>
      <c r="AF375" s="403"/>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6"/>
      <c r="T376" s="403"/>
      <c r="U376" s="198"/>
      <c r="V376" s="219"/>
      <c r="W376" s="406"/>
      <c r="X376" s="403"/>
      <c r="Y376" s="198"/>
      <c r="Z376" s="219"/>
      <c r="AA376" s="406"/>
      <c r="AB376" s="403"/>
      <c r="AC376" s="198"/>
      <c r="AD376" s="219"/>
      <c r="AE376" s="406"/>
      <c r="AF376" s="403"/>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6"/>
      <c r="T377" s="403"/>
      <c r="U377" s="198"/>
      <c r="V377" s="219"/>
      <c r="W377" s="406"/>
      <c r="X377" s="403"/>
      <c r="Y377" s="198"/>
      <c r="Z377" s="219"/>
      <c r="AA377" s="406"/>
      <c r="AB377" s="403"/>
      <c r="AC377" s="198"/>
      <c r="AD377" s="219"/>
      <c r="AE377" s="406"/>
      <c r="AF377" s="403"/>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6"/>
      <c r="T378" s="403"/>
      <c r="U378" s="198"/>
      <c r="V378" s="219"/>
      <c r="W378" s="406"/>
      <c r="X378" s="403"/>
      <c r="Y378" s="198"/>
      <c r="Z378" s="219"/>
      <c r="AA378" s="406"/>
      <c r="AB378" s="403"/>
      <c r="AC378" s="198"/>
      <c r="AD378" s="219"/>
      <c r="AE378" s="406"/>
      <c r="AF378" s="403"/>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6"/>
      <c r="T379" s="403"/>
      <c r="U379" s="198"/>
      <c r="V379" s="219"/>
      <c r="W379" s="406"/>
      <c r="X379" s="403"/>
      <c r="Y379" s="198"/>
      <c r="Z379" s="219"/>
      <c r="AA379" s="406"/>
      <c r="AB379" s="403"/>
      <c r="AC379" s="198"/>
      <c r="AD379" s="219"/>
      <c r="AE379" s="406"/>
      <c r="AF379" s="403"/>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6"/>
      <c r="T380" s="403"/>
      <c r="U380" s="198"/>
      <c r="V380" s="219"/>
      <c r="W380" s="406"/>
      <c r="X380" s="403"/>
      <c r="Y380" s="198"/>
      <c r="Z380" s="219"/>
      <c r="AA380" s="406"/>
      <c r="AB380" s="403"/>
      <c r="AC380" s="198"/>
      <c r="AD380" s="219"/>
      <c r="AE380" s="406"/>
      <c r="AF380" s="403"/>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6"/>
      <c r="T381" s="403"/>
      <c r="U381" s="198"/>
      <c r="V381" s="219"/>
      <c r="W381" s="406"/>
      <c r="X381" s="403"/>
      <c r="Y381" s="198"/>
      <c r="Z381" s="219"/>
      <c r="AA381" s="406"/>
      <c r="AB381" s="403"/>
      <c r="AC381" s="198"/>
      <c r="AD381" s="219"/>
      <c r="AE381" s="406"/>
      <c r="AF381" s="403"/>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6"/>
      <c r="T382" s="403"/>
      <c r="U382" s="198"/>
      <c r="V382" s="219"/>
      <c r="W382" s="406"/>
      <c r="X382" s="403"/>
      <c r="Y382" s="198"/>
      <c r="Z382" s="219"/>
      <c r="AA382" s="406"/>
      <c r="AB382" s="403"/>
      <c r="AC382" s="198"/>
      <c r="AD382" s="219"/>
      <c r="AE382" s="406"/>
      <c r="AF382" s="403"/>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6"/>
      <c r="T383" s="403"/>
      <c r="U383" s="198"/>
      <c r="V383" s="219"/>
      <c r="W383" s="406"/>
      <c r="X383" s="403"/>
      <c r="Y383" s="198"/>
      <c r="Z383" s="219"/>
      <c r="AA383" s="406"/>
      <c r="AB383" s="403"/>
      <c r="AC383" s="198"/>
      <c r="AD383" s="219"/>
      <c r="AE383" s="406"/>
      <c r="AF383" s="403"/>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6"/>
      <c r="T384" s="403"/>
      <c r="U384" s="198"/>
      <c r="V384" s="219"/>
      <c r="W384" s="406"/>
      <c r="X384" s="403"/>
      <c r="Y384" s="198"/>
      <c r="Z384" s="219"/>
      <c r="AA384" s="406"/>
      <c r="AB384" s="403"/>
      <c r="AC384" s="198"/>
      <c r="AD384" s="219"/>
      <c r="AE384" s="406"/>
      <c r="AF384" s="403"/>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6"/>
      <c r="T385" s="403"/>
      <c r="U385" s="198"/>
      <c r="V385" s="219"/>
      <c r="W385" s="406"/>
      <c r="X385" s="403"/>
      <c r="Y385" s="198"/>
      <c r="Z385" s="219"/>
      <c r="AA385" s="406"/>
      <c r="AB385" s="403"/>
      <c r="AC385" s="198"/>
      <c r="AD385" s="219"/>
      <c r="AE385" s="406"/>
      <c r="AF385" s="403"/>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6"/>
      <c r="T386" s="403"/>
      <c r="U386" s="198"/>
      <c r="V386" s="219"/>
      <c r="W386" s="406"/>
      <c r="X386" s="403"/>
      <c r="Y386" s="198"/>
      <c r="Z386" s="219"/>
      <c r="AA386" s="406"/>
      <c r="AB386" s="403"/>
      <c r="AC386" s="198"/>
      <c r="AD386" s="219"/>
      <c r="AE386" s="406"/>
      <c r="AF386" s="403"/>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6"/>
      <c r="T387" s="403"/>
      <c r="U387" s="198"/>
      <c r="V387" s="219"/>
      <c r="W387" s="406"/>
      <c r="X387" s="403"/>
      <c r="Y387" s="198"/>
      <c r="Z387" s="219"/>
      <c r="AA387" s="406"/>
      <c r="AB387" s="403"/>
      <c r="AC387" s="198"/>
      <c r="AD387" s="219"/>
      <c r="AE387" s="406"/>
      <c r="AF387" s="403"/>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6"/>
      <c r="T388" s="403"/>
      <c r="U388" s="198"/>
      <c r="V388" s="219"/>
      <c r="W388" s="406"/>
      <c r="X388" s="403"/>
      <c r="Y388" s="198"/>
      <c r="Z388" s="219"/>
      <c r="AA388" s="406"/>
      <c r="AB388" s="403"/>
      <c r="AC388" s="198"/>
      <c r="AD388" s="219"/>
      <c r="AE388" s="406"/>
      <c r="AF388" s="403"/>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6"/>
      <c r="T389" s="403"/>
      <c r="U389" s="198"/>
      <c r="V389" s="219"/>
      <c r="W389" s="406"/>
      <c r="X389" s="403"/>
      <c r="Y389" s="198"/>
      <c r="Z389" s="219"/>
      <c r="AA389" s="406"/>
      <c r="AB389" s="403"/>
      <c r="AC389" s="198"/>
      <c r="AD389" s="219"/>
      <c r="AE389" s="406"/>
      <c r="AF389" s="403"/>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6"/>
      <c r="T390" s="403"/>
      <c r="U390" s="198"/>
      <c r="V390" s="219"/>
      <c r="W390" s="406"/>
      <c r="X390" s="403"/>
      <c r="Y390" s="198"/>
      <c r="Z390" s="219"/>
      <c r="AA390" s="406"/>
      <c r="AB390" s="403"/>
      <c r="AC390" s="198"/>
      <c r="AD390" s="219"/>
      <c r="AE390" s="406"/>
      <c r="AF390" s="403"/>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6"/>
      <c r="T391" s="403"/>
      <c r="U391" s="198"/>
      <c r="V391" s="219"/>
      <c r="W391" s="406"/>
      <c r="X391" s="403"/>
      <c r="Y391" s="198"/>
      <c r="Z391" s="219"/>
      <c r="AA391" s="406"/>
      <c r="AB391" s="403"/>
      <c r="AC391" s="198"/>
      <c r="AD391" s="219"/>
      <c r="AE391" s="406"/>
      <c r="AF391" s="403"/>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6"/>
      <c r="T392" s="403"/>
      <c r="U392" s="198"/>
      <c r="V392" s="219"/>
      <c r="W392" s="406"/>
      <c r="X392" s="403"/>
      <c r="Y392" s="198"/>
      <c r="Z392" s="219"/>
      <c r="AA392" s="406"/>
      <c r="AB392" s="403"/>
      <c r="AC392" s="198"/>
      <c r="AD392" s="219"/>
      <c r="AE392" s="406"/>
      <c r="AF392" s="403"/>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6"/>
      <c r="T393" s="403"/>
      <c r="U393" s="198"/>
      <c r="V393" s="219"/>
      <c r="W393" s="406"/>
      <c r="X393" s="403"/>
      <c r="Y393" s="198"/>
      <c r="Z393" s="219"/>
      <c r="AA393" s="406"/>
      <c r="AB393" s="403"/>
      <c r="AC393" s="198"/>
      <c r="AD393" s="219"/>
      <c r="AE393" s="406"/>
      <c r="AF393" s="403"/>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6"/>
      <c r="T394" s="403"/>
      <c r="U394" s="198"/>
      <c r="V394" s="219"/>
      <c r="W394" s="406"/>
      <c r="X394" s="403"/>
      <c r="Y394" s="198"/>
      <c r="Z394" s="219"/>
      <c r="AA394" s="406"/>
      <c r="AB394" s="403"/>
      <c r="AC394" s="198"/>
      <c r="AD394" s="219"/>
      <c r="AE394" s="406"/>
      <c r="AF394" s="403"/>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6"/>
      <c r="T395" s="403"/>
      <c r="U395" s="198"/>
      <c r="V395" s="219"/>
      <c r="W395" s="406"/>
      <c r="X395" s="403"/>
      <c r="Y395" s="198"/>
      <c r="Z395" s="219"/>
      <c r="AA395" s="406"/>
      <c r="AB395" s="403"/>
      <c r="AC395" s="198"/>
      <c r="AD395" s="219"/>
      <c r="AE395" s="406"/>
      <c r="AF395" s="403"/>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6"/>
      <c r="T396" s="403"/>
      <c r="U396" s="198"/>
      <c r="V396" s="219"/>
      <c r="W396" s="406"/>
      <c r="X396" s="403"/>
      <c r="Y396" s="198"/>
      <c r="Z396" s="219"/>
      <c r="AA396" s="406"/>
      <c r="AB396" s="403"/>
      <c r="AC396" s="198"/>
      <c r="AD396" s="219"/>
      <c r="AE396" s="406"/>
      <c r="AF396" s="403"/>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6"/>
      <c r="T397" s="403"/>
      <c r="U397" s="198"/>
      <c r="V397" s="219"/>
      <c r="W397" s="406"/>
      <c r="X397" s="403"/>
      <c r="Y397" s="198"/>
      <c r="Z397" s="219"/>
      <c r="AA397" s="406"/>
      <c r="AB397" s="403"/>
      <c r="AC397" s="198"/>
      <c r="AD397" s="219"/>
      <c r="AE397" s="406"/>
      <c r="AF397" s="403"/>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6"/>
      <c r="T398" s="403"/>
      <c r="U398" s="198"/>
      <c r="V398" s="219"/>
      <c r="W398" s="406"/>
      <c r="X398" s="403"/>
      <c r="Y398" s="198"/>
      <c r="Z398" s="219"/>
      <c r="AA398" s="406"/>
      <c r="AB398" s="403"/>
      <c r="AC398" s="198"/>
      <c r="AD398" s="219"/>
      <c r="AE398" s="406"/>
      <c r="AF398" s="403"/>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6"/>
      <c r="T399" s="403"/>
      <c r="U399" s="198"/>
      <c r="V399" s="219"/>
      <c r="W399" s="406"/>
      <c r="X399" s="403"/>
      <c r="Y399" s="198"/>
      <c r="Z399" s="219"/>
      <c r="AA399" s="406"/>
      <c r="AB399" s="403"/>
      <c r="AC399" s="198"/>
      <c r="AD399" s="219"/>
      <c r="AE399" s="406"/>
      <c r="AF399" s="403"/>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6"/>
      <c r="T400" s="403"/>
      <c r="U400" s="198"/>
      <c r="V400" s="219"/>
      <c r="W400" s="406"/>
      <c r="X400" s="403"/>
      <c r="Y400" s="198"/>
      <c r="Z400" s="219"/>
      <c r="AA400" s="406"/>
      <c r="AB400" s="403"/>
      <c r="AC400" s="198"/>
      <c r="AD400" s="219"/>
      <c r="AE400" s="406"/>
      <c r="AF400" s="403"/>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6"/>
      <c r="T401" s="403"/>
      <c r="U401" s="198"/>
      <c r="V401" s="219"/>
      <c r="W401" s="406"/>
      <c r="X401" s="403"/>
      <c r="Y401" s="198"/>
      <c r="Z401" s="219"/>
      <c r="AA401" s="406"/>
      <c r="AB401" s="403"/>
      <c r="AC401" s="198"/>
      <c r="AD401" s="219"/>
      <c r="AE401" s="406"/>
      <c r="AF401" s="403"/>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6"/>
      <c r="T402" s="403"/>
      <c r="U402" s="198"/>
      <c r="V402" s="219"/>
      <c r="W402" s="406"/>
      <c r="X402" s="403"/>
      <c r="Y402" s="198"/>
      <c r="Z402" s="219"/>
      <c r="AA402" s="406"/>
      <c r="AB402" s="403"/>
      <c r="AC402" s="198"/>
      <c r="AD402" s="219"/>
      <c r="AE402" s="406"/>
      <c r="AF402" s="403"/>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6"/>
      <c r="T403" s="403"/>
      <c r="U403" s="198"/>
      <c r="V403" s="219"/>
      <c r="W403" s="406"/>
      <c r="X403" s="403"/>
      <c r="Y403" s="198"/>
      <c r="Z403" s="219"/>
      <c r="AA403" s="406"/>
      <c r="AB403" s="403"/>
      <c r="AC403" s="198"/>
      <c r="AD403" s="219"/>
      <c r="AE403" s="406"/>
      <c r="AF403" s="403"/>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6"/>
      <c r="T404" s="403"/>
      <c r="U404" s="198"/>
      <c r="V404" s="219"/>
      <c r="W404" s="406"/>
      <c r="X404" s="403"/>
      <c r="Y404" s="198"/>
      <c r="Z404" s="219"/>
      <c r="AA404" s="406"/>
      <c r="AB404" s="403"/>
      <c r="AC404" s="198"/>
      <c r="AD404" s="219"/>
      <c r="AE404" s="406"/>
      <c r="AF404" s="403"/>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6"/>
      <c r="T405" s="403"/>
      <c r="U405" s="198"/>
      <c r="V405" s="219"/>
      <c r="W405" s="406"/>
      <c r="X405" s="403"/>
      <c r="Y405" s="198"/>
      <c r="Z405" s="219"/>
      <c r="AA405" s="406"/>
      <c r="AB405" s="403"/>
      <c r="AC405" s="198"/>
      <c r="AD405" s="219"/>
      <c r="AE405" s="406"/>
      <c r="AF405" s="403"/>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6"/>
      <c r="T406" s="403"/>
      <c r="U406" s="198"/>
      <c r="V406" s="219"/>
      <c r="W406" s="406"/>
      <c r="X406" s="403"/>
      <c r="Y406" s="198"/>
      <c r="Z406" s="219"/>
      <c r="AA406" s="406"/>
      <c r="AB406" s="403"/>
      <c r="AC406" s="198"/>
      <c r="AD406" s="219"/>
      <c r="AE406" s="406"/>
      <c r="AF406" s="403"/>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6"/>
      <c r="T407" s="403"/>
      <c r="U407" s="198"/>
      <c r="V407" s="219"/>
      <c r="W407" s="406"/>
      <c r="X407" s="403"/>
      <c r="Y407" s="198"/>
      <c r="Z407" s="219"/>
      <c r="AA407" s="406"/>
      <c r="AB407" s="403"/>
      <c r="AC407" s="198"/>
      <c r="AD407" s="219"/>
      <c r="AE407" s="406"/>
      <c r="AF407" s="403"/>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6"/>
      <c r="T408" s="403"/>
      <c r="U408" s="198"/>
      <c r="V408" s="219"/>
      <c r="W408" s="406"/>
      <c r="X408" s="403"/>
      <c r="Y408" s="198"/>
      <c r="Z408" s="219"/>
      <c r="AA408" s="406"/>
      <c r="AB408" s="403"/>
      <c r="AC408" s="198"/>
      <c r="AD408" s="219"/>
      <c r="AE408" s="406"/>
      <c r="AF408" s="403"/>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6"/>
      <c r="T409" s="403"/>
      <c r="U409" s="198"/>
      <c r="V409" s="219"/>
      <c r="W409" s="406"/>
      <c r="X409" s="403"/>
      <c r="Y409" s="198"/>
      <c r="Z409" s="219"/>
      <c r="AA409" s="406"/>
      <c r="AB409" s="403"/>
      <c r="AC409" s="198"/>
      <c r="AD409" s="219"/>
      <c r="AE409" s="406"/>
      <c r="AF409" s="403"/>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6"/>
      <c r="T410" s="403"/>
      <c r="U410" s="198"/>
      <c r="V410" s="219"/>
      <c r="W410" s="406"/>
      <c r="X410" s="403"/>
      <c r="Y410" s="198"/>
      <c r="Z410" s="219"/>
      <c r="AA410" s="406"/>
      <c r="AB410" s="403"/>
      <c r="AC410" s="198"/>
      <c r="AD410" s="219"/>
      <c r="AE410" s="406"/>
      <c r="AF410" s="403"/>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6"/>
      <c r="T411" s="403"/>
      <c r="U411" s="198"/>
      <c r="V411" s="219"/>
      <c r="W411" s="406"/>
      <c r="X411" s="403"/>
      <c r="Y411" s="198"/>
      <c r="Z411" s="219"/>
      <c r="AA411" s="406"/>
      <c r="AB411" s="403"/>
      <c r="AC411" s="198"/>
      <c r="AD411" s="219"/>
      <c r="AE411" s="406"/>
      <c r="AF411" s="403"/>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6"/>
      <c r="T412" s="403"/>
      <c r="U412" s="198"/>
      <c r="V412" s="219"/>
      <c r="W412" s="406"/>
      <c r="X412" s="403"/>
      <c r="Y412" s="198"/>
      <c r="Z412" s="219"/>
      <c r="AA412" s="406"/>
      <c r="AB412" s="403"/>
      <c r="AC412" s="198"/>
      <c r="AD412" s="219"/>
      <c r="AE412" s="406"/>
      <c r="AF412" s="403"/>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6"/>
      <c r="T413" s="403"/>
      <c r="U413" s="198"/>
      <c r="V413" s="219"/>
      <c r="W413" s="406"/>
      <c r="X413" s="403"/>
      <c r="Y413" s="198"/>
      <c r="Z413" s="219"/>
      <c r="AA413" s="406"/>
      <c r="AB413" s="403"/>
      <c r="AC413" s="198"/>
      <c r="AD413" s="219"/>
      <c r="AE413" s="406"/>
      <c r="AF413" s="403"/>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6"/>
      <c r="T414" s="403"/>
      <c r="U414" s="198"/>
      <c r="V414" s="219"/>
      <c r="W414" s="406"/>
      <c r="X414" s="403"/>
      <c r="Y414" s="198"/>
      <c r="Z414" s="219"/>
      <c r="AA414" s="406"/>
      <c r="AB414" s="403"/>
      <c r="AC414" s="198"/>
      <c r="AD414" s="219"/>
      <c r="AE414" s="406"/>
      <c r="AF414" s="403"/>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6"/>
      <c r="T415" s="403"/>
      <c r="U415" s="198"/>
      <c r="V415" s="219"/>
      <c r="W415" s="406"/>
      <c r="X415" s="403"/>
      <c r="Y415" s="198"/>
      <c r="Z415" s="219"/>
      <c r="AA415" s="406"/>
      <c r="AB415" s="403"/>
      <c r="AC415" s="198"/>
      <c r="AD415" s="219"/>
      <c r="AE415" s="406"/>
      <c r="AF415" s="403"/>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6"/>
      <c r="T416" s="403"/>
      <c r="U416" s="198"/>
      <c r="V416" s="219"/>
      <c r="W416" s="406"/>
      <c r="X416" s="403"/>
      <c r="Y416" s="198"/>
      <c r="Z416" s="219"/>
      <c r="AA416" s="406"/>
      <c r="AB416" s="403"/>
      <c r="AC416" s="198"/>
      <c r="AD416" s="219"/>
      <c r="AE416" s="406"/>
      <c r="AF416" s="403"/>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6"/>
      <c r="T417" s="403"/>
      <c r="U417" s="198"/>
      <c r="V417" s="219"/>
      <c r="W417" s="406"/>
      <c r="X417" s="403"/>
      <c r="Y417" s="198"/>
      <c r="Z417" s="219"/>
      <c r="AA417" s="406"/>
      <c r="AB417" s="403"/>
      <c r="AC417" s="198"/>
      <c r="AD417" s="219"/>
      <c r="AE417" s="406"/>
      <c r="AF417" s="403"/>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6"/>
      <c r="T418" s="403"/>
      <c r="U418" s="198"/>
      <c r="V418" s="219"/>
      <c r="W418" s="406"/>
      <c r="X418" s="403"/>
      <c r="Y418" s="198"/>
      <c r="Z418" s="219"/>
      <c r="AA418" s="406"/>
      <c r="AB418" s="403"/>
      <c r="AC418" s="198"/>
      <c r="AD418" s="219"/>
      <c r="AE418" s="406"/>
      <c r="AF418" s="403"/>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6"/>
      <c r="T419" s="403"/>
      <c r="U419" s="198"/>
      <c r="V419" s="219"/>
      <c r="W419" s="406"/>
      <c r="X419" s="403"/>
      <c r="Y419" s="198"/>
      <c r="Z419" s="219"/>
      <c r="AA419" s="406"/>
      <c r="AB419" s="403"/>
      <c r="AC419" s="198"/>
      <c r="AD419" s="219"/>
      <c r="AE419" s="406"/>
      <c r="AF419" s="403"/>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6"/>
      <c r="T420" s="403"/>
      <c r="U420" s="198"/>
      <c r="V420" s="219"/>
      <c r="W420" s="406"/>
      <c r="X420" s="403"/>
      <c r="Y420" s="198"/>
      <c r="Z420" s="219"/>
      <c r="AA420" s="406"/>
      <c r="AB420" s="403"/>
      <c r="AC420" s="198"/>
      <c r="AD420" s="219"/>
      <c r="AE420" s="406"/>
      <c r="AF420" s="403"/>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6"/>
      <c r="T421" s="403"/>
      <c r="U421" s="198"/>
      <c r="V421" s="219"/>
      <c r="W421" s="406"/>
      <c r="X421" s="403"/>
      <c r="Y421" s="198"/>
      <c r="Z421" s="219"/>
      <c r="AA421" s="406"/>
      <c r="AB421" s="403"/>
      <c r="AC421" s="198"/>
      <c r="AD421" s="219"/>
      <c r="AE421" s="406"/>
      <c r="AF421" s="403"/>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6"/>
      <c r="T422" s="403"/>
      <c r="U422" s="198"/>
      <c r="V422" s="219"/>
      <c r="W422" s="406"/>
      <c r="X422" s="403"/>
      <c r="Y422" s="198"/>
      <c r="Z422" s="219"/>
      <c r="AA422" s="406"/>
      <c r="AB422" s="403"/>
      <c r="AC422" s="198"/>
      <c r="AD422" s="219"/>
      <c r="AE422" s="406"/>
      <c r="AF422" s="403"/>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6"/>
      <c r="T423" s="403"/>
      <c r="U423" s="198"/>
      <c r="V423" s="219"/>
      <c r="W423" s="406"/>
      <c r="X423" s="403"/>
      <c r="Y423" s="198"/>
      <c r="Z423" s="219"/>
      <c r="AA423" s="406"/>
      <c r="AB423" s="403"/>
      <c r="AC423" s="198"/>
      <c r="AD423" s="219"/>
      <c r="AE423" s="406"/>
      <c r="AF423" s="403"/>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6"/>
      <c r="T424" s="403"/>
      <c r="U424" s="198"/>
      <c r="V424" s="219"/>
      <c r="W424" s="406"/>
      <c r="X424" s="403"/>
      <c r="Y424" s="198"/>
      <c r="Z424" s="219"/>
      <c r="AA424" s="406"/>
      <c r="AB424" s="403"/>
      <c r="AC424" s="198"/>
      <c r="AD424" s="219"/>
      <c r="AE424" s="406"/>
      <c r="AF424" s="403"/>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6"/>
      <c r="T425" s="403"/>
      <c r="U425" s="198"/>
      <c r="V425" s="219"/>
      <c r="W425" s="406"/>
      <c r="X425" s="403"/>
      <c r="Y425" s="198"/>
      <c r="Z425" s="219"/>
      <c r="AA425" s="406"/>
      <c r="AB425" s="403"/>
      <c r="AC425" s="198"/>
      <c r="AD425" s="219"/>
      <c r="AE425" s="406"/>
      <c r="AF425" s="403"/>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6"/>
      <c r="T426" s="403"/>
      <c r="U426" s="198"/>
      <c r="V426" s="219"/>
      <c r="W426" s="406"/>
      <c r="X426" s="403"/>
      <c r="Y426" s="198"/>
      <c r="Z426" s="219"/>
      <c r="AA426" s="406"/>
      <c r="AB426" s="403"/>
      <c r="AC426" s="198"/>
      <c r="AD426" s="219"/>
      <c r="AE426" s="406"/>
      <c r="AF426" s="403"/>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6"/>
      <c r="T427" s="403"/>
      <c r="U427" s="198"/>
      <c r="V427" s="219"/>
      <c r="W427" s="406"/>
      <c r="X427" s="403"/>
      <c r="Y427" s="198"/>
      <c r="Z427" s="219"/>
      <c r="AA427" s="406"/>
      <c r="AB427" s="403"/>
      <c r="AC427" s="198"/>
      <c r="AD427" s="219"/>
      <c r="AE427" s="406"/>
      <c r="AF427" s="403"/>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6"/>
      <c r="T428" s="403"/>
      <c r="U428" s="198"/>
      <c r="V428" s="219"/>
      <c r="W428" s="406"/>
      <c r="X428" s="403"/>
      <c r="Y428" s="198"/>
      <c r="Z428" s="219"/>
      <c r="AA428" s="406"/>
      <c r="AB428" s="403"/>
      <c r="AC428" s="198"/>
      <c r="AD428" s="219"/>
      <c r="AE428" s="406"/>
      <c r="AF428" s="403"/>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6"/>
      <c r="T429" s="403"/>
      <c r="U429" s="198"/>
      <c r="V429" s="219"/>
      <c r="W429" s="406"/>
      <c r="X429" s="403"/>
      <c r="Y429" s="198"/>
      <c r="Z429" s="219"/>
      <c r="AA429" s="406"/>
      <c r="AB429" s="403"/>
      <c r="AC429" s="198"/>
      <c r="AD429" s="219"/>
      <c r="AE429" s="406"/>
      <c r="AF429" s="403"/>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6"/>
      <c r="T430" s="403"/>
      <c r="U430" s="198"/>
      <c r="V430" s="219"/>
      <c r="W430" s="406"/>
      <c r="X430" s="403"/>
      <c r="Y430" s="198"/>
      <c r="Z430" s="219"/>
      <c r="AA430" s="406"/>
      <c r="AB430" s="403"/>
      <c r="AC430" s="198"/>
      <c r="AD430" s="219"/>
      <c r="AE430" s="406"/>
      <c r="AF430" s="403"/>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6"/>
      <c r="T431" s="403"/>
      <c r="U431" s="198"/>
      <c r="V431" s="219"/>
      <c r="W431" s="406"/>
      <c r="X431" s="403"/>
      <c r="Y431" s="198"/>
      <c r="Z431" s="219"/>
      <c r="AA431" s="406"/>
      <c r="AB431" s="403"/>
      <c r="AC431" s="198"/>
      <c r="AD431" s="219"/>
      <c r="AE431" s="406"/>
      <c r="AF431" s="403"/>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6"/>
      <c r="T432" s="403"/>
      <c r="U432" s="198"/>
      <c r="V432" s="219"/>
      <c r="W432" s="406"/>
      <c r="X432" s="403"/>
      <c r="Y432" s="198"/>
      <c r="Z432" s="219"/>
      <c r="AA432" s="406"/>
      <c r="AB432" s="403"/>
      <c r="AC432" s="198"/>
      <c r="AD432" s="219"/>
      <c r="AE432" s="406"/>
      <c r="AF432" s="403"/>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6"/>
      <c r="T433" s="403"/>
      <c r="U433" s="198"/>
      <c r="V433" s="219"/>
      <c r="W433" s="406"/>
      <c r="X433" s="403"/>
      <c r="Y433" s="198"/>
      <c r="Z433" s="219"/>
      <c r="AA433" s="406"/>
      <c r="AB433" s="403"/>
      <c r="AC433" s="198"/>
      <c r="AD433" s="219"/>
      <c r="AE433" s="406"/>
      <c r="AF433" s="403"/>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6"/>
      <c r="T434" s="403"/>
      <c r="U434" s="198"/>
      <c r="V434" s="219"/>
      <c r="W434" s="406"/>
      <c r="X434" s="403"/>
      <c r="Y434" s="198"/>
      <c r="Z434" s="219"/>
      <c r="AA434" s="406"/>
      <c r="AB434" s="403"/>
      <c r="AC434" s="198"/>
      <c r="AD434" s="219"/>
      <c r="AE434" s="406"/>
      <c r="AF434" s="403"/>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6"/>
      <c r="T435" s="403"/>
      <c r="U435" s="198"/>
      <c r="V435" s="219"/>
      <c r="W435" s="406"/>
      <c r="X435" s="403"/>
      <c r="Y435" s="198"/>
      <c r="Z435" s="219"/>
      <c r="AA435" s="406"/>
      <c r="AB435" s="403"/>
      <c r="AC435" s="198"/>
      <c r="AD435" s="219"/>
      <c r="AE435" s="406"/>
      <c r="AF435" s="403"/>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6"/>
      <c r="T436" s="403"/>
      <c r="U436" s="198"/>
      <c r="V436" s="219"/>
      <c r="W436" s="406"/>
      <c r="X436" s="403"/>
      <c r="Y436" s="198"/>
      <c r="Z436" s="219"/>
      <c r="AA436" s="406"/>
      <c r="AB436" s="403"/>
      <c r="AC436" s="198"/>
      <c r="AD436" s="219"/>
      <c r="AE436" s="406"/>
      <c r="AF436" s="403"/>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6"/>
      <c r="T437" s="403"/>
      <c r="U437" s="198"/>
      <c r="V437" s="219"/>
      <c r="W437" s="406"/>
      <c r="X437" s="403"/>
      <c r="Y437" s="198"/>
      <c r="Z437" s="219"/>
      <c r="AA437" s="406"/>
      <c r="AB437" s="403"/>
      <c r="AC437" s="198"/>
      <c r="AD437" s="219"/>
      <c r="AE437" s="406"/>
      <c r="AF437" s="403"/>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6"/>
      <c r="T438" s="403"/>
      <c r="U438" s="198"/>
      <c r="V438" s="219"/>
      <c r="W438" s="406"/>
      <c r="X438" s="403"/>
      <c r="Y438" s="198"/>
      <c r="Z438" s="219"/>
      <c r="AA438" s="406"/>
      <c r="AB438" s="403"/>
      <c r="AC438" s="198"/>
      <c r="AD438" s="219"/>
      <c r="AE438" s="406"/>
      <c r="AF438" s="403"/>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6"/>
      <c r="T439" s="403"/>
      <c r="U439" s="198"/>
      <c r="V439" s="219"/>
      <c r="W439" s="406"/>
      <c r="X439" s="403"/>
      <c r="Y439" s="198"/>
      <c r="Z439" s="219"/>
      <c r="AA439" s="406"/>
      <c r="AB439" s="403"/>
      <c r="AC439" s="198"/>
      <c r="AD439" s="219"/>
      <c r="AE439" s="406"/>
      <c r="AF439" s="403"/>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6"/>
      <c r="T440" s="403"/>
      <c r="U440" s="198"/>
      <c r="V440" s="219"/>
      <c r="W440" s="406"/>
      <c r="X440" s="403"/>
      <c r="Y440" s="198"/>
      <c r="Z440" s="219"/>
      <c r="AA440" s="406"/>
      <c r="AB440" s="403"/>
      <c r="AC440" s="198"/>
      <c r="AD440" s="219"/>
      <c r="AE440" s="406"/>
      <c r="AF440" s="403"/>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6"/>
      <c r="T441" s="403"/>
      <c r="U441" s="198"/>
      <c r="V441" s="219"/>
      <c r="W441" s="406"/>
      <c r="X441" s="403"/>
      <c r="Y441" s="198"/>
      <c r="Z441" s="219"/>
      <c r="AA441" s="406"/>
      <c r="AB441" s="403"/>
      <c r="AC441" s="198"/>
      <c r="AD441" s="219"/>
      <c r="AE441" s="406"/>
      <c r="AF441" s="403"/>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6"/>
      <c r="T442" s="403"/>
      <c r="U442" s="198"/>
      <c r="V442" s="219"/>
      <c r="W442" s="406"/>
      <c r="X442" s="403"/>
      <c r="Y442" s="198"/>
      <c r="Z442" s="219"/>
      <c r="AA442" s="406"/>
      <c r="AB442" s="403"/>
      <c r="AC442" s="198"/>
      <c r="AD442" s="219"/>
      <c r="AE442" s="406"/>
      <c r="AF442" s="403"/>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6"/>
      <c r="T443" s="403"/>
      <c r="U443" s="198"/>
      <c r="V443" s="219"/>
      <c r="W443" s="406"/>
      <c r="X443" s="403"/>
      <c r="Y443" s="198"/>
      <c r="Z443" s="219"/>
      <c r="AA443" s="406"/>
      <c r="AB443" s="403"/>
      <c r="AC443" s="198"/>
      <c r="AD443" s="219"/>
      <c r="AE443" s="406"/>
      <c r="AF443" s="403"/>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6"/>
      <c r="T444" s="403"/>
      <c r="U444" s="198"/>
      <c r="V444" s="219"/>
      <c r="W444" s="406"/>
      <c r="X444" s="403"/>
      <c r="Y444" s="198"/>
      <c r="Z444" s="219"/>
      <c r="AA444" s="406"/>
      <c r="AB444" s="403"/>
      <c r="AC444" s="198"/>
      <c r="AD444" s="219"/>
      <c r="AE444" s="406"/>
      <c r="AF444" s="403"/>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6"/>
      <c r="T445" s="403"/>
      <c r="U445" s="198"/>
      <c r="V445" s="219"/>
      <c r="W445" s="406"/>
      <c r="X445" s="403"/>
      <c r="Y445" s="198"/>
      <c r="Z445" s="219"/>
      <c r="AA445" s="406"/>
      <c r="AB445" s="403"/>
      <c r="AC445" s="198"/>
      <c r="AD445" s="219"/>
      <c r="AE445" s="406"/>
      <c r="AF445" s="403"/>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6"/>
      <c r="T446" s="403"/>
      <c r="U446" s="198"/>
      <c r="V446" s="219"/>
      <c r="W446" s="406"/>
      <c r="X446" s="403"/>
      <c r="Y446" s="198"/>
      <c r="Z446" s="219"/>
      <c r="AA446" s="406"/>
      <c r="AB446" s="403"/>
      <c r="AC446" s="198"/>
      <c r="AD446" s="219"/>
      <c r="AE446" s="406"/>
      <c r="AF446" s="403"/>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6"/>
      <c r="T447" s="403"/>
      <c r="U447" s="198"/>
      <c r="V447" s="219"/>
      <c r="W447" s="406"/>
      <c r="X447" s="403"/>
      <c r="Y447" s="198"/>
      <c r="Z447" s="219"/>
      <c r="AA447" s="406"/>
      <c r="AB447" s="403"/>
      <c r="AC447" s="198"/>
      <c r="AD447" s="219"/>
      <c r="AE447" s="406"/>
      <c r="AF447" s="403"/>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6"/>
      <c r="T448" s="403"/>
      <c r="U448" s="198"/>
      <c r="V448" s="219"/>
      <c r="W448" s="406"/>
      <c r="X448" s="403"/>
      <c r="Y448" s="198"/>
      <c r="Z448" s="219"/>
      <c r="AA448" s="406"/>
      <c r="AB448" s="403"/>
      <c r="AC448" s="198"/>
      <c r="AD448" s="219"/>
      <c r="AE448" s="406"/>
      <c r="AF448" s="403"/>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6"/>
      <c r="T449" s="403"/>
      <c r="U449" s="198"/>
      <c r="V449" s="219"/>
      <c r="W449" s="406"/>
      <c r="X449" s="403"/>
      <c r="Y449" s="198"/>
      <c r="Z449" s="219"/>
      <c r="AA449" s="406"/>
      <c r="AB449" s="403"/>
      <c r="AC449" s="198"/>
      <c r="AD449" s="219"/>
      <c r="AE449" s="406"/>
      <c r="AF449" s="403"/>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6"/>
      <c r="T450" s="403"/>
      <c r="U450" s="198"/>
      <c r="V450" s="219"/>
      <c r="W450" s="406"/>
      <c r="X450" s="403"/>
      <c r="Y450" s="198"/>
      <c r="Z450" s="219"/>
      <c r="AA450" s="406"/>
      <c r="AB450" s="403"/>
      <c r="AC450" s="198"/>
      <c r="AD450" s="219"/>
      <c r="AE450" s="406"/>
      <c r="AF450" s="403"/>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6"/>
      <c r="T451" s="403"/>
      <c r="U451" s="198"/>
      <c r="V451" s="219"/>
      <c r="W451" s="406"/>
      <c r="X451" s="403"/>
      <c r="Y451" s="198"/>
      <c r="Z451" s="219"/>
      <c r="AA451" s="406"/>
      <c r="AB451" s="403"/>
      <c r="AC451" s="198"/>
      <c r="AD451" s="219"/>
      <c r="AE451" s="406"/>
      <c r="AF451" s="403"/>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6"/>
      <c r="T452" s="403"/>
      <c r="U452" s="198"/>
      <c r="V452" s="219"/>
      <c r="W452" s="406"/>
      <c r="X452" s="403"/>
      <c r="Y452" s="198"/>
      <c r="Z452" s="219"/>
      <c r="AA452" s="406"/>
      <c r="AB452" s="403"/>
      <c r="AC452" s="198"/>
      <c r="AD452" s="219"/>
      <c r="AE452" s="406"/>
      <c r="AF452" s="403"/>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6"/>
      <c r="T453" s="403"/>
      <c r="U453" s="198"/>
      <c r="V453" s="219"/>
      <c r="W453" s="406"/>
      <c r="X453" s="403"/>
      <c r="Y453" s="198"/>
      <c r="Z453" s="219"/>
      <c r="AA453" s="406"/>
      <c r="AB453" s="403"/>
      <c r="AC453" s="198"/>
      <c r="AD453" s="219"/>
      <c r="AE453" s="406"/>
      <c r="AF453" s="403"/>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6"/>
      <c r="T454" s="403"/>
      <c r="U454" s="198"/>
      <c r="V454" s="219"/>
      <c r="W454" s="406"/>
      <c r="X454" s="403"/>
      <c r="Y454" s="198"/>
      <c r="Z454" s="219"/>
      <c r="AA454" s="406"/>
      <c r="AB454" s="403"/>
      <c r="AC454" s="198"/>
      <c r="AD454" s="219"/>
      <c r="AE454" s="406"/>
      <c r="AF454" s="403"/>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6"/>
      <c r="T455" s="403"/>
      <c r="U455" s="198"/>
      <c r="V455" s="219"/>
      <c r="W455" s="406"/>
      <c r="X455" s="403"/>
      <c r="Y455" s="198"/>
      <c r="Z455" s="219"/>
      <c r="AA455" s="406"/>
      <c r="AB455" s="403"/>
      <c r="AC455" s="198"/>
      <c r="AD455" s="219"/>
      <c r="AE455" s="406"/>
      <c r="AF455" s="403"/>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6"/>
      <c r="T456" s="403"/>
      <c r="U456" s="198"/>
      <c r="V456" s="219"/>
      <c r="W456" s="406"/>
      <c r="X456" s="403"/>
      <c r="Y456" s="198"/>
      <c r="Z456" s="219"/>
      <c r="AA456" s="406"/>
      <c r="AB456" s="403"/>
      <c r="AC456" s="198"/>
      <c r="AD456" s="219"/>
      <c r="AE456" s="406"/>
      <c r="AF456" s="403"/>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6"/>
      <c r="T457" s="403"/>
      <c r="U457" s="198"/>
      <c r="V457" s="219"/>
      <c r="W457" s="406"/>
      <c r="X457" s="403"/>
      <c r="Y457" s="198"/>
      <c r="Z457" s="219"/>
      <c r="AA457" s="406"/>
      <c r="AB457" s="403"/>
      <c r="AC457" s="198"/>
      <c r="AD457" s="219"/>
      <c r="AE457" s="406"/>
      <c r="AF457" s="403"/>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6"/>
      <c r="T458" s="403"/>
      <c r="U458" s="198"/>
      <c r="V458" s="219"/>
      <c r="W458" s="406"/>
      <c r="X458" s="403"/>
      <c r="Y458" s="198"/>
      <c r="Z458" s="219"/>
      <c r="AA458" s="406"/>
      <c r="AB458" s="403"/>
      <c r="AC458" s="198"/>
      <c r="AD458" s="219"/>
      <c r="AE458" s="406"/>
      <c r="AF458" s="403"/>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6"/>
      <c r="T459" s="403"/>
      <c r="U459" s="198"/>
      <c r="V459" s="219"/>
      <c r="W459" s="406"/>
      <c r="X459" s="403"/>
      <c r="Y459" s="198"/>
      <c r="Z459" s="219"/>
      <c r="AA459" s="406"/>
      <c r="AB459" s="403"/>
      <c r="AC459" s="198"/>
      <c r="AD459" s="219"/>
      <c r="AE459" s="406"/>
      <c r="AF459" s="403"/>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6"/>
      <c r="T460" s="403"/>
      <c r="U460" s="198"/>
      <c r="V460" s="219"/>
      <c r="W460" s="406"/>
      <c r="X460" s="403"/>
      <c r="Y460" s="198"/>
      <c r="Z460" s="219"/>
      <c r="AA460" s="406"/>
      <c r="AB460" s="403"/>
      <c r="AC460" s="198"/>
      <c r="AD460" s="219"/>
      <c r="AE460" s="406"/>
      <c r="AF460" s="403"/>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6"/>
      <c r="T461" s="403"/>
      <c r="U461" s="198"/>
      <c r="V461" s="219"/>
      <c r="W461" s="406"/>
      <c r="X461" s="403"/>
      <c r="Y461" s="198"/>
      <c r="Z461" s="219"/>
      <c r="AA461" s="406"/>
      <c r="AB461" s="403"/>
      <c r="AC461" s="198"/>
      <c r="AD461" s="219"/>
      <c r="AE461" s="406"/>
      <c r="AF461" s="403"/>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6"/>
      <c r="T462" s="403"/>
      <c r="U462" s="198"/>
      <c r="V462" s="219"/>
      <c r="W462" s="406"/>
      <c r="X462" s="403"/>
      <c r="Y462" s="198"/>
      <c r="Z462" s="219"/>
      <c r="AA462" s="406"/>
      <c r="AB462" s="403"/>
      <c r="AC462" s="198"/>
      <c r="AD462" s="219"/>
      <c r="AE462" s="406"/>
      <c r="AF462" s="403"/>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6"/>
      <c r="T463" s="403"/>
      <c r="U463" s="198"/>
      <c r="V463" s="219"/>
      <c r="W463" s="406"/>
      <c r="X463" s="403"/>
      <c r="Y463" s="198"/>
      <c r="Z463" s="219"/>
      <c r="AA463" s="406"/>
      <c r="AB463" s="403"/>
      <c r="AC463" s="198"/>
      <c r="AD463" s="219"/>
      <c r="AE463" s="406"/>
      <c r="AF463" s="403"/>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6"/>
      <c r="T464" s="403"/>
      <c r="U464" s="198"/>
      <c r="V464" s="219"/>
      <c r="W464" s="406"/>
      <c r="X464" s="403"/>
      <c r="Y464" s="198"/>
      <c r="Z464" s="219"/>
      <c r="AA464" s="406"/>
      <c r="AB464" s="403"/>
      <c r="AC464" s="198"/>
      <c r="AD464" s="219"/>
      <c r="AE464" s="406"/>
      <c r="AF464" s="403"/>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6"/>
      <c r="T465" s="403"/>
      <c r="U465" s="198"/>
      <c r="V465" s="219"/>
      <c r="W465" s="406"/>
      <c r="X465" s="403"/>
      <c r="Y465" s="198"/>
      <c r="Z465" s="219"/>
      <c r="AA465" s="406"/>
      <c r="AB465" s="403"/>
      <c r="AC465" s="198"/>
      <c r="AD465" s="219"/>
      <c r="AE465" s="406"/>
      <c r="AF465" s="403"/>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6"/>
      <c r="T466" s="403"/>
      <c r="U466" s="198"/>
      <c r="V466" s="219"/>
      <c r="W466" s="406"/>
      <c r="X466" s="403"/>
      <c r="Y466" s="198"/>
      <c r="Z466" s="219"/>
      <c r="AA466" s="406"/>
      <c r="AB466" s="403"/>
      <c r="AC466" s="198"/>
      <c r="AD466" s="219"/>
      <c r="AE466" s="406"/>
      <c r="AF466" s="403"/>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6"/>
      <c r="T467" s="403"/>
      <c r="U467" s="198"/>
      <c r="V467" s="219"/>
      <c r="W467" s="406"/>
      <c r="X467" s="403"/>
      <c r="Y467" s="198"/>
      <c r="Z467" s="219"/>
      <c r="AA467" s="406"/>
      <c r="AB467" s="403"/>
      <c r="AC467" s="198"/>
      <c r="AD467" s="219"/>
      <c r="AE467" s="406"/>
      <c r="AF467" s="403"/>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6"/>
      <c r="T468" s="403"/>
      <c r="U468" s="198"/>
      <c r="V468" s="219"/>
      <c r="W468" s="406"/>
      <c r="X468" s="403"/>
      <c r="Y468" s="198"/>
      <c r="Z468" s="219"/>
      <c r="AA468" s="406"/>
      <c r="AB468" s="403"/>
      <c r="AC468" s="198"/>
      <c r="AD468" s="219"/>
      <c r="AE468" s="406"/>
      <c r="AF468" s="403"/>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6"/>
      <c r="T469" s="403"/>
      <c r="U469" s="198"/>
      <c r="V469" s="219"/>
      <c r="W469" s="406"/>
      <c r="X469" s="403"/>
      <c r="Y469" s="198"/>
      <c r="Z469" s="219"/>
      <c r="AA469" s="406"/>
      <c r="AB469" s="403"/>
      <c r="AC469" s="198"/>
      <c r="AD469" s="219"/>
      <c r="AE469" s="406"/>
      <c r="AF469" s="403"/>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6"/>
      <c r="T470" s="403"/>
      <c r="U470" s="198"/>
      <c r="V470" s="219"/>
      <c r="W470" s="406"/>
      <c r="X470" s="403"/>
      <c r="Y470" s="198"/>
      <c r="Z470" s="219"/>
      <c r="AA470" s="406"/>
      <c r="AB470" s="403"/>
      <c r="AC470" s="198"/>
      <c r="AD470" s="219"/>
      <c r="AE470" s="406"/>
      <c r="AF470" s="403"/>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6"/>
      <c r="T471" s="403"/>
      <c r="U471" s="198"/>
      <c r="V471" s="219"/>
      <c r="W471" s="406"/>
      <c r="X471" s="403"/>
      <c r="Y471" s="198"/>
      <c r="Z471" s="219"/>
      <c r="AA471" s="406"/>
      <c r="AB471" s="403"/>
      <c r="AC471" s="198"/>
      <c r="AD471" s="219"/>
      <c r="AE471" s="406"/>
      <c r="AF471" s="403"/>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6"/>
      <c r="T472" s="403"/>
      <c r="U472" s="198"/>
      <c r="V472" s="219"/>
      <c r="W472" s="406"/>
      <c r="X472" s="403"/>
      <c r="Y472" s="198"/>
      <c r="Z472" s="219"/>
      <c r="AA472" s="406"/>
      <c r="AB472" s="403"/>
      <c r="AC472" s="198"/>
      <c r="AD472" s="219"/>
      <c r="AE472" s="406"/>
      <c r="AF472" s="403"/>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6"/>
      <c r="T473" s="403"/>
      <c r="U473" s="198"/>
      <c r="V473" s="219"/>
      <c r="W473" s="406"/>
      <c r="X473" s="403"/>
      <c r="Y473" s="198"/>
      <c r="Z473" s="219"/>
      <c r="AA473" s="406"/>
      <c r="AB473" s="403"/>
      <c r="AC473" s="198"/>
      <c r="AD473" s="219"/>
      <c r="AE473" s="406"/>
      <c r="AF473" s="403"/>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6"/>
      <c r="T474" s="403"/>
      <c r="U474" s="198"/>
      <c r="V474" s="219"/>
      <c r="W474" s="406"/>
      <c r="X474" s="403"/>
      <c r="Y474" s="198"/>
      <c r="Z474" s="219"/>
      <c r="AA474" s="406"/>
      <c r="AB474" s="403"/>
      <c r="AC474" s="198"/>
      <c r="AD474" s="219"/>
      <c r="AE474" s="406"/>
      <c r="AF474" s="403"/>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6"/>
      <c r="T475" s="403"/>
      <c r="U475" s="198"/>
      <c r="V475" s="219"/>
      <c r="W475" s="406"/>
      <c r="X475" s="403"/>
      <c r="Y475" s="198"/>
      <c r="Z475" s="219"/>
      <c r="AA475" s="406"/>
      <c r="AB475" s="403"/>
      <c r="AC475" s="198"/>
      <c r="AD475" s="219"/>
      <c r="AE475" s="406"/>
      <c r="AF475" s="403"/>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6"/>
      <c r="T476" s="403"/>
      <c r="U476" s="198"/>
      <c r="V476" s="219"/>
      <c r="W476" s="406"/>
      <c r="X476" s="403"/>
      <c r="Y476" s="198"/>
      <c r="Z476" s="219"/>
      <c r="AA476" s="406"/>
      <c r="AB476" s="403"/>
      <c r="AC476" s="198"/>
      <c r="AD476" s="219"/>
      <c r="AE476" s="406"/>
      <c r="AF476" s="403"/>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6"/>
      <c r="T477" s="403"/>
      <c r="U477" s="198"/>
      <c r="V477" s="219"/>
      <c r="W477" s="406"/>
      <c r="X477" s="403"/>
      <c r="Y477" s="198"/>
      <c r="Z477" s="219"/>
      <c r="AA477" s="406"/>
      <c r="AB477" s="403"/>
      <c r="AC477" s="198"/>
      <c r="AD477" s="219"/>
      <c r="AE477" s="406"/>
      <c r="AF477" s="403"/>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6"/>
      <c r="T478" s="403"/>
      <c r="U478" s="198"/>
      <c r="V478" s="219"/>
      <c r="W478" s="406"/>
      <c r="X478" s="403"/>
      <c r="Y478" s="198"/>
      <c r="Z478" s="219"/>
      <c r="AA478" s="406"/>
      <c r="AB478" s="403"/>
      <c r="AC478" s="198"/>
      <c r="AD478" s="219"/>
      <c r="AE478" s="406"/>
      <c r="AF478" s="403"/>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6"/>
      <c r="T479" s="403"/>
      <c r="U479" s="198"/>
      <c r="V479" s="219"/>
      <c r="W479" s="406"/>
      <c r="X479" s="403"/>
      <c r="Y479" s="198"/>
      <c r="Z479" s="219"/>
      <c r="AA479" s="406"/>
      <c r="AB479" s="403"/>
      <c r="AC479" s="198"/>
      <c r="AD479" s="219"/>
      <c r="AE479" s="406"/>
      <c r="AF479" s="403"/>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6"/>
      <c r="T480" s="403"/>
      <c r="U480" s="198"/>
      <c r="V480" s="219"/>
      <c r="W480" s="406"/>
      <c r="X480" s="403"/>
      <c r="Y480" s="198"/>
      <c r="Z480" s="219"/>
      <c r="AA480" s="406"/>
      <c r="AB480" s="403"/>
      <c r="AC480" s="198"/>
      <c r="AD480" s="219"/>
      <c r="AE480" s="406"/>
      <c r="AF480" s="403"/>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6"/>
      <c r="T481" s="403"/>
      <c r="U481" s="198"/>
      <c r="V481" s="219"/>
      <c r="W481" s="406"/>
      <c r="X481" s="403"/>
      <c r="Y481" s="198"/>
      <c r="Z481" s="219"/>
      <c r="AA481" s="406"/>
      <c r="AB481" s="403"/>
      <c r="AC481" s="198"/>
      <c r="AD481" s="219"/>
      <c r="AE481" s="406"/>
      <c r="AF481" s="403"/>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6"/>
      <c r="T482" s="403"/>
      <c r="U482" s="198"/>
      <c r="V482" s="219"/>
      <c r="W482" s="406"/>
      <c r="X482" s="403"/>
      <c r="Y482" s="198"/>
      <c r="Z482" s="219"/>
      <c r="AA482" s="406"/>
      <c r="AB482" s="403"/>
      <c r="AC482" s="198"/>
      <c r="AD482" s="219"/>
      <c r="AE482" s="406"/>
      <c r="AF482" s="403"/>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6"/>
      <c r="T483" s="403"/>
      <c r="U483" s="198"/>
      <c r="V483" s="219"/>
      <c r="W483" s="406"/>
      <c r="X483" s="403"/>
      <c r="Y483" s="198"/>
      <c r="Z483" s="219"/>
      <c r="AA483" s="406"/>
      <c r="AB483" s="403"/>
      <c r="AC483" s="198"/>
      <c r="AD483" s="219"/>
      <c r="AE483" s="406"/>
      <c r="AF483" s="403"/>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6"/>
      <c r="T484" s="403"/>
      <c r="U484" s="198"/>
      <c r="V484" s="219"/>
      <c r="W484" s="406"/>
      <c r="X484" s="403"/>
      <c r="Y484" s="198"/>
      <c r="Z484" s="219"/>
      <c r="AA484" s="406"/>
      <c r="AB484" s="403"/>
      <c r="AC484" s="198"/>
      <c r="AD484" s="219"/>
      <c r="AE484" s="406"/>
      <c r="AF484" s="403"/>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6"/>
      <c r="T485" s="403"/>
      <c r="U485" s="198"/>
      <c r="V485" s="219"/>
      <c r="W485" s="406"/>
      <c r="X485" s="403"/>
      <c r="Y485" s="198"/>
      <c r="Z485" s="219"/>
      <c r="AA485" s="406"/>
      <c r="AB485" s="403"/>
      <c r="AC485" s="198"/>
      <c r="AD485" s="219"/>
      <c r="AE485" s="406"/>
      <c r="AF485" s="403"/>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6"/>
      <c r="T486" s="403"/>
      <c r="U486" s="198"/>
      <c r="V486" s="219"/>
      <c r="W486" s="406"/>
      <c r="X486" s="403"/>
      <c r="Y486" s="198"/>
      <c r="Z486" s="219"/>
      <c r="AA486" s="406"/>
      <c r="AB486" s="403"/>
      <c r="AC486" s="198"/>
      <c r="AD486" s="219"/>
      <c r="AE486" s="406"/>
      <c r="AF486" s="403"/>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6"/>
      <c r="T487" s="403"/>
      <c r="U487" s="198"/>
      <c r="V487" s="219"/>
      <c r="W487" s="406"/>
      <c r="X487" s="403"/>
      <c r="Y487" s="198"/>
      <c r="Z487" s="219"/>
      <c r="AA487" s="406"/>
      <c r="AB487" s="403"/>
      <c r="AC487" s="198"/>
      <c r="AD487" s="219"/>
      <c r="AE487" s="406"/>
      <c r="AF487" s="403"/>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6"/>
      <c r="T488" s="403"/>
      <c r="U488" s="198"/>
      <c r="V488" s="219"/>
      <c r="W488" s="406"/>
      <c r="X488" s="403"/>
      <c r="Y488" s="198"/>
      <c r="Z488" s="219"/>
      <c r="AA488" s="406"/>
      <c r="AB488" s="403"/>
      <c r="AC488" s="198"/>
      <c r="AD488" s="219"/>
      <c r="AE488" s="406"/>
      <c r="AF488" s="403"/>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6"/>
      <c r="T489" s="403"/>
      <c r="U489" s="198"/>
      <c r="V489" s="219"/>
      <c r="W489" s="406"/>
      <c r="X489" s="403"/>
      <c r="Y489" s="198"/>
      <c r="Z489" s="219"/>
      <c r="AA489" s="406"/>
      <c r="AB489" s="403"/>
      <c r="AC489" s="198"/>
      <c r="AD489" s="219"/>
      <c r="AE489" s="406"/>
      <c r="AF489" s="403"/>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6"/>
      <c r="T490" s="403"/>
      <c r="U490" s="198"/>
      <c r="V490" s="219"/>
      <c r="W490" s="406"/>
      <c r="X490" s="403"/>
      <c r="Y490" s="198"/>
      <c r="Z490" s="219"/>
      <c r="AA490" s="406"/>
      <c r="AB490" s="403"/>
      <c r="AC490" s="198"/>
      <c r="AD490" s="219"/>
      <c r="AE490" s="406"/>
      <c r="AF490" s="403"/>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6"/>
      <c r="T491" s="403"/>
      <c r="U491" s="198"/>
      <c r="V491" s="219"/>
      <c r="W491" s="406"/>
      <c r="X491" s="403"/>
      <c r="Y491" s="198"/>
      <c r="Z491" s="219"/>
      <c r="AA491" s="406"/>
      <c r="AB491" s="403"/>
      <c r="AC491" s="198"/>
      <c r="AD491" s="219"/>
      <c r="AE491" s="406"/>
      <c r="AF491" s="403"/>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6"/>
      <c r="T492" s="403"/>
      <c r="U492" s="198"/>
      <c r="V492" s="219"/>
      <c r="W492" s="406"/>
      <c r="X492" s="403"/>
      <c r="Y492" s="198"/>
      <c r="Z492" s="219"/>
      <c r="AA492" s="406"/>
      <c r="AB492" s="403"/>
      <c r="AC492" s="198"/>
      <c r="AD492" s="219"/>
      <c r="AE492" s="406"/>
      <c r="AF492" s="403"/>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6"/>
      <c r="T493" s="403"/>
      <c r="U493" s="198"/>
      <c r="V493" s="219"/>
      <c r="W493" s="406"/>
      <c r="X493" s="403"/>
      <c r="Y493" s="198"/>
      <c r="Z493" s="219"/>
      <c r="AA493" s="406"/>
      <c r="AB493" s="403"/>
      <c r="AC493" s="198"/>
      <c r="AD493" s="219"/>
      <c r="AE493" s="406"/>
      <c r="AF493" s="403"/>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6"/>
      <c r="T494" s="403"/>
      <c r="U494" s="198"/>
      <c r="V494" s="219"/>
      <c r="W494" s="406"/>
      <c r="X494" s="403"/>
      <c r="Y494" s="198"/>
      <c r="Z494" s="219"/>
      <c r="AA494" s="406"/>
      <c r="AB494" s="403"/>
      <c r="AC494" s="198"/>
      <c r="AD494" s="219"/>
      <c r="AE494" s="406"/>
      <c r="AF494" s="403"/>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6"/>
      <c r="T495" s="403"/>
      <c r="U495" s="198"/>
      <c r="V495" s="219"/>
      <c r="W495" s="406"/>
      <c r="X495" s="403"/>
      <c r="Y495" s="198"/>
      <c r="Z495" s="219"/>
      <c r="AA495" s="406"/>
      <c r="AB495" s="403"/>
      <c r="AC495" s="198"/>
      <c r="AD495" s="219"/>
      <c r="AE495" s="406"/>
      <c r="AF495" s="403"/>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6"/>
      <c r="T496" s="403"/>
      <c r="U496" s="198"/>
      <c r="V496" s="219"/>
      <c r="W496" s="406"/>
      <c r="X496" s="403"/>
      <c r="Y496" s="198"/>
      <c r="Z496" s="219"/>
      <c r="AA496" s="406"/>
      <c r="AB496" s="403"/>
      <c r="AC496" s="198"/>
      <c r="AD496" s="219"/>
      <c r="AE496" s="406"/>
      <c r="AF496" s="403"/>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6"/>
      <c r="T497" s="403"/>
      <c r="U497" s="198"/>
      <c r="V497" s="219"/>
      <c r="W497" s="406"/>
      <c r="X497" s="403"/>
      <c r="Y497" s="198"/>
      <c r="Z497" s="219"/>
      <c r="AA497" s="406"/>
      <c r="AB497" s="403"/>
      <c r="AC497" s="198"/>
      <c r="AD497" s="219"/>
      <c r="AE497" s="406"/>
      <c r="AF497" s="403"/>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6"/>
      <c r="T498" s="403"/>
      <c r="U498" s="198"/>
      <c r="V498" s="219"/>
      <c r="W498" s="406"/>
      <c r="X498" s="403"/>
      <c r="Y498" s="198"/>
      <c r="Z498" s="219"/>
      <c r="AA498" s="406"/>
      <c r="AB498" s="403"/>
      <c r="AC498" s="198"/>
      <c r="AD498" s="219"/>
      <c r="AE498" s="406"/>
      <c r="AF498" s="403"/>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6"/>
      <c r="T499" s="403"/>
      <c r="U499" s="198"/>
      <c r="V499" s="219"/>
      <c r="W499" s="406"/>
      <c r="X499" s="403"/>
      <c r="Y499" s="198"/>
      <c r="Z499" s="219"/>
      <c r="AA499" s="406"/>
      <c r="AB499" s="403"/>
      <c r="AC499" s="198"/>
      <c r="AD499" s="219"/>
      <c r="AE499" s="406"/>
      <c r="AF499" s="403"/>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6"/>
      <c r="T500" s="403"/>
      <c r="U500" s="198"/>
      <c r="V500" s="219"/>
      <c r="W500" s="406"/>
      <c r="X500" s="403"/>
      <c r="Y500" s="198"/>
      <c r="Z500" s="219"/>
      <c r="AA500" s="406"/>
      <c r="AB500" s="403"/>
      <c r="AC500" s="198"/>
      <c r="AD500" s="219"/>
      <c r="AE500" s="406"/>
      <c r="AF500" s="403"/>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6"/>
      <c r="T501" s="403"/>
      <c r="U501" s="198"/>
      <c r="V501" s="219"/>
      <c r="W501" s="406"/>
      <c r="X501" s="403"/>
      <c r="Y501" s="198"/>
      <c r="Z501" s="219"/>
      <c r="AA501" s="406"/>
      <c r="AB501" s="403"/>
      <c r="AC501" s="198"/>
      <c r="AD501" s="219"/>
      <c r="AE501" s="406"/>
      <c r="AF501" s="403"/>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6"/>
      <c r="T502" s="403"/>
      <c r="U502" s="198"/>
      <c r="V502" s="219"/>
      <c r="W502" s="406"/>
      <c r="X502" s="403"/>
      <c r="Y502" s="198"/>
      <c r="Z502" s="219"/>
      <c r="AA502" s="406"/>
      <c r="AB502" s="403"/>
      <c r="AC502" s="198"/>
      <c r="AD502" s="219"/>
      <c r="AE502" s="406"/>
      <c r="AF502" s="403"/>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6"/>
      <c r="T503" s="403"/>
      <c r="U503" s="198"/>
      <c r="V503" s="219"/>
      <c r="W503" s="406"/>
      <c r="X503" s="403"/>
      <c r="Y503" s="198"/>
      <c r="Z503" s="219"/>
      <c r="AA503" s="406"/>
      <c r="AB503" s="403"/>
      <c r="AC503" s="198"/>
      <c r="AD503" s="219"/>
      <c r="AE503" s="406"/>
      <c r="AF503" s="403"/>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6"/>
      <c r="T504" s="403"/>
      <c r="U504" s="198"/>
      <c r="V504" s="219"/>
      <c r="W504" s="406"/>
      <c r="X504" s="403"/>
      <c r="Y504" s="198"/>
      <c r="Z504" s="219"/>
      <c r="AA504" s="406"/>
      <c r="AB504" s="403"/>
      <c r="AC504" s="198"/>
      <c r="AD504" s="219"/>
      <c r="AE504" s="406"/>
      <c r="AF504" s="403"/>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6"/>
      <c r="T505" s="403"/>
      <c r="U505" s="198"/>
      <c r="V505" s="219"/>
      <c r="W505" s="406"/>
      <c r="X505" s="403"/>
      <c r="Y505" s="198"/>
      <c r="Z505" s="219"/>
      <c r="AA505" s="406"/>
      <c r="AB505" s="403"/>
      <c r="AC505" s="198"/>
      <c r="AD505" s="219"/>
      <c r="AE505" s="406"/>
      <c r="AF505" s="403"/>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6"/>
      <c r="T506" s="403"/>
      <c r="U506" s="198"/>
      <c r="V506" s="219"/>
      <c r="W506" s="406"/>
      <c r="X506" s="403"/>
      <c r="Y506" s="198"/>
      <c r="Z506" s="219"/>
      <c r="AA506" s="406"/>
      <c r="AB506" s="403"/>
      <c r="AC506" s="198"/>
      <c r="AD506" s="219"/>
      <c r="AE506" s="406"/>
      <c r="AF506" s="403"/>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6"/>
      <c r="T507" s="403"/>
      <c r="U507" s="198"/>
      <c r="V507" s="219"/>
      <c r="W507" s="406"/>
      <c r="X507" s="403"/>
      <c r="Y507" s="198"/>
      <c r="Z507" s="219"/>
      <c r="AA507" s="406"/>
      <c r="AB507" s="403"/>
      <c r="AC507" s="198"/>
      <c r="AD507" s="219"/>
      <c r="AE507" s="406"/>
      <c r="AF507" s="403"/>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6"/>
      <c r="T508" s="403"/>
      <c r="U508" s="198"/>
      <c r="V508" s="219"/>
      <c r="W508" s="406"/>
      <c r="X508" s="403"/>
      <c r="Y508" s="198"/>
      <c r="Z508" s="219"/>
      <c r="AA508" s="406"/>
      <c r="AB508" s="403"/>
      <c r="AC508" s="198"/>
      <c r="AD508" s="219"/>
      <c r="AE508" s="406"/>
      <c r="AF508" s="403"/>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6"/>
      <c r="T509" s="403"/>
      <c r="U509" s="198"/>
      <c r="V509" s="219"/>
      <c r="W509" s="406"/>
      <c r="X509" s="403"/>
      <c r="Y509" s="198"/>
      <c r="Z509" s="219"/>
      <c r="AA509" s="406"/>
      <c r="AB509" s="403"/>
      <c r="AC509" s="198"/>
      <c r="AD509" s="219"/>
      <c r="AE509" s="406"/>
      <c r="AF509" s="403"/>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6"/>
      <c r="T510" s="403"/>
      <c r="U510" s="198"/>
      <c r="V510" s="219"/>
      <c r="W510" s="406"/>
      <c r="X510" s="403"/>
      <c r="Y510" s="198"/>
      <c r="Z510" s="219"/>
      <c r="AA510" s="406"/>
      <c r="AB510" s="403"/>
      <c r="AC510" s="198"/>
      <c r="AD510" s="219"/>
      <c r="AE510" s="406"/>
      <c r="AF510" s="403"/>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6"/>
      <c r="T511" s="403"/>
      <c r="U511" s="198"/>
      <c r="V511" s="219"/>
      <c r="W511" s="406"/>
      <c r="X511" s="403"/>
      <c r="Y511" s="198"/>
      <c r="Z511" s="219"/>
      <c r="AA511" s="406"/>
      <c r="AB511" s="403"/>
      <c r="AC511" s="198"/>
      <c r="AD511" s="219"/>
      <c r="AE511" s="406"/>
      <c r="AF511" s="403"/>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6"/>
      <c r="T512" s="403"/>
      <c r="U512" s="198"/>
      <c r="V512" s="219"/>
      <c r="W512" s="406"/>
      <c r="X512" s="403"/>
      <c r="Y512" s="198"/>
      <c r="Z512" s="219"/>
      <c r="AA512" s="406"/>
      <c r="AB512" s="403"/>
      <c r="AC512" s="198"/>
      <c r="AD512" s="219"/>
      <c r="AE512" s="406"/>
      <c r="AF512" s="403"/>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6"/>
      <c r="T513" s="403"/>
      <c r="U513" s="198"/>
      <c r="V513" s="219"/>
      <c r="W513" s="406"/>
      <c r="X513" s="403"/>
      <c r="Y513" s="198"/>
      <c r="Z513" s="219"/>
      <c r="AA513" s="406"/>
      <c r="AB513" s="403"/>
      <c r="AC513" s="198"/>
      <c r="AD513" s="219"/>
      <c r="AE513" s="406"/>
      <c r="AF513" s="403"/>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6"/>
      <c r="T514" s="403"/>
      <c r="U514" s="198"/>
      <c r="V514" s="219"/>
      <c r="W514" s="406"/>
      <c r="X514" s="403"/>
      <c r="Y514" s="198"/>
      <c r="Z514" s="219"/>
      <c r="AA514" s="406"/>
      <c r="AB514" s="403"/>
      <c r="AC514" s="198"/>
      <c r="AD514" s="219"/>
      <c r="AE514" s="406"/>
      <c r="AF514" s="403"/>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6"/>
      <c r="T515" s="403"/>
      <c r="U515" s="198"/>
      <c r="V515" s="219"/>
      <c r="W515" s="406"/>
      <c r="X515" s="403"/>
      <c r="Y515" s="198"/>
      <c r="Z515" s="219"/>
      <c r="AA515" s="406"/>
      <c r="AB515" s="403"/>
      <c r="AC515" s="198"/>
      <c r="AD515" s="219"/>
      <c r="AE515" s="406"/>
      <c r="AF515" s="403"/>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6"/>
      <c r="T516" s="403"/>
      <c r="U516" s="198"/>
      <c r="V516" s="219"/>
      <c r="W516" s="406"/>
      <c r="X516" s="403"/>
      <c r="Y516" s="198"/>
      <c r="Z516" s="219"/>
      <c r="AA516" s="406"/>
      <c r="AB516" s="403"/>
      <c r="AC516" s="198"/>
      <c r="AD516" s="219"/>
      <c r="AE516" s="406"/>
      <c r="AF516" s="403"/>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6"/>
      <c r="T517" s="403"/>
      <c r="U517" s="198"/>
      <c r="V517" s="219"/>
      <c r="W517" s="406"/>
      <c r="X517" s="403"/>
      <c r="Y517" s="198"/>
      <c r="Z517" s="219"/>
      <c r="AA517" s="406"/>
      <c r="AB517" s="403"/>
      <c r="AC517" s="198"/>
      <c r="AD517" s="219"/>
      <c r="AE517" s="406"/>
      <c r="AF517" s="403"/>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6"/>
      <c r="T518" s="403"/>
      <c r="U518" s="198"/>
      <c r="V518" s="219"/>
      <c r="W518" s="406"/>
      <c r="X518" s="403"/>
      <c r="Y518" s="198"/>
      <c r="Z518" s="219"/>
      <c r="AA518" s="406"/>
      <c r="AB518" s="403"/>
      <c r="AC518" s="198"/>
      <c r="AD518" s="219"/>
      <c r="AE518" s="406"/>
      <c r="AF518" s="403"/>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6"/>
      <c r="T519" s="403"/>
      <c r="U519" s="198"/>
      <c r="V519" s="219"/>
      <c r="W519" s="406"/>
      <c r="X519" s="403"/>
      <c r="Y519" s="198"/>
      <c r="Z519" s="219"/>
      <c r="AA519" s="406"/>
      <c r="AB519" s="403"/>
      <c r="AC519" s="198"/>
      <c r="AD519" s="219"/>
      <c r="AE519" s="406"/>
      <c r="AF519" s="403"/>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6"/>
      <c r="T520" s="403"/>
      <c r="U520" s="198"/>
      <c r="V520" s="219"/>
      <c r="W520" s="406"/>
      <c r="X520" s="403"/>
      <c r="Y520" s="198"/>
      <c r="Z520" s="219"/>
      <c r="AA520" s="406"/>
      <c r="AB520" s="403"/>
      <c r="AC520" s="198"/>
      <c r="AD520" s="219"/>
      <c r="AE520" s="406"/>
      <c r="AF520" s="403"/>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6"/>
      <c r="T521" s="403"/>
      <c r="U521" s="198"/>
      <c r="V521" s="219"/>
      <c r="W521" s="406"/>
      <c r="X521" s="403"/>
      <c r="Y521" s="198"/>
      <c r="Z521" s="219"/>
      <c r="AA521" s="406"/>
      <c r="AB521" s="403"/>
      <c r="AC521" s="198"/>
      <c r="AD521" s="219"/>
      <c r="AE521" s="406"/>
      <c r="AF521" s="403"/>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6"/>
      <c r="T522" s="403"/>
      <c r="U522" s="198"/>
      <c r="V522" s="219"/>
      <c r="W522" s="406"/>
      <c r="X522" s="403"/>
      <c r="Y522" s="198"/>
      <c r="Z522" s="219"/>
      <c r="AA522" s="406"/>
      <c r="AB522" s="403"/>
      <c r="AC522" s="198"/>
      <c r="AD522" s="219"/>
      <c r="AE522" s="406"/>
      <c r="AF522" s="403"/>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6"/>
      <c r="T523" s="403"/>
      <c r="U523" s="198"/>
      <c r="V523" s="219"/>
      <c r="W523" s="406"/>
      <c r="X523" s="403"/>
      <c r="Y523" s="198"/>
      <c r="Z523" s="219"/>
      <c r="AA523" s="406"/>
      <c r="AB523" s="403"/>
      <c r="AC523" s="198"/>
      <c r="AD523" s="219"/>
      <c r="AE523" s="406"/>
      <c r="AF523" s="403"/>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6"/>
      <c r="T524" s="403"/>
      <c r="U524" s="198"/>
      <c r="V524" s="219"/>
      <c r="W524" s="406"/>
      <c r="X524" s="403"/>
      <c r="Y524" s="198"/>
      <c r="Z524" s="219"/>
      <c r="AA524" s="406"/>
      <c r="AB524" s="403"/>
      <c r="AC524" s="198"/>
      <c r="AD524" s="219"/>
      <c r="AE524" s="406"/>
      <c r="AF524" s="403"/>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6"/>
      <c r="T525" s="403"/>
      <c r="U525" s="198"/>
      <c r="V525" s="219"/>
      <c r="W525" s="406"/>
      <c r="X525" s="403"/>
      <c r="Y525" s="198"/>
      <c r="Z525" s="219"/>
      <c r="AA525" s="406"/>
      <c r="AB525" s="403"/>
      <c r="AC525" s="198"/>
      <c r="AD525" s="219"/>
      <c r="AE525" s="406"/>
      <c r="AF525" s="403"/>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6"/>
      <c r="T526" s="403"/>
      <c r="U526" s="198"/>
      <c r="V526" s="219"/>
      <c r="W526" s="406"/>
      <c r="X526" s="403"/>
      <c r="Y526" s="198"/>
      <c r="Z526" s="219"/>
      <c r="AA526" s="406"/>
      <c r="AB526" s="403"/>
      <c r="AC526" s="198"/>
      <c r="AD526" s="219"/>
      <c r="AE526" s="406"/>
      <c r="AF526" s="403"/>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6"/>
      <c r="T527" s="403"/>
      <c r="U527" s="198"/>
      <c r="V527" s="219"/>
      <c r="W527" s="406"/>
      <c r="X527" s="403"/>
      <c r="Y527" s="198"/>
      <c r="Z527" s="219"/>
      <c r="AA527" s="406"/>
      <c r="AB527" s="403"/>
      <c r="AC527" s="198"/>
      <c r="AD527" s="219"/>
      <c r="AE527" s="406"/>
      <c r="AF527" s="403"/>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6"/>
      <c r="T528" s="403"/>
      <c r="U528" s="198"/>
      <c r="V528" s="219"/>
      <c r="W528" s="406"/>
      <c r="X528" s="403"/>
      <c r="Y528" s="198"/>
      <c r="Z528" s="219"/>
      <c r="AA528" s="406"/>
      <c r="AB528" s="403"/>
      <c r="AC528" s="198"/>
      <c r="AD528" s="219"/>
      <c r="AE528" s="406"/>
      <c r="AF528" s="403"/>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6"/>
      <c r="T529" s="403"/>
      <c r="U529" s="198"/>
      <c r="V529" s="219"/>
      <c r="W529" s="406"/>
      <c r="X529" s="403"/>
      <c r="Y529" s="198"/>
      <c r="Z529" s="219"/>
      <c r="AA529" s="406"/>
      <c r="AB529" s="403"/>
      <c r="AC529" s="198"/>
      <c r="AD529" s="219"/>
      <c r="AE529" s="406"/>
      <c r="AF529" s="403"/>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6"/>
      <c r="T530" s="403"/>
      <c r="U530" s="198"/>
      <c r="V530" s="219"/>
      <c r="W530" s="406"/>
      <c r="X530" s="403"/>
      <c r="Y530" s="198"/>
      <c r="Z530" s="219"/>
      <c r="AA530" s="406"/>
      <c r="AB530" s="403"/>
      <c r="AC530" s="198"/>
      <c r="AD530" s="219"/>
      <c r="AE530" s="406"/>
      <c r="AF530" s="403"/>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6"/>
      <c r="T531" s="403"/>
      <c r="U531" s="198"/>
      <c r="V531" s="219"/>
      <c r="W531" s="406"/>
      <c r="X531" s="403"/>
      <c r="Y531" s="198"/>
      <c r="Z531" s="219"/>
      <c r="AA531" s="406"/>
      <c r="AB531" s="403"/>
      <c r="AC531" s="198"/>
      <c r="AD531" s="219"/>
      <c r="AE531" s="406"/>
      <c r="AF531" s="403"/>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6"/>
      <c r="T532" s="403"/>
      <c r="U532" s="198"/>
      <c r="V532" s="219"/>
      <c r="W532" s="406"/>
      <c r="X532" s="403"/>
      <c r="Y532" s="198"/>
      <c r="Z532" s="219"/>
      <c r="AA532" s="406"/>
      <c r="AB532" s="403"/>
      <c r="AC532" s="198"/>
      <c r="AD532" s="219"/>
      <c r="AE532" s="406"/>
      <c r="AF532" s="403"/>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6"/>
      <c r="T533" s="403"/>
      <c r="U533" s="198"/>
      <c r="V533" s="219"/>
      <c r="W533" s="406"/>
      <c r="X533" s="403"/>
      <c r="Y533" s="198"/>
      <c r="Z533" s="219"/>
      <c r="AA533" s="406"/>
      <c r="AB533" s="403"/>
      <c r="AC533" s="198"/>
      <c r="AD533" s="219"/>
      <c r="AE533" s="406"/>
      <c r="AF533" s="403"/>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6"/>
      <c r="T534" s="403"/>
      <c r="U534" s="198"/>
      <c r="V534" s="219"/>
      <c r="W534" s="406"/>
      <c r="X534" s="403"/>
      <c r="Y534" s="198"/>
      <c r="Z534" s="219"/>
      <c r="AA534" s="406"/>
      <c r="AB534" s="403"/>
      <c r="AC534" s="198"/>
      <c r="AD534" s="219"/>
      <c r="AE534" s="406"/>
      <c r="AF534" s="403"/>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6"/>
      <c r="T535" s="403"/>
      <c r="U535" s="198"/>
      <c r="V535" s="219"/>
      <c r="W535" s="406"/>
      <c r="X535" s="403"/>
      <c r="Y535" s="198"/>
      <c r="Z535" s="219"/>
      <c r="AA535" s="406"/>
      <c r="AB535" s="403"/>
      <c r="AC535" s="198"/>
      <c r="AD535" s="219"/>
      <c r="AE535" s="406"/>
      <c r="AF535" s="403"/>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6"/>
      <c r="T536" s="403"/>
      <c r="U536" s="198"/>
      <c r="V536" s="219"/>
      <c r="W536" s="406"/>
      <c r="X536" s="403"/>
      <c r="Y536" s="198"/>
      <c r="Z536" s="219"/>
      <c r="AA536" s="406"/>
      <c r="AB536" s="403"/>
      <c r="AC536" s="198"/>
      <c r="AD536" s="219"/>
      <c r="AE536" s="406"/>
      <c r="AF536" s="403"/>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6"/>
      <c r="T537" s="403"/>
      <c r="U537" s="198"/>
      <c r="V537" s="219"/>
      <c r="W537" s="406"/>
      <c r="X537" s="403"/>
      <c r="Y537" s="198"/>
      <c r="Z537" s="219"/>
      <c r="AA537" s="406"/>
      <c r="AB537" s="403"/>
      <c r="AC537" s="198"/>
      <c r="AD537" s="219"/>
      <c r="AE537" s="406"/>
      <c r="AF537" s="403"/>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6"/>
      <c r="T538" s="403"/>
      <c r="U538" s="198"/>
      <c r="V538" s="219"/>
      <c r="W538" s="406"/>
      <c r="X538" s="403"/>
      <c r="Y538" s="198"/>
      <c r="Z538" s="219"/>
      <c r="AA538" s="406"/>
      <c r="AB538" s="403"/>
      <c r="AC538" s="198"/>
      <c r="AD538" s="219"/>
      <c r="AE538" s="406"/>
      <c r="AF538" s="403"/>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6"/>
      <c r="T539" s="403"/>
      <c r="U539" s="198"/>
      <c r="V539" s="219"/>
      <c r="W539" s="406"/>
      <c r="X539" s="403"/>
      <c r="Y539" s="198"/>
      <c r="Z539" s="219"/>
      <c r="AA539" s="406"/>
      <c r="AB539" s="403"/>
      <c r="AC539" s="198"/>
      <c r="AD539" s="219"/>
      <c r="AE539" s="406"/>
      <c r="AF539" s="403"/>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6"/>
      <c r="T540" s="403"/>
      <c r="U540" s="198"/>
      <c r="V540" s="219"/>
      <c r="W540" s="406"/>
      <c r="X540" s="403"/>
      <c r="Y540" s="198"/>
      <c r="Z540" s="219"/>
      <c r="AA540" s="406"/>
      <c r="AB540" s="403"/>
      <c r="AC540" s="198"/>
      <c r="AD540" s="219"/>
      <c r="AE540" s="406"/>
      <c r="AF540" s="403"/>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6"/>
      <c r="T541" s="403"/>
      <c r="U541" s="198"/>
      <c r="V541" s="219"/>
      <c r="W541" s="406"/>
      <c r="X541" s="403"/>
      <c r="Y541" s="198"/>
      <c r="Z541" s="219"/>
      <c r="AA541" s="406"/>
      <c r="AB541" s="403"/>
      <c r="AC541" s="198"/>
      <c r="AD541" s="219"/>
      <c r="AE541" s="406"/>
      <c r="AF541" s="403"/>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6"/>
      <c r="T542" s="403"/>
      <c r="U542" s="198"/>
      <c r="V542" s="219"/>
      <c r="W542" s="406"/>
      <c r="X542" s="403"/>
      <c r="Y542" s="198"/>
      <c r="Z542" s="219"/>
      <c r="AA542" s="406"/>
      <c r="AB542" s="403"/>
      <c r="AC542" s="198"/>
      <c r="AD542" s="219"/>
      <c r="AE542" s="406"/>
      <c r="AF542" s="403"/>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6"/>
      <c r="T543" s="403"/>
      <c r="U543" s="198"/>
      <c r="V543" s="219"/>
      <c r="W543" s="406"/>
      <c r="X543" s="403"/>
      <c r="Y543" s="198"/>
      <c r="Z543" s="219"/>
      <c r="AA543" s="406"/>
      <c r="AB543" s="403"/>
      <c r="AC543" s="198"/>
      <c r="AD543" s="219"/>
      <c r="AE543" s="406"/>
      <c r="AF543" s="403"/>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6"/>
      <c r="T544" s="403"/>
      <c r="U544" s="198"/>
      <c r="V544" s="219"/>
      <c r="W544" s="406"/>
      <c r="X544" s="403"/>
      <c r="Y544" s="198"/>
      <c r="Z544" s="219"/>
      <c r="AA544" s="406"/>
      <c r="AB544" s="403"/>
      <c r="AC544" s="198"/>
      <c r="AD544" s="219"/>
      <c r="AE544" s="406"/>
      <c r="AF544" s="403"/>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6"/>
      <c r="T545" s="403"/>
      <c r="U545" s="198"/>
      <c r="V545" s="219"/>
      <c r="W545" s="406"/>
      <c r="X545" s="403"/>
      <c r="Y545" s="198"/>
      <c r="Z545" s="219"/>
      <c r="AA545" s="406"/>
      <c r="AB545" s="403"/>
      <c r="AC545" s="198"/>
      <c r="AD545" s="219"/>
      <c r="AE545" s="406"/>
      <c r="AF545" s="403"/>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6"/>
      <c r="T546" s="403"/>
      <c r="U546" s="198"/>
      <c r="V546" s="219"/>
      <c r="W546" s="406"/>
      <c r="X546" s="403"/>
      <c r="Y546" s="198"/>
      <c r="Z546" s="219"/>
      <c r="AA546" s="406"/>
      <c r="AB546" s="403"/>
      <c r="AC546" s="198"/>
      <c r="AD546" s="219"/>
      <c r="AE546" s="406"/>
      <c r="AF546" s="403"/>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6"/>
      <c r="T547" s="403"/>
      <c r="U547" s="198"/>
      <c r="V547" s="219"/>
      <c r="W547" s="406"/>
      <c r="X547" s="403"/>
      <c r="Y547" s="198"/>
      <c r="Z547" s="219"/>
      <c r="AA547" s="406"/>
      <c r="AB547" s="403"/>
      <c r="AC547" s="198"/>
      <c r="AD547" s="219"/>
      <c r="AE547" s="406"/>
      <c r="AF547" s="403"/>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6"/>
      <c r="T548" s="403"/>
      <c r="U548" s="198"/>
      <c r="V548" s="219"/>
      <c r="W548" s="406"/>
      <c r="X548" s="403"/>
      <c r="Y548" s="198"/>
      <c r="Z548" s="219"/>
      <c r="AA548" s="406"/>
      <c r="AB548" s="403"/>
      <c r="AC548" s="198"/>
      <c r="AD548" s="219"/>
      <c r="AE548" s="406"/>
      <c r="AF548" s="403"/>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6"/>
      <c r="T549" s="403"/>
      <c r="U549" s="198"/>
      <c r="V549" s="219"/>
      <c r="W549" s="406"/>
      <c r="X549" s="403"/>
      <c r="Y549" s="198"/>
      <c r="Z549" s="219"/>
      <c r="AA549" s="406"/>
      <c r="AB549" s="403"/>
      <c r="AC549" s="198"/>
      <c r="AD549" s="219"/>
      <c r="AE549" s="406"/>
      <c r="AF549" s="403"/>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6"/>
      <c r="T550" s="403"/>
      <c r="U550" s="198"/>
      <c r="V550" s="219"/>
      <c r="W550" s="406"/>
      <c r="X550" s="403"/>
      <c r="Y550" s="198"/>
      <c r="Z550" s="219"/>
      <c r="AA550" s="406"/>
      <c r="AB550" s="403"/>
      <c r="AC550" s="198"/>
      <c r="AD550" s="219"/>
      <c r="AE550" s="406"/>
      <c r="AF550" s="403"/>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6"/>
      <c r="T551" s="403"/>
      <c r="U551" s="198"/>
      <c r="V551" s="219"/>
      <c r="W551" s="406"/>
      <c r="X551" s="403"/>
      <c r="Y551" s="198"/>
      <c r="Z551" s="219"/>
      <c r="AA551" s="406"/>
      <c r="AB551" s="403"/>
      <c r="AC551" s="198"/>
      <c r="AD551" s="219"/>
      <c r="AE551" s="406"/>
      <c r="AF551" s="403"/>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6"/>
      <c r="T552" s="403"/>
      <c r="U552" s="198"/>
      <c r="V552" s="219"/>
      <c r="W552" s="406"/>
      <c r="X552" s="403"/>
      <c r="Y552" s="198"/>
      <c r="Z552" s="219"/>
      <c r="AA552" s="406"/>
      <c r="AB552" s="403"/>
      <c r="AC552" s="198"/>
      <c r="AD552" s="219"/>
      <c r="AE552" s="406"/>
      <c r="AF552" s="403"/>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6"/>
      <c r="T553" s="403"/>
      <c r="U553" s="198"/>
      <c r="V553" s="219"/>
      <c r="W553" s="406"/>
      <c r="X553" s="403"/>
      <c r="Y553" s="198"/>
      <c r="Z553" s="219"/>
      <c r="AA553" s="406"/>
      <c r="AB553" s="403"/>
      <c r="AC553" s="198"/>
      <c r="AD553" s="219"/>
      <c r="AE553" s="406"/>
      <c r="AF553" s="403"/>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6"/>
      <c r="T554" s="403"/>
      <c r="U554" s="198"/>
      <c r="V554" s="219"/>
      <c r="W554" s="406"/>
      <c r="X554" s="403"/>
      <c r="Y554" s="198"/>
      <c r="Z554" s="219"/>
      <c r="AA554" s="406"/>
      <c r="AB554" s="403"/>
      <c r="AC554" s="198"/>
      <c r="AD554" s="219"/>
      <c r="AE554" s="406"/>
      <c r="AF554" s="403"/>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6"/>
      <c r="T555" s="403"/>
      <c r="U555" s="198"/>
      <c r="V555" s="219"/>
      <c r="W555" s="406"/>
      <c r="X555" s="403"/>
      <c r="Y555" s="198"/>
      <c r="Z555" s="219"/>
      <c r="AA555" s="406"/>
      <c r="AB555" s="403"/>
      <c r="AC555" s="198"/>
      <c r="AD555" s="219"/>
      <c r="AE555" s="406"/>
      <c r="AF555" s="403"/>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6"/>
      <c r="T556" s="403"/>
      <c r="U556" s="198"/>
      <c r="V556" s="219"/>
      <c r="W556" s="406"/>
      <c r="X556" s="403"/>
      <c r="Y556" s="198"/>
      <c r="Z556" s="219"/>
      <c r="AA556" s="406"/>
      <c r="AB556" s="403"/>
      <c r="AC556" s="198"/>
      <c r="AD556" s="219"/>
      <c r="AE556" s="406"/>
      <c r="AF556" s="403"/>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6"/>
      <c r="T557" s="403"/>
      <c r="U557" s="198"/>
      <c r="V557" s="219"/>
      <c r="W557" s="406"/>
      <c r="X557" s="403"/>
      <c r="Y557" s="198"/>
      <c r="Z557" s="219"/>
      <c r="AA557" s="406"/>
      <c r="AB557" s="403"/>
      <c r="AC557" s="198"/>
      <c r="AD557" s="219"/>
      <c r="AE557" s="406"/>
      <c r="AF557" s="403"/>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6"/>
      <c r="T558" s="403"/>
      <c r="U558" s="198"/>
      <c r="V558" s="219"/>
      <c r="W558" s="406"/>
      <c r="X558" s="403"/>
      <c r="Y558" s="198"/>
      <c r="Z558" s="219"/>
      <c r="AA558" s="406"/>
      <c r="AB558" s="403"/>
      <c r="AC558" s="198"/>
      <c r="AD558" s="219"/>
      <c r="AE558" s="406"/>
      <c r="AF558" s="403"/>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6"/>
      <c r="T559" s="403"/>
      <c r="U559" s="198"/>
      <c r="V559" s="219"/>
      <c r="W559" s="406"/>
      <c r="X559" s="403"/>
      <c r="Y559" s="198"/>
      <c r="Z559" s="219"/>
      <c r="AA559" s="406"/>
      <c r="AB559" s="403"/>
      <c r="AC559" s="198"/>
      <c r="AD559" s="219"/>
      <c r="AE559" s="406"/>
      <c r="AF559" s="403"/>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6"/>
      <c r="T560" s="403"/>
      <c r="U560" s="198"/>
      <c r="V560" s="219"/>
      <c r="W560" s="406"/>
      <c r="X560" s="403"/>
      <c r="Y560" s="198"/>
      <c r="Z560" s="219"/>
      <c r="AA560" s="406"/>
      <c r="AB560" s="403"/>
      <c r="AC560" s="198"/>
      <c r="AD560" s="219"/>
      <c r="AE560" s="406"/>
      <c r="AF560" s="403"/>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6"/>
      <c r="T561" s="403"/>
      <c r="U561" s="198"/>
      <c r="V561" s="219"/>
      <c r="W561" s="406"/>
      <c r="X561" s="403"/>
      <c r="Y561" s="198"/>
      <c r="Z561" s="219"/>
      <c r="AA561" s="406"/>
      <c r="AB561" s="403"/>
      <c r="AC561" s="198"/>
      <c r="AD561" s="219"/>
      <c r="AE561" s="406"/>
      <c r="AF561" s="403"/>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6"/>
      <c r="T562" s="403"/>
      <c r="U562" s="198"/>
      <c r="V562" s="219"/>
      <c r="W562" s="406"/>
      <c r="X562" s="403"/>
      <c r="Y562" s="198"/>
      <c r="Z562" s="219"/>
      <c r="AA562" s="406"/>
      <c r="AB562" s="403"/>
      <c r="AC562" s="198"/>
      <c r="AD562" s="219"/>
      <c r="AE562" s="406"/>
      <c r="AF562" s="403"/>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6"/>
      <c r="T563" s="403"/>
      <c r="U563" s="198"/>
      <c r="V563" s="219"/>
      <c r="W563" s="406"/>
      <c r="X563" s="403"/>
      <c r="Y563" s="198"/>
      <c r="Z563" s="219"/>
      <c r="AA563" s="406"/>
      <c r="AB563" s="403"/>
      <c r="AC563" s="198"/>
      <c r="AD563" s="219"/>
      <c r="AE563" s="406"/>
      <c r="AF563" s="403"/>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6"/>
      <c r="T564" s="403"/>
      <c r="U564" s="198"/>
      <c r="V564" s="219"/>
      <c r="W564" s="406"/>
      <c r="X564" s="403"/>
      <c r="Y564" s="198"/>
      <c r="Z564" s="219"/>
      <c r="AA564" s="406"/>
      <c r="AB564" s="403"/>
      <c r="AC564" s="198"/>
      <c r="AD564" s="219"/>
      <c r="AE564" s="406"/>
      <c r="AF564" s="403"/>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6"/>
      <c r="T565" s="403"/>
      <c r="U565" s="198"/>
      <c r="V565" s="219"/>
      <c r="W565" s="406"/>
      <c r="X565" s="403"/>
      <c r="Y565" s="198"/>
      <c r="Z565" s="219"/>
      <c r="AA565" s="406"/>
      <c r="AB565" s="403"/>
      <c r="AC565" s="198"/>
      <c r="AD565" s="219"/>
      <c r="AE565" s="406"/>
      <c r="AF565" s="403"/>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6"/>
      <c r="T566" s="403"/>
      <c r="U566" s="198"/>
      <c r="V566" s="219"/>
      <c r="W566" s="406"/>
      <c r="X566" s="403"/>
      <c r="Y566" s="198"/>
      <c r="Z566" s="219"/>
      <c r="AA566" s="406"/>
      <c r="AB566" s="403"/>
      <c r="AC566" s="198"/>
      <c r="AD566" s="219"/>
      <c r="AE566" s="406"/>
      <c r="AF566" s="403"/>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6"/>
      <c r="T567" s="403"/>
      <c r="U567" s="198"/>
      <c r="V567" s="219"/>
      <c r="W567" s="406"/>
      <c r="X567" s="403"/>
      <c r="Y567" s="198"/>
      <c r="Z567" s="219"/>
      <c r="AA567" s="406"/>
      <c r="AB567" s="403"/>
      <c r="AC567" s="198"/>
      <c r="AD567" s="219"/>
      <c r="AE567" s="406"/>
      <c r="AF567" s="403"/>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6"/>
      <c r="T568" s="403"/>
      <c r="U568" s="198"/>
      <c r="V568" s="219"/>
      <c r="W568" s="406"/>
      <c r="X568" s="403"/>
      <c r="Y568" s="198"/>
      <c r="Z568" s="219"/>
      <c r="AA568" s="406"/>
      <c r="AB568" s="403"/>
      <c r="AC568" s="198"/>
      <c r="AD568" s="219"/>
      <c r="AE568" s="406"/>
      <c r="AF568" s="403"/>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6"/>
      <c r="T569" s="403"/>
      <c r="U569" s="198"/>
      <c r="V569" s="219"/>
      <c r="W569" s="406"/>
      <c r="X569" s="403"/>
      <c r="Y569" s="198"/>
      <c r="Z569" s="219"/>
      <c r="AA569" s="406"/>
      <c r="AB569" s="403"/>
      <c r="AC569" s="198"/>
      <c r="AD569" s="219"/>
      <c r="AE569" s="406"/>
      <c r="AF569" s="403"/>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6"/>
      <c r="T570" s="403"/>
      <c r="U570" s="198"/>
      <c r="V570" s="219"/>
      <c r="W570" s="406"/>
      <c r="X570" s="403"/>
      <c r="Y570" s="198"/>
      <c r="Z570" s="219"/>
      <c r="AA570" s="406"/>
      <c r="AB570" s="403"/>
      <c r="AC570" s="198"/>
      <c r="AD570" s="219"/>
      <c r="AE570" s="406"/>
      <c r="AF570" s="403"/>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6"/>
      <c r="T571" s="403"/>
      <c r="U571" s="198"/>
      <c r="V571" s="219"/>
      <c r="W571" s="406"/>
      <c r="X571" s="403"/>
      <c r="Y571" s="198"/>
      <c r="Z571" s="219"/>
      <c r="AA571" s="406"/>
      <c r="AB571" s="403"/>
      <c r="AC571" s="198"/>
      <c r="AD571" s="219"/>
      <c r="AE571" s="406"/>
      <c r="AF571" s="403"/>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6"/>
      <c r="T572" s="403"/>
      <c r="U572" s="198"/>
      <c r="V572" s="219"/>
      <c r="W572" s="406"/>
      <c r="X572" s="403"/>
      <c r="Y572" s="198"/>
      <c r="Z572" s="219"/>
      <c r="AA572" s="406"/>
      <c r="AB572" s="403"/>
      <c r="AC572" s="198"/>
      <c r="AD572" s="219"/>
      <c r="AE572" s="406"/>
      <c r="AF572" s="403"/>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6"/>
      <c r="T573" s="403"/>
      <c r="U573" s="198"/>
      <c r="V573" s="219"/>
      <c r="W573" s="406"/>
      <c r="X573" s="403"/>
      <c r="Y573" s="198"/>
      <c r="Z573" s="219"/>
      <c r="AA573" s="406"/>
      <c r="AB573" s="403"/>
      <c r="AC573" s="198"/>
      <c r="AD573" s="219"/>
      <c r="AE573" s="406"/>
      <c r="AF573" s="403"/>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6"/>
      <c r="T574" s="403"/>
      <c r="U574" s="198"/>
      <c r="V574" s="219"/>
      <c r="W574" s="406"/>
      <c r="X574" s="403"/>
      <c r="Y574" s="198"/>
      <c r="Z574" s="219"/>
      <c r="AA574" s="406"/>
      <c r="AB574" s="403"/>
      <c r="AC574" s="198"/>
      <c r="AD574" s="219"/>
      <c r="AE574" s="406"/>
      <c r="AF574" s="403"/>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6"/>
      <c r="T575" s="403"/>
      <c r="U575" s="198"/>
      <c r="V575" s="219"/>
      <c r="W575" s="406"/>
      <c r="X575" s="403"/>
      <c r="Y575" s="198"/>
      <c r="Z575" s="219"/>
      <c r="AA575" s="406"/>
      <c r="AB575" s="403"/>
      <c r="AC575" s="198"/>
      <c r="AD575" s="219"/>
      <c r="AE575" s="406"/>
      <c r="AF575" s="403"/>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6"/>
      <c r="T576" s="403"/>
      <c r="U576" s="198"/>
      <c r="V576" s="219"/>
      <c r="W576" s="406"/>
      <c r="X576" s="403"/>
      <c r="Y576" s="198"/>
      <c r="Z576" s="219"/>
      <c r="AA576" s="406"/>
      <c r="AB576" s="403"/>
      <c r="AC576" s="198"/>
      <c r="AD576" s="219"/>
      <c r="AE576" s="406"/>
      <c r="AF576" s="403"/>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6"/>
      <c r="T577" s="403"/>
      <c r="U577" s="198"/>
      <c r="V577" s="219"/>
      <c r="W577" s="406"/>
      <c r="X577" s="403"/>
      <c r="Y577" s="198"/>
      <c r="Z577" s="219"/>
      <c r="AA577" s="406"/>
      <c r="AB577" s="403"/>
      <c r="AC577" s="198"/>
      <c r="AD577" s="219"/>
      <c r="AE577" s="406"/>
      <c r="AF577" s="403"/>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6"/>
      <c r="T578" s="403"/>
      <c r="U578" s="198"/>
      <c r="V578" s="219"/>
      <c r="W578" s="406"/>
      <c r="X578" s="403"/>
      <c r="Y578" s="198"/>
      <c r="Z578" s="219"/>
      <c r="AA578" s="406"/>
      <c r="AB578" s="403"/>
      <c r="AC578" s="198"/>
      <c r="AD578" s="219"/>
      <c r="AE578" s="406"/>
      <c r="AF578" s="403"/>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6"/>
      <c r="T579" s="403"/>
      <c r="U579" s="198"/>
      <c r="V579" s="219"/>
      <c r="W579" s="406"/>
      <c r="X579" s="403"/>
      <c r="Y579" s="198"/>
      <c r="Z579" s="219"/>
      <c r="AA579" s="406"/>
      <c r="AB579" s="403"/>
      <c r="AC579" s="198"/>
      <c r="AD579" s="219"/>
      <c r="AE579" s="406"/>
      <c r="AF579" s="403"/>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6"/>
      <c r="T580" s="403"/>
      <c r="U580" s="198"/>
      <c r="V580" s="219"/>
      <c r="W580" s="406"/>
      <c r="X580" s="403"/>
      <c r="Y580" s="198"/>
      <c r="Z580" s="219"/>
      <c r="AA580" s="406"/>
      <c r="AB580" s="403"/>
      <c r="AC580" s="198"/>
      <c r="AD580" s="219"/>
      <c r="AE580" s="406"/>
      <c r="AF580" s="403"/>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6"/>
      <c r="T581" s="403"/>
      <c r="U581" s="198"/>
      <c r="V581" s="219"/>
      <c r="W581" s="406"/>
      <c r="X581" s="403"/>
      <c r="Y581" s="198"/>
      <c r="Z581" s="219"/>
      <c r="AA581" s="406"/>
      <c r="AB581" s="403"/>
      <c r="AC581" s="198"/>
      <c r="AD581" s="219"/>
      <c r="AE581" s="406"/>
      <c r="AF581" s="403"/>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6"/>
      <c r="T582" s="403"/>
      <c r="U582" s="198"/>
      <c r="V582" s="219"/>
      <c r="W582" s="406"/>
      <c r="X582" s="403"/>
      <c r="Y582" s="198"/>
      <c r="Z582" s="219"/>
      <c r="AA582" s="406"/>
      <c r="AB582" s="403"/>
      <c r="AC582" s="198"/>
      <c r="AD582" s="219"/>
      <c r="AE582" s="406"/>
      <c r="AF582" s="403"/>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6"/>
      <c r="T583" s="403"/>
      <c r="U583" s="198"/>
      <c r="V583" s="219"/>
      <c r="W583" s="406"/>
      <c r="X583" s="403"/>
      <c r="Y583" s="198"/>
      <c r="Z583" s="219"/>
      <c r="AA583" s="406"/>
      <c r="AB583" s="403"/>
      <c r="AC583" s="198"/>
      <c r="AD583" s="219"/>
      <c r="AE583" s="406"/>
      <c r="AF583" s="403"/>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6"/>
      <c r="T584" s="403"/>
      <c r="U584" s="198"/>
      <c r="V584" s="219"/>
      <c r="W584" s="406"/>
      <c r="X584" s="403"/>
      <c r="Y584" s="198"/>
      <c r="Z584" s="219"/>
      <c r="AA584" s="406"/>
      <c r="AB584" s="403"/>
      <c r="AC584" s="198"/>
      <c r="AD584" s="219"/>
      <c r="AE584" s="406"/>
      <c r="AF584" s="403"/>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6"/>
      <c r="T585" s="403"/>
      <c r="U585" s="198"/>
      <c r="V585" s="219"/>
      <c r="W585" s="406"/>
      <c r="X585" s="403"/>
      <c r="Y585" s="198"/>
      <c r="Z585" s="219"/>
      <c r="AA585" s="406"/>
      <c r="AB585" s="403"/>
      <c r="AC585" s="198"/>
      <c r="AD585" s="219"/>
      <c r="AE585" s="406"/>
      <c r="AF585" s="403"/>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6"/>
      <c r="T586" s="403"/>
      <c r="U586" s="198"/>
      <c r="V586" s="219"/>
      <c r="W586" s="406"/>
      <c r="X586" s="403"/>
      <c r="Y586" s="198"/>
      <c r="Z586" s="219"/>
      <c r="AA586" s="406"/>
      <c r="AB586" s="403"/>
      <c r="AC586" s="198"/>
      <c r="AD586" s="219"/>
      <c r="AE586" s="406"/>
      <c r="AF586" s="403"/>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6"/>
      <c r="T587" s="403"/>
      <c r="U587" s="198"/>
      <c r="V587" s="219"/>
      <c r="W587" s="406"/>
      <c r="X587" s="403"/>
      <c r="Y587" s="198"/>
      <c r="Z587" s="219"/>
      <c r="AA587" s="406"/>
      <c r="AB587" s="403"/>
      <c r="AC587" s="198"/>
      <c r="AD587" s="219"/>
      <c r="AE587" s="406"/>
      <c r="AF587" s="403"/>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6"/>
      <c r="T588" s="403"/>
      <c r="U588" s="198"/>
      <c r="V588" s="219"/>
      <c r="W588" s="406"/>
      <c r="X588" s="403"/>
      <c r="Y588" s="198"/>
      <c r="Z588" s="219"/>
      <c r="AA588" s="406"/>
      <c r="AB588" s="403"/>
      <c r="AC588" s="198"/>
      <c r="AD588" s="219"/>
      <c r="AE588" s="406"/>
      <c r="AF588" s="403"/>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6"/>
      <c r="T589" s="403"/>
      <c r="U589" s="198"/>
      <c r="V589" s="219"/>
      <c r="W589" s="406"/>
      <c r="X589" s="403"/>
      <c r="Y589" s="198"/>
      <c r="Z589" s="219"/>
      <c r="AA589" s="406"/>
      <c r="AB589" s="403"/>
      <c r="AC589" s="198"/>
      <c r="AD589" s="219"/>
      <c r="AE589" s="406"/>
      <c r="AF589" s="403"/>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6"/>
      <c r="T590" s="403"/>
      <c r="U590" s="198"/>
      <c r="V590" s="219"/>
      <c r="W590" s="406"/>
      <c r="X590" s="403"/>
      <c r="Y590" s="198"/>
      <c r="Z590" s="219"/>
      <c r="AA590" s="406"/>
      <c r="AB590" s="403"/>
      <c r="AC590" s="198"/>
      <c r="AD590" s="219"/>
      <c r="AE590" s="406"/>
      <c r="AF590" s="403"/>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6"/>
      <c r="T591" s="403"/>
      <c r="U591" s="198"/>
      <c r="V591" s="219"/>
      <c r="W591" s="406"/>
      <c r="X591" s="403"/>
      <c r="Y591" s="198"/>
      <c r="Z591" s="219"/>
      <c r="AA591" s="406"/>
      <c r="AB591" s="403"/>
      <c r="AC591" s="198"/>
      <c r="AD591" s="219"/>
      <c r="AE591" s="406"/>
      <c r="AF591" s="403"/>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6"/>
      <c r="T592" s="403"/>
      <c r="U592" s="198"/>
      <c r="V592" s="219"/>
      <c r="W592" s="406"/>
      <c r="X592" s="403"/>
      <c r="Y592" s="198"/>
      <c r="Z592" s="219"/>
      <c r="AA592" s="406"/>
      <c r="AB592" s="403"/>
      <c r="AC592" s="198"/>
      <c r="AD592" s="219"/>
      <c r="AE592" s="406"/>
      <c r="AF592" s="403"/>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6"/>
      <c r="T593" s="403"/>
      <c r="U593" s="198"/>
      <c r="V593" s="219"/>
      <c r="W593" s="406"/>
      <c r="X593" s="403"/>
      <c r="Y593" s="198"/>
      <c r="Z593" s="219"/>
      <c r="AA593" s="406"/>
      <c r="AB593" s="403"/>
      <c r="AC593" s="198"/>
      <c r="AD593" s="219"/>
      <c r="AE593" s="406"/>
      <c r="AF593" s="403"/>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6"/>
      <c r="T594" s="403"/>
      <c r="U594" s="198"/>
      <c r="V594" s="219"/>
      <c r="W594" s="406"/>
      <c r="X594" s="403"/>
      <c r="Y594" s="198"/>
      <c r="Z594" s="219"/>
      <c r="AA594" s="406"/>
      <c r="AB594" s="403"/>
      <c r="AC594" s="198"/>
      <c r="AD594" s="219"/>
      <c r="AE594" s="406"/>
      <c r="AF594" s="403"/>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6"/>
      <c r="T595" s="403"/>
      <c r="U595" s="198"/>
      <c r="V595" s="219"/>
      <c r="W595" s="406"/>
      <c r="X595" s="403"/>
      <c r="Y595" s="198"/>
      <c r="Z595" s="219"/>
      <c r="AA595" s="406"/>
      <c r="AB595" s="403"/>
      <c r="AC595" s="198"/>
      <c r="AD595" s="219"/>
      <c r="AE595" s="406"/>
      <c r="AF595" s="403"/>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6"/>
      <c r="T596" s="403"/>
      <c r="U596" s="198"/>
      <c r="V596" s="219"/>
      <c r="W596" s="406"/>
      <c r="X596" s="403"/>
      <c r="Y596" s="198"/>
      <c r="Z596" s="219"/>
      <c r="AA596" s="406"/>
      <c r="AB596" s="403"/>
      <c r="AC596" s="198"/>
      <c r="AD596" s="219"/>
      <c r="AE596" s="406"/>
      <c r="AF596" s="403"/>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6"/>
      <c r="T597" s="403"/>
      <c r="U597" s="198"/>
      <c r="V597" s="219"/>
      <c r="W597" s="406"/>
      <c r="X597" s="403"/>
      <c r="Y597" s="198"/>
      <c r="Z597" s="219"/>
      <c r="AA597" s="406"/>
      <c r="AB597" s="403"/>
      <c r="AC597" s="198"/>
      <c r="AD597" s="219"/>
      <c r="AE597" s="406"/>
      <c r="AF597" s="403"/>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6"/>
      <c r="T598" s="403"/>
      <c r="U598" s="198"/>
      <c r="V598" s="219"/>
      <c r="W598" s="406"/>
      <c r="X598" s="403"/>
      <c r="Y598" s="198"/>
      <c r="Z598" s="219"/>
      <c r="AA598" s="406"/>
      <c r="AB598" s="403"/>
      <c r="AC598" s="198"/>
      <c r="AD598" s="219"/>
      <c r="AE598" s="406"/>
      <c r="AF598" s="403"/>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6"/>
      <c r="T599" s="403"/>
      <c r="U599" s="198"/>
      <c r="V599" s="219"/>
      <c r="W599" s="406"/>
      <c r="X599" s="403"/>
      <c r="Y599" s="198"/>
      <c r="Z599" s="219"/>
      <c r="AA599" s="406"/>
      <c r="AB599" s="403"/>
      <c r="AC599" s="198"/>
      <c r="AD599" s="219"/>
      <c r="AE599" s="406"/>
      <c r="AF599" s="403"/>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6"/>
      <c r="T600" s="403"/>
      <c r="U600" s="198"/>
      <c r="V600" s="219"/>
      <c r="W600" s="406"/>
      <c r="X600" s="403"/>
      <c r="Y600" s="198"/>
      <c r="Z600" s="219"/>
      <c r="AA600" s="406"/>
      <c r="AB600" s="403"/>
      <c r="AC600" s="198"/>
      <c r="AD600" s="219"/>
      <c r="AE600" s="406"/>
      <c r="AF600" s="403"/>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6"/>
      <c r="T601" s="403"/>
      <c r="U601" s="198"/>
      <c r="V601" s="219"/>
      <c r="W601" s="406"/>
      <c r="X601" s="403"/>
      <c r="Y601" s="198"/>
      <c r="Z601" s="219"/>
      <c r="AA601" s="406"/>
      <c r="AB601" s="403"/>
      <c r="AC601" s="198"/>
      <c r="AD601" s="219"/>
      <c r="AE601" s="406"/>
      <c r="AF601" s="403"/>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6"/>
      <c r="T602" s="403"/>
      <c r="U602" s="198"/>
      <c r="V602" s="219"/>
      <c r="W602" s="406"/>
      <c r="X602" s="403"/>
      <c r="Y602" s="198"/>
      <c r="Z602" s="219"/>
      <c r="AA602" s="406"/>
      <c r="AB602" s="403"/>
      <c r="AC602" s="198"/>
      <c r="AD602" s="219"/>
      <c r="AE602" s="406"/>
      <c r="AF602" s="403"/>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6"/>
      <c r="T603" s="403"/>
      <c r="U603" s="198"/>
      <c r="V603" s="219"/>
      <c r="W603" s="406"/>
      <c r="X603" s="403"/>
      <c r="Y603" s="198"/>
      <c r="Z603" s="219"/>
      <c r="AA603" s="406"/>
      <c r="AB603" s="403"/>
      <c r="AC603" s="198"/>
      <c r="AD603" s="219"/>
      <c r="AE603" s="406"/>
      <c r="AF603" s="403"/>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6"/>
      <c r="T604" s="403"/>
      <c r="U604" s="198"/>
      <c r="V604" s="219"/>
      <c r="W604" s="406"/>
      <c r="X604" s="403"/>
      <c r="Y604" s="198"/>
      <c r="Z604" s="219"/>
      <c r="AA604" s="406"/>
      <c r="AB604" s="403"/>
      <c r="AC604" s="198"/>
      <c r="AD604" s="219"/>
      <c r="AE604" s="406"/>
      <c r="AF604" s="403"/>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6"/>
      <c r="T605" s="403"/>
      <c r="U605" s="198"/>
      <c r="V605" s="219"/>
      <c r="W605" s="406"/>
      <c r="X605" s="403"/>
      <c r="Y605" s="198"/>
      <c r="Z605" s="219"/>
      <c r="AA605" s="406"/>
      <c r="AB605" s="403"/>
      <c r="AC605" s="198"/>
      <c r="AD605" s="219"/>
      <c r="AE605" s="406"/>
      <c r="AF605" s="403"/>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6"/>
      <c r="T606" s="403"/>
      <c r="U606" s="198"/>
      <c r="V606" s="219"/>
      <c r="W606" s="406"/>
      <c r="X606" s="403"/>
      <c r="Y606" s="198"/>
      <c r="Z606" s="219"/>
      <c r="AA606" s="406"/>
      <c r="AB606" s="403"/>
      <c r="AC606" s="198"/>
      <c r="AD606" s="219"/>
      <c r="AE606" s="406"/>
      <c r="AF606" s="403"/>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6"/>
      <c r="T607" s="403"/>
      <c r="U607" s="198"/>
      <c r="V607" s="219"/>
      <c r="W607" s="406"/>
      <c r="X607" s="403"/>
      <c r="Y607" s="198"/>
      <c r="Z607" s="219"/>
      <c r="AA607" s="406"/>
      <c r="AB607" s="403"/>
      <c r="AC607" s="198"/>
      <c r="AD607" s="219"/>
      <c r="AE607" s="406"/>
      <c r="AF607" s="403"/>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6"/>
      <c r="T608" s="403"/>
      <c r="U608" s="198"/>
      <c r="V608" s="219"/>
      <c r="W608" s="406"/>
      <c r="X608" s="403"/>
      <c r="Y608" s="198"/>
      <c r="Z608" s="219"/>
      <c r="AA608" s="406"/>
      <c r="AB608" s="403"/>
      <c r="AC608" s="198"/>
      <c r="AD608" s="219"/>
      <c r="AE608" s="406"/>
      <c r="AF608" s="403"/>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6"/>
      <c r="T609" s="403"/>
      <c r="U609" s="198"/>
      <c r="V609" s="219"/>
      <c r="W609" s="406"/>
      <c r="X609" s="403"/>
      <c r="Y609" s="198"/>
      <c r="Z609" s="219"/>
      <c r="AA609" s="406"/>
      <c r="AB609" s="403"/>
      <c r="AC609" s="198"/>
      <c r="AD609" s="219"/>
      <c r="AE609" s="406"/>
      <c r="AF609" s="403"/>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6"/>
      <c r="T610" s="403"/>
      <c r="U610" s="198"/>
      <c r="V610" s="219"/>
      <c r="W610" s="406"/>
      <c r="X610" s="403"/>
      <c r="Y610" s="198"/>
      <c r="Z610" s="219"/>
      <c r="AA610" s="406"/>
      <c r="AB610" s="403"/>
      <c r="AC610" s="198"/>
      <c r="AD610" s="219"/>
      <c r="AE610" s="406"/>
      <c r="AF610" s="403"/>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6"/>
      <c r="T611" s="403"/>
      <c r="U611" s="198"/>
      <c r="V611" s="219"/>
      <c r="W611" s="406"/>
      <c r="X611" s="403"/>
      <c r="Y611" s="198"/>
      <c r="Z611" s="219"/>
      <c r="AA611" s="406"/>
      <c r="AB611" s="403"/>
      <c r="AC611" s="198"/>
      <c r="AD611" s="219"/>
      <c r="AE611" s="406"/>
      <c r="AF611" s="403"/>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6"/>
      <c r="T612" s="403"/>
      <c r="U612" s="198"/>
      <c r="V612" s="219"/>
      <c r="W612" s="406"/>
      <c r="X612" s="403"/>
      <c r="Y612" s="198"/>
      <c r="Z612" s="219"/>
      <c r="AA612" s="406"/>
      <c r="AB612" s="403"/>
      <c r="AC612" s="198"/>
      <c r="AD612" s="219"/>
      <c r="AE612" s="406"/>
      <c r="AF612" s="403"/>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6"/>
      <c r="T613" s="403"/>
      <c r="U613" s="198"/>
      <c r="V613" s="219"/>
      <c r="W613" s="406"/>
      <c r="X613" s="403"/>
      <c r="Y613" s="198"/>
      <c r="Z613" s="219"/>
      <c r="AA613" s="406"/>
      <c r="AB613" s="403"/>
      <c r="AC613" s="198"/>
      <c r="AD613" s="219"/>
      <c r="AE613" s="406"/>
      <c r="AF613" s="403"/>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6"/>
      <c r="T614" s="403"/>
      <c r="U614" s="198"/>
      <c r="V614" s="219"/>
      <c r="W614" s="406"/>
      <c r="X614" s="403"/>
      <c r="Y614" s="198"/>
      <c r="Z614" s="219"/>
      <c r="AA614" s="406"/>
      <c r="AB614" s="403"/>
      <c r="AC614" s="198"/>
      <c r="AD614" s="219"/>
      <c r="AE614" s="406"/>
      <c r="AF614" s="403"/>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6"/>
      <c r="T615" s="403"/>
      <c r="U615" s="198"/>
      <c r="V615" s="219"/>
      <c r="W615" s="406"/>
      <c r="X615" s="403"/>
      <c r="Y615" s="198"/>
      <c r="Z615" s="219"/>
      <c r="AA615" s="406"/>
      <c r="AB615" s="403"/>
      <c r="AC615" s="198"/>
      <c r="AD615" s="219"/>
      <c r="AE615" s="406"/>
      <c r="AF615" s="403"/>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6"/>
      <c r="T616" s="403"/>
      <c r="U616" s="198"/>
      <c r="V616" s="219"/>
      <c r="W616" s="406"/>
      <c r="X616" s="403"/>
      <c r="Y616" s="198"/>
      <c r="Z616" s="219"/>
      <c r="AA616" s="406"/>
      <c r="AB616" s="403"/>
      <c r="AC616" s="198"/>
      <c r="AD616" s="219"/>
      <c r="AE616" s="406"/>
      <c r="AF616" s="403"/>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6"/>
      <c r="T617" s="403"/>
      <c r="U617" s="198"/>
      <c r="V617" s="219"/>
      <c r="W617" s="406"/>
      <c r="X617" s="403"/>
      <c r="Y617" s="198"/>
      <c r="Z617" s="219"/>
      <c r="AA617" s="406"/>
      <c r="AB617" s="403"/>
      <c r="AC617" s="198"/>
      <c r="AD617" s="219"/>
      <c r="AE617" s="406"/>
      <c r="AF617" s="403"/>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6"/>
      <c r="T618" s="403"/>
      <c r="U618" s="198"/>
      <c r="V618" s="219"/>
      <c r="W618" s="406"/>
      <c r="X618" s="403"/>
      <c r="Y618" s="198"/>
      <c r="Z618" s="219"/>
      <c r="AA618" s="406"/>
      <c r="AB618" s="403"/>
      <c r="AC618" s="198"/>
      <c r="AD618" s="219"/>
      <c r="AE618" s="406"/>
      <c r="AF618" s="403"/>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6"/>
      <c r="T619" s="403"/>
      <c r="U619" s="198"/>
      <c r="V619" s="219"/>
      <c r="W619" s="406"/>
      <c r="X619" s="403"/>
      <c r="Y619" s="198"/>
      <c r="Z619" s="219"/>
      <c r="AA619" s="406"/>
      <c r="AB619" s="403"/>
      <c r="AC619" s="198"/>
      <c r="AD619" s="219"/>
      <c r="AE619" s="406"/>
      <c r="AF619" s="403"/>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6"/>
      <c r="T620" s="403"/>
      <c r="U620" s="198"/>
      <c r="V620" s="219"/>
      <c r="W620" s="406"/>
      <c r="X620" s="403"/>
      <c r="Y620" s="198"/>
      <c r="Z620" s="219"/>
      <c r="AA620" s="406"/>
      <c r="AB620" s="403"/>
      <c r="AC620" s="198"/>
      <c r="AD620" s="219"/>
      <c r="AE620" s="406"/>
      <c r="AF620" s="403"/>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6"/>
      <c r="T621" s="403"/>
      <c r="U621" s="198"/>
      <c r="V621" s="219"/>
      <c r="W621" s="406"/>
      <c r="X621" s="403"/>
      <c r="Y621" s="198"/>
      <c r="Z621" s="219"/>
      <c r="AA621" s="406"/>
      <c r="AB621" s="403"/>
      <c r="AC621" s="198"/>
      <c r="AD621" s="219"/>
      <c r="AE621" s="406"/>
      <c r="AF621" s="403"/>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6"/>
      <c r="T622" s="403"/>
      <c r="U622" s="198"/>
      <c r="V622" s="219"/>
      <c r="W622" s="406"/>
      <c r="X622" s="403"/>
      <c r="Y622" s="198"/>
      <c r="Z622" s="219"/>
      <c r="AA622" s="406"/>
      <c r="AB622" s="403"/>
      <c r="AC622" s="198"/>
      <c r="AD622" s="219"/>
      <c r="AE622" s="406"/>
      <c r="AF622" s="403"/>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6"/>
      <c r="T623" s="403"/>
      <c r="U623" s="198"/>
      <c r="V623" s="219"/>
      <c r="W623" s="406"/>
      <c r="X623" s="403"/>
      <c r="Y623" s="198"/>
      <c r="Z623" s="219"/>
      <c r="AA623" s="406"/>
      <c r="AB623" s="403"/>
      <c r="AC623" s="198"/>
      <c r="AD623" s="219"/>
      <c r="AE623" s="406"/>
      <c r="AF623" s="403"/>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6"/>
      <c r="T624" s="403"/>
      <c r="U624" s="198"/>
      <c r="V624" s="219"/>
      <c r="W624" s="406"/>
      <c r="X624" s="403"/>
      <c r="Y624" s="198"/>
      <c r="Z624" s="219"/>
      <c r="AA624" s="406"/>
      <c r="AB624" s="403"/>
      <c r="AC624" s="198"/>
      <c r="AD624" s="219"/>
      <c r="AE624" s="406"/>
      <c r="AF624" s="403"/>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6"/>
      <c r="T625" s="403"/>
      <c r="U625" s="198"/>
      <c r="V625" s="219"/>
      <c r="W625" s="406"/>
      <c r="X625" s="403"/>
      <c r="Y625" s="198"/>
      <c r="Z625" s="219"/>
      <c r="AA625" s="406"/>
      <c r="AB625" s="403"/>
      <c r="AC625" s="198"/>
      <c r="AD625" s="219"/>
      <c r="AE625" s="406"/>
      <c r="AF625" s="403"/>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6"/>
      <c r="T626" s="403"/>
      <c r="U626" s="198"/>
      <c r="V626" s="219"/>
      <c r="W626" s="406"/>
      <c r="X626" s="403"/>
      <c r="Y626" s="198"/>
      <c r="Z626" s="219"/>
      <c r="AA626" s="406"/>
      <c r="AB626" s="403"/>
      <c r="AC626" s="198"/>
      <c r="AD626" s="219"/>
      <c r="AE626" s="406"/>
      <c r="AF626" s="403"/>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6"/>
      <c r="T627" s="403"/>
      <c r="U627" s="198"/>
      <c r="V627" s="219"/>
      <c r="W627" s="406"/>
      <c r="X627" s="403"/>
      <c r="Y627" s="198"/>
      <c r="Z627" s="219"/>
      <c r="AA627" s="406"/>
      <c r="AB627" s="403"/>
      <c r="AC627" s="198"/>
      <c r="AD627" s="219"/>
      <c r="AE627" s="406"/>
      <c r="AF627" s="403"/>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6"/>
      <c r="T628" s="403"/>
      <c r="U628" s="198"/>
      <c r="V628" s="219"/>
      <c r="W628" s="406"/>
      <c r="X628" s="403"/>
      <c r="Y628" s="198"/>
      <c r="Z628" s="219"/>
      <c r="AA628" s="406"/>
      <c r="AB628" s="403"/>
      <c r="AC628" s="198"/>
      <c r="AD628" s="219"/>
      <c r="AE628" s="406"/>
      <c r="AF628" s="403"/>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6"/>
      <c r="T629" s="403"/>
      <c r="U629" s="198"/>
      <c r="V629" s="219"/>
      <c r="W629" s="406"/>
      <c r="X629" s="403"/>
      <c r="Y629" s="198"/>
      <c r="Z629" s="219"/>
      <c r="AA629" s="406"/>
      <c r="AB629" s="403"/>
      <c r="AC629" s="198"/>
      <c r="AD629" s="219"/>
      <c r="AE629" s="406"/>
      <c r="AF629" s="403"/>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6"/>
      <c r="T630" s="403"/>
      <c r="U630" s="198"/>
      <c r="V630" s="219"/>
      <c r="W630" s="406"/>
      <c r="X630" s="403"/>
      <c r="Y630" s="198"/>
      <c r="Z630" s="219"/>
      <c r="AA630" s="406"/>
      <c r="AB630" s="403"/>
      <c r="AC630" s="198"/>
      <c r="AD630" s="219"/>
      <c r="AE630" s="406"/>
      <c r="AF630" s="403"/>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6"/>
      <c r="T631" s="403"/>
      <c r="U631" s="198"/>
      <c r="V631" s="219"/>
      <c r="W631" s="406"/>
      <c r="X631" s="403"/>
      <c r="Y631" s="198"/>
      <c r="Z631" s="219"/>
      <c r="AA631" s="406"/>
      <c r="AB631" s="403"/>
      <c r="AC631" s="198"/>
      <c r="AD631" s="219"/>
      <c r="AE631" s="406"/>
      <c r="AF631" s="403"/>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6"/>
      <c r="T632" s="403"/>
      <c r="U632" s="198"/>
      <c r="V632" s="219"/>
      <c r="W632" s="406"/>
      <c r="X632" s="403"/>
      <c r="Y632" s="198"/>
      <c r="Z632" s="219"/>
      <c r="AA632" s="406"/>
      <c r="AB632" s="403"/>
      <c r="AC632" s="198"/>
      <c r="AD632" s="219"/>
      <c r="AE632" s="406"/>
      <c r="AF632" s="403"/>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6"/>
      <c r="T633" s="403"/>
      <c r="U633" s="198"/>
      <c r="V633" s="219"/>
      <c r="W633" s="406"/>
      <c r="X633" s="403"/>
      <c r="Y633" s="198"/>
      <c r="Z633" s="219"/>
      <c r="AA633" s="406"/>
      <c r="AB633" s="403"/>
      <c r="AC633" s="198"/>
      <c r="AD633" s="219"/>
      <c r="AE633" s="406"/>
      <c r="AF633" s="403"/>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6"/>
      <c r="T634" s="403"/>
      <c r="U634" s="198"/>
      <c r="V634" s="219"/>
      <c r="W634" s="406"/>
      <c r="X634" s="403"/>
      <c r="Y634" s="198"/>
      <c r="Z634" s="219"/>
      <c r="AA634" s="406"/>
      <c r="AB634" s="403"/>
      <c r="AC634" s="198"/>
      <c r="AD634" s="219"/>
      <c r="AE634" s="406"/>
      <c r="AF634" s="403"/>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6"/>
      <c r="T635" s="403"/>
      <c r="U635" s="198"/>
      <c r="V635" s="219"/>
      <c r="W635" s="406"/>
      <c r="X635" s="403"/>
      <c r="Y635" s="198"/>
      <c r="Z635" s="219"/>
      <c r="AA635" s="406"/>
      <c r="AB635" s="403"/>
      <c r="AC635" s="198"/>
      <c r="AD635" s="219"/>
      <c r="AE635" s="406"/>
      <c r="AF635" s="403"/>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6"/>
      <c r="T636" s="403"/>
      <c r="U636" s="198"/>
      <c r="V636" s="219"/>
      <c r="W636" s="406"/>
      <c r="X636" s="403"/>
      <c r="Y636" s="198"/>
      <c r="Z636" s="219"/>
      <c r="AA636" s="406"/>
      <c r="AB636" s="403"/>
      <c r="AC636" s="198"/>
      <c r="AD636" s="219"/>
      <c r="AE636" s="406"/>
      <c r="AF636" s="403"/>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6"/>
      <c r="T637" s="403"/>
      <c r="U637" s="198"/>
      <c r="V637" s="219"/>
      <c r="W637" s="406"/>
      <c r="X637" s="403"/>
      <c r="Y637" s="198"/>
      <c r="Z637" s="219"/>
      <c r="AA637" s="406"/>
      <c r="AB637" s="403"/>
      <c r="AC637" s="198"/>
      <c r="AD637" s="219"/>
      <c r="AE637" s="406"/>
      <c r="AF637" s="403"/>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6"/>
      <c r="T638" s="403"/>
      <c r="U638" s="198"/>
      <c r="V638" s="219"/>
      <c r="W638" s="406"/>
      <c r="X638" s="403"/>
      <c r="Y638" s="198"/>
      <c r="Z638" s="219"/>
      <c r="AA638" s="406"/>
      <c r="AB638" s="403"/>
      <c r="AC638" s="198"/>
      <c r="AD638" s="219"/>
      <c r="AE638" s="406"/>
      <c r="AF638" s="403"/>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6"/>
      <c r="T639" s="403"/>
      <c r="U639" s="198"/>
      <c r="V639" s="219"/>
      <c r="W639" s="406"/>
      <c r="X639" s="403"/>
      <c r="Y639" s="198"/>
      <c r="Z639" s="219"/>
      <c r="AA639" s="406"/>
      <c r="AB639" s="403"/>
      <c r="AC639" s="198"/>
      <c r="AD639" s="219"/>
      <c r="AE639" s="406"/>
      <c r="AF639" s="403"/>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6"/>
      <c r="T640" s="403"/>
      <c r="U640" s="198"/>
      <c r="V640" s="219"/>
      <c r="W640" s="406"/>
      <c r="X640" s="403"/>
      <c r="Y640" s="198"/>
      <c r="Z640" s="219"/>
      <c r="AA640" s="406"/>
      <c r="AB640" s="403"/>
      <c r="AC640" s="198"/>
      <c r="AD640" s="219"/>
      <c r="AE640" s="406"/>
      <c r="AF640" s="403"/>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6"/>
      <c r="T641" s="403"/>
      <c r="U641" s="198"/>
      <c r="V641" s="219"/>
      <c r="W641" s="406"/>
      <c r="X641" s="403"/>
      <c r="Y641" s="198"/>
      <c r="Z641" s="219"/>
      <c r="AA641" s="406"/>
      <c r="AB641" s="403"/>
      <c r="AC641" s="198"/>
      <c r="AD641" s="219"/>
      <c r="AE641" s="406"/>
      <c r="AF641" s="403"/>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6"/>
      <c r="T642" s="403"/>
      <c r="U642" s="198"/>
      <c r="V642" s="219"/>
      <c r="W642" s="406"/>
      <c r="X642" s="403"/>
      <c r="Y642" s="198"/>
      <c r="Z642" s="219"/>
      <c r="AA642" s="406"/>
      <c r="AB642" s="403"/>
      <c r="AC642" s="198"/>
      <c r="AD642" s="219"/>
      <c r="AE642" s="406"/>
      <c r="AF642" s="403"/>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6"/>
      <c r="T643" s="403"/>
      <c r="U643" s="198"/>
      <c r="V643" s="219"/>
      <c r="W643" s="406"/>
      <c r="X643" s="403"/>
      <c r="Y643" s="198"/>
      <c r="Z643" s="219"/>
      <c r="AA643" s="406"/>
      <c r="AB643" s="403"/>
      <c r="AC643" s="198"/>
      <c r="AD643" s="219"/>
      <c r="AE643" s="406"/>
      <c r="AF643" s="403"/>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6"/>
      <c r="T644" s="403"/>
      <c r="U644" s="198"/>
      <c r="V644" s="219"/>
      <c r="W644" s="406"/>
      <c r="X644" s="403"/>
      <c r="Y644" s="198"/>
      <c r="Z644" s="219"/>
      <c r="AA644" s="406"/>
      <c r="AB644" s="403"/>
      <c r="AC644" s="198"/>
      <c r="AD644" s="219"/>
      <c r="AE644" s="406"/>
      <c r="AF644" s="403"/>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6"/>
      <c r="T645" s="403"/>
      <c r="U645" s="198"/>
      <c r="V645" s="219"/>
      <c r="W645" s="406"/>
      <c r="X645" s="403"/>
      <c r="Y645" s="198"/>
      <c r="Z645" s="219"/>
      <c r="AA645" s="406"/>
      <c r="AB645" s="403"/>
      <c r="AC645" s="198"/>
      <c r="AD645" s="219"/>
      <c r="AE645" s="406"/>
      <c r="AF645" s="403"/>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6"/>
      <c r="T646" s="403"/>
      <c r="U646" s="198"/>
      <c r="V646" s="219"/>
      <c r="W646" s="406"/>
      <c r="X646" s="403"/>
      <c r="Y646" s="198"/>
      <c r="Z646" s="219"/>
      <c r="AA646" s="406"/>
      <c r="AB646" s="403"/>
      <c r="AC646" s="198"/>
      <c r="AD646" s="219"/>
      <c r="AE646" s="406"/>
      <c r="AF646" s="403"/>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6"/>
      <c r="T647" s="403"/>
      <c r="U647" s="198"/>
      <c r="V647" s="219"/>
      <c r="W647" s="406"/>
      <c r="X647" s="403"/>
      <c r="Y647" s="198"/>
      <c r="Z647" s="219"/>
      <c r="AA647" s="406"/>
      <c r="AB647" s="403"/>
      <c r="AC647" s="198"/>
      <c r="AD647" s="219"/>
      <c r="AE647" s="406"/>
      <c r="AF647" s="403"/>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6"/>
      <c r="T648" s="403"/>
      <c r="U648" s="198"/>
      <c r="V648" s="219"/>
      <c r="W648" s="406"/>
      <c r="X648" s="403"/>
      <c r="Y648" s="198"/>
      <c r="Z648" s="219"/>
      <c r="AA648" s="406"/>
      <c r="AB648" s="403"/>
      <c r="AC648" s="198"/>
      <c r="AD648" s="219"/>
      <c r="AE648" s="406"/>
      <c r="AF648" s="403"/>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6"/>
      <c r="T649" s="403"/>
      <c r="U649" s="198"/>
      <c r="V649" s="219"/>
      <c r="W649" s="406"/>
      <c r="X649" s="403"/>
      <c r="Y649" s="198"/>
      <c r="Z649" s="219"/>
      <c r="AA649" s="406"/>
      <c r="AB649" s="403"/>
      <c r="AC649" s="198"/>
      <c r="AD649" s="219"/>
      <c r="AE649" s="406"/>
      <c r="AF649" s="403"/>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6"/>
      <c r="T650" s="403"/>
      <c r="U650" s="198"/>
      <c r="V650" s="219"/>
      <c r="W650" s="406"/>
      <c r="X650" s="403"/>
      <c r="Y650" s="198"/>
      <c r="Z650" s="219"/>
      <c r="AA650" s="406"/>
      <c r="AB650" s="403"/>
      <c r="AC650" s="198"/>
      <c r="AD650" s="219"/>
      <c r="AE650" s="406"/>
      <c r="AF650" s="403"/>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6"/>
      <c r="T651" s="403"/>
      <c r="U651" s="198"/>
      <c r="V651" s="219"/>
      <c r="W651" s="406"/>
      <c r="X651" s="403"/>
      <c r="Y651" s="198"/>
      <c r="Z651" s="219"/>
      <c r="AA651" s="406"/>
      <c r="AB651" s="403"/>
      <c r="AC651" s="198"/>
      <c r="AD651" s="219"/>
      <c r="AE651" s="406"/>
      <c r="AF651" s="403"/>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6"/>
      <c r="T652" s="403"/>
      <c r="U652" s="198"/>
      <c r="V652" s="219"/>
      <c r="W652" s="406"/>
      <c r="X652" s="403"/>
      <c r="Y652" s="198"/>
      <c r="Z652" s="219"/>
      <c r="AA652" s="406"/>
      <c r="AB652" s="403"/>
      <c r="AC652" s="198"/>
      <c r="AD652" s="219"/>
      <c r="AE652" s="406"/>
      <c r="AF652" s="403"/>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6"/>
      <c r="T653" s="403"/>
      <c r="U653" s="198"/>
      <c r="V653" s="219"/>
      <c r="W653" s="406"/>
      <c r="X653" s="403"/>
      <c r="Y653" s="198"/>
      <c r="Z653" s="219"/>
      <c r="AA653" s="406"/>
      <c r="AB653" s="403"/>
      <c r="AC653" s="198"/>
      <c r="AD653" s="219"/>
      <c r="AE653" s="406"/>
      <c r="AF653" s="403"/>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6"/>
      <c r="T654" s="403"/>
      <c r="U654" s="198"/>
      <c r="V654" s="219"/>
      <c r="W654" s="406"/>
      <c r="X654" s="403"/>
      <c r="Y654" s="198"/>
      <c r="Z654" s="219"/>
      <c r="AA654" s="406"/>
      <c r="AB654" s="403"/>
      <c r="AC654" s="198"/>
      <c r="AD654" s="219"/>
      <c r="AE654" s="406"/>
      <c r="AF654" s="403"/>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6"/>
      <c r="T655" s="403"/>
      <c r="U655" s="198"/>
      <c r="V655" s="219"/>
      <c r="W655" s="406"/>
      <c r="X655" s="403"/>
      <c r="Y655" s="198"/>
      <c r="Z655" s="219"/>
      <c r="AA655" s="406"/>
      <c r="AB655" s="403"/>
      <c r="AC655" s="198"/>
      <c r="AD655" s="219"/>
      <c r="AE655" s="406"/>
      <c r="AF655" s="403"/>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6"/>
      <c r="T656" s="403"/>
      <c r="U656" s="198"/>
      <c r="V656" s="219"/>
      <c r="W656" s="406"/>
      <c r="X656" s="403"/>
      <c r="Y656" s="198"/>
      <c r="Z656" s="219"/>
      <c r="AA656" s="406"/>
      <c r="AB656" s="403"/>
      <c r="AC656" s="198"/>
      <c r="AD656" s="219"/>
      <c r="AE656" s="406"/>
      <c r="AF656" s="403"/>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6"/>
      <c r="T657" s="403"/>
      <c r="U657" s="198"/>
      <c r="V657" s="219"/>
      <c r="W657" s="406"/>
      <c r="X657" s="403"/>
      <c r="Y657" s="198"/>
      <c r="Z657" s="219"/>
      <c r="AA657" s="406"/>
      <c r="AB657" s="403"/>
      <c r="AC657" s="198"/>
      <c r="AD657" s="219"/>
      <c r="AE657" s="406"/>
      <c r="AF657" s="403"/>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6"/>
      <c r="T658" s="403"/>
      <c r="U658" s="198"/>
      <c r="V658" s="219"/>
      <c r="W658" s="406"/>
      <c r="X658" s="403"/>
      <c r="Y658" s="198"/>
      <c r="Z658" s="219"/>
      <c r="AA658" s="406"/>
      <c r="AB658" s="403"/>
      <c r="AC658" s="198"/>
      <c r="AD658" s="219"/>
      <c r="AE658" s="406"/>
      <c r="AF658" s="403"/>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6"/>
      <c r="T659" s="403"/>
      <c r="U659" s="198"/>
      <c r="V659" s="219"/>
      <c r="W659" s="406"/>
      <c r="X659" s="403"/>
      <c r="Y659" s="198"/>
      <c r="Z659" s="219"/>
      <c r="AA659" s="406"/>
      <c r="AB659" s="403"/>
      <c r="AC659" s="198"/>
      <c r="AD659" s="219"/>
      <c r="AE659" s="406"/>
      <c r="AF659" s="403"/>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6"/>
      <c r="T660" s="403"/>
      <c r="U660" s="198"/>
      <c r="V660" s="219"/>
      <c r="W660" s="406"/>
      <c r="X660" s="403"/>
      <c r="Y660" s="198"/>
      <c r="Z660" s="219"/>
      <c r="AA660" s="406"/>
      <c r="AB660" s="403"/>
      <c r="AC660" s="198"/>
      <c r="AD660" s="219"/>
      <c r="AE660" s="406"/>
      <c r="AF660" s="403"/>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6"/>
      <c r="T661" s="403"/>
      <c r="U661" s="198"/>
      <c r="V661" s="219"/>
      <c r="W661" s="406"/>
      <c r="X661" s="403"/>
      <c r="Y661" s="198"/>
      <c r="Z661" s="219"/>
      <c r="AA661" s="406"/>
      <c r="AB661" s="403"/>
      <c r="AC661" s="198"/>
      <c r="AD661" s="219"/>
      <c r="AE661" s="406"/>
      <c r="AF661" s="403"/>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6"/>
      <c r="T662" s="403"/>
      <c r="U662" s="198"/>
      <c r="V662" s="219"/>
      <c r="W662" s="406"/>
      <c r="X662" s="403"/>
      <c r="Y662" s="198"/>
      <c r="Z662" s="219"/>
      <c r="AA662" s="406"/>
      <c r="AB662" s="403"/>
      <c r="AC662" s="198"/>
      <c r="AD662" s="219"/>
      <c r="AE662" s="406"/>
      <c r="AF662" s="403"/>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6"/>
      <c r="T663" s="403"/>
      <c r="U663" s="198"/>
      <c r="V663" s="219"/>
      <c r="W663" s="406"/>
      <c r="X663" s="403"/>
      <c r="Y663" s="198"/>
      <c r="Z663" s="219"/>
      <c r="AA663" s="406"/>
      <c r="AB663" s="403"/>
      <c r="AC663" s="198"/>
      <c r="AD663" s="219"/>
      <c r="AE663" s="406"/>
      <c r="AF663" s="403"/>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6"/>
      <c r="T664" s="403"/>
      <c r="U664" s="198"/>
      <c r="V664" s="219"/>
      <c r="W664" s="406"/>
      <c r="X664" s="403"/>
      <c r="Y664" s="198"/>
      <c r="Z664" s="219"/>
      <c r="AA664" s="406"/>
      <c r="AB664" s="403"/>
      <c r="AC664" s="198"/>
      <c r="AD664" s="219"/>
      <c r="AE664" s="406"/>
      <c r="AF664" s="403"/>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6"/>
      <c r="T665" s="403"/>
      <c r="U665" s="198"/>
      <c r="V665" s="219"/>
      <c r="W665" s="406"/>
      <c r="X665" s="403"/>
      <c r="Y665" s="198"/>
      <c r="Z665" s="219"/>
      <c r="AA665" s="406"/>
      <c r="AB665" s="403"/>
      <c r="AC665" s="198"/>
      <c r="AD665" s="219"/>
      <c r="AE665" s="406"/>
      <c r="AF665" s="403"/>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6"/>
      <c r="T666" s="403"/>
      <c r="U666" s="198"/>
      <c r="V666" s="219"/>
      <c r="W666" s="406"/>
      <c r="X666" s="403"/>
      <c r="Y666" s="198"/>
      <c r="Z666" s="219"/>
      <c r="AA666" s="406"/>
      <c r="AB666" s="403"/>
      <c r="AC666" s="198"/>
      <c r="AD666" s="219"/>
      <c r="AE666" s="406"/>
      <c r="AF666" s="403"/>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6"/>
      <c r="T667" s="403"/>
      <c r="U667" s="198"/>
      <c r="V667" s="219"/>
      <c r="W667" s="406"/>
      <c r="X667" s="403"/>
      <c r="Y667" s="198"/>
      <c r="Z667" s="219"/>
      <c r="AA667" s="406"/>
      <c r="AB667" s="403"/>
      <c r="AC667" s="198"/>
      <c r="AD667" s="219"/>
      <c r="AE667" s="406"/>
      <c r="AF667" s="403"/>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6"/>
      <c r="T668" s="403"/>
      <c r="U668" s="198"/>
      <c r="V668" s="219"/>
      <c r="W668" s="406"/>
      <c r="X668" s="403"/>
      <c r="Y668" s="198"/>
      <c r="Z668" s="219"/>
      <c r="AA668" s="406"/>
      <c r="AB668" s="403"/>
      <c r="AC668" s="198"/>
      <c r="AD668" s="219"/>
      <c r="AE668" s="406"/>
      <c r="AF668" s="403"/>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6"/>
      <c r="T669" s="403"/>
      <c r="U669" s="198"/>
      <c r="V669" s="219"/>
      <c r="W669" s="406"/>
      <c r="X669" s="403"/>
      <c r="Y669" s="198"/>
      <c r="Z669" s="219"/>
      <c r="AA669" s="406"/>
      <c r="AB669" s="403"/>
      <c r="AC669" s="198"/>
      <c r="AD669" s="219"/>
      <c r="AE669" s="406"/>
      <c r="AF669" s="403"/>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6"/>
      <c r="T670" s="403"/>
      <c r="U670" s="198"/>
      <c r="V670" s="219"/>
      <c r="W670" s="406"/>
      <c r="X670" s="403"/>
      <c r="Y670" s="198"/>
      <c r="Z670" s="219"/>
      <c r="AA670" s="406"/>
      <c r="AB670" s="403"/>
      <c r="AC670" s="198"/>
      <c r="AD670" s="219"/>
      <c r="AE670" s="406"/>
      <c r="AF670" s="403"/>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6"/>
      <c r="T671" s="403"/>
      <c r="U671" s="198"/>
      <c r="V671" s="219"/>
      <c r="W671" s="406"/>
      <c r="X671" s="403"/>
      <c r="Y671" s="198"/>
      <c r="Z671" s="219"/>
      <c r="AA671" s="406"/>
      <c r="AB671" s="403"/>
      <c r="AC671" s="198"/>
      <c r="AD671" s="219"/>
      <c r="AE671" s="406"/>
      <c r="AF671" s="403"/>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6"/>
      <c r="T672" s="403"/>
      <c r="U672" s="198"/>
      <c r="V672" s="219"/>
      <c r="W672" s="406"/>
      <c r="X672" s="403"/>
      <c r="Y672" s="198"/>
      <c r="Z672" s="219"/>
      <c r="AA672" s="406"/>
      <c r="AB672" s="403"/>
      <c r="AC672" s="198"/>
      <c r="AD672" s="219"/>
      <c r="AE672" s="406"/>
      <c r="AF672" s="403"/>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6"/>
      <c r="T673" s="403"/>
      <c r="U673" s="198"/>
      <c r="V673" s="219"/>
      <c r="W673" s="406"/>
      <c r="X673" s="403"/>
      <c r="Y673" s="198"/>
      <c r="Z673" s="219"/>
      <c r="AA673" s="406"/>
      <c r="AB673" s="403"/>
      <c r="AC673" s="198"/>
      <c r="AD673" s="219"/>
      <c r="AE673" s="406"/>
      <c r="AF673" s="403"/>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6"/>
      <c r="T674" s="403"/>
      <c r="U674" s="198"/>
      <c r="V674" s="219"/>
      <c r="W674" s="406"/>
      <c r="X674" s="403"/>
      <c r="Y674" s="198"/>
      <c r="Z674" s="219"/>
      <c r="AA674" s="406"/>
      <c r="AB674" s="403"/>
      <c r="AC674" s="198"/>
      <c r="AD674" s="219"/>
      <c r="AE674" s="406"/>
      <c r="AF674" s="403"/>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6"/>
      <c r="T675" s="403"/>
      <c r="U675" s="198"/>
      <c r="V675" s="219"/>
      <c r="W675" s="406"/>
      <c r="X675" s="403"/>
      <c r="Y675" s="198"/>
      <c r="Z675" s="219"/>
      <c r="AA675" s="406"/>
      <c r="AB675" s="403"/>
      <c r="AC675" s="198"/>
      <c r="AD675" s="219"/>
      <c r="AE675" s="406"/>
      <c r="AF675" s="403"/>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6"/>
      <c r="T676" s="403"/>
      <c r="U676" s="198"/>
      <c r="V676" s="219"/>
      <c r="W676" s="406"/>
      <c r="X676" s="403"/>
      <c r="Y676" s="198"/>
      <c r="Z676" s="219"/>
      <c r="AA676" s="406"/>
      <c r="AB676" s="403"/>
      <c r="AC676" s="198"/>
      <c r="AD676" s="219"/>
      <c r="AE676" s="406"/>
      <c r="AF676" s="403"/>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6"/>
      <c r="T677" s="403"/>
      <c r="U677" s="198"/>
      <c r="V677" s="219"/>
      <c r="W677" s="406"/>
      <c r="X677" s="403"/>
      <c r="Y677" s="198"/>
      <c r="Z677" s="219"/>
      <c r="AA677" s="406"/>
      <c r="AB677" s="403"/>
      <c r="AC677" s="198"/>
      <c r="AD677" s="219"/>
      <c r="AE677" s="406"/>
      <c r="AF677" s="403"/>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6"/>
      <c r="T678" s="403"/>
      <c r="U678" s="198"/>
      <c r="V678" s="219"/>
      <c r="W678" s="406"/>
      <c r="X678" s="403"/>
      <c r="Y678" s="198"/>
      <c r="Z678" s="219"/>
      <c r="AA678" s="406"/>
      <c r="AB678" s="403"/>
      <c r="AC678" s="198"/>
      <c r="AD678" s="219"/>
      <c r="AE678" s="406"/>
      <c r="AF678" s="403"/>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6"/>
      <c r="T679" s="403"/>
      <c r="U679" s="198"/>
      <c r="V679" s="219"/>
      <c r="W679" s="406"/>
      <c r="X679" s="403"/>
      <c r="Y679" s="198"/>
      <c r="Z679" s="219"/>
      <c r="AA679" s="406"/>
      <c r="AB679" s="403"/>
      <c r="AC679" s="198"/>
      <c r="AD679" s="219"/>
      <c r="AE679" s="406"/>
      <c r="AF679" s="403"/>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6"/>
      <c r="T680" s="403"/>
      <c r="U680" s="198"/>
      <c r="V680" s="219"/>
      <c r="W680" s="406"/>
      <c r="X680" s="403"/>
      <c r="Y680" s="198"/>
      <c r="Z680" s="219"/>
      <c r="AA680" s="406"/>
      <c r="AB680" s="403"/>
      <c r="AC680" s="198"/>
      <c r="AD680" s="219"/>
      <c r="AE680" s="406"/>
      <c r="AF680" s="403"/>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6"/>
      <c r="T681" s="403"/>
      <c r="U681" s="198"/>
      <c r="V681" s="219"/>
      <c r="W681" s="406"/>
      <c r="X681" s="403"/>
      <c r="Y681" s="198"/>
      <c r="Z681" s="219"/>
      <c r="AA681" s="406"/>
      <c r="AB681" s="403"/>
      <c r="AC681" s="198"/>
      <c r="AD681" s="219"/>
      <c r="AE681" s="406"/>
      <c r="AF681" s="403"/>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6"/>
      <c r="T682" s="403"/>
      <c r="U682" s="198"/>
      <c r="V682" s="219"/>
      <c r="W682" s="406"/>
      <c r="X682" s="403"/>
      <c r="Y682" s="198"/>
      <c r="Z682" s="219"/>
      <c r="AA682" s="406"/>
      <c r="AB682" s="403"/>
      <c r="AC682" s="198"/>
      <c r="AD682" s="219"/>
      <c r="AE682" s="406"/>
      <c r="AF682" s="403"/>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6"/>
      <c r="T683" s="403"/>
      <c r="U683" s="198"/>
      <c r="V683" s="219"/>
      <c r="W683" s="406"/>
      <c r="X683" s="403"/>
      <c r="Y683" s="198"/>
      <c r="Z683" s="219"/>
      <c r="AA683" s="406"/>
      <c r="AB683" s="403"/>
      <c r="AC683" s="198"/>
      <c r="AD683" s="219"/>
      <c r="AE683" s="406"/>
      <c r="AF683" s="403"/>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6"/>
      <c r="T684" s="403"/>
      <c r="U684" s="198"/>
      <c r="V684" s="219"/>
      <c r="W684" s="406"/>
      <c r="X684" s="403"/>
      <c r="Y684" s="198"/>
      <c r="Z684" s="219"/>
      <c r="AA684" s="406"/>
      <c r="AB684" s="403"/>
      <c r="AC684" s="198"/>
      <c r="AD684" s="219"/>
      <c r="AE684" s="406"/>
      <c r="AF684" s="403"/>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6"/>
      <c r="T685" s="403"/>
      <c r="U685" s="198"/>
      <c r="V685" s="219"/>
      <c r="W685" s="406"/>
      <c r="X685" s="403"/>
      <c r="Y685" s="198"/>
      <c r="Z685" s="219"/>
      <c r="AA685" s="406"/>
      <c r="AB685" s="403"/>
      <c r="AC685" s="198"/>
      <c r="AD685" s="219"/>
      <c r="AE685" s="406"/>
      <c r="AF685" s="403"/>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6"/>
      <c r="T686" s="403"/>
      <c r="U686" s="198"/>
      <c r="V686" s="219"/>
      <c r="W686" s="406"/>
      <c r="X686" s="403"/>
      <c r="Y686" s="198"/>
      <c r="Z686" s="219"/>
      <c r="AA686" s="406"/>
      <c r="AB686" s="403"/>
      <c r="AC686" s="198"/>
      <c r="AD686" s="219"/>
      <c r="AE686" s="406"/>
      <c r="AF686" s="403"/>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6"/>
      <c r="T687" s="403"/>
      <c r="U687" s="198"/>
      <c r="V687" s="219"/>
      <c r="W687" s="406"/>
      <c r="X687" s="403"/>
      <c r="Y687" s="198"/>
      <c r="Z687" s="219"/>
      <c r="AA687" s="406"/>
      <c r="AB687" s="403"/>
      <c r="AC687" s="198"/>
      <c r="AD687" s="219"/>
      <c r="AE687" s="406"/>
      <c r="AF687" s="403"/>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6"/>
      <c r="T688" s="403"/>
      <c r="U688" s="198"/>
      <c r="V688" s="219"/>
      <c r="W688" s="406"/>
      <c r="X688" s="403"/>
      <c r="Y688" s="198"/>
      <c r="Z688" s="219"/>
      <c r="AA688" s="406"/>
      <c r="AB688" s="403"/>
      <c r="AC688" s="198"/>
      <c r="AD688" s="219"/>
      <c r="AE688" s="406"/>
      <c r="AF688" s="403"/>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6"/>
      <c r="T689" s="403"/>
      <c r="U689" s="198"/>
      <c r="V689" s="219"/>
      <c r="W689" s="406"/>
      <c r="X689" s="403"/>
      <c r="Y689" s="198"/>
      <c r="Z689" s="219"/>
      <c r="AA689" s="406"/>
      <c r="AB689" s="403"/>
      <c r="AC689" s="198"/>
      <c r="AD689" s="219"/>
      <c r="AE689" s="406"/>
      <c r="AF689" s="403"/>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6"/>
      <c r="T690" s="403"/>
      <c r="U690" s="198"/>
      <c r="V690" s="219"/>
      <c r="W690" s="406"/>
      <c r="X690" s="403"/>
      <c r="Y690" s="198"/>
      <c r="Z690" s="219"/>
      <c r="AA690" s="406"/>
      <c r="AB690" s="403"/>
      <c r="AC690" s="198"/>
      <c r="AD690" s="219"/>
      <c r="AE690" s="406"/>
      <c r="AF690" s="403"/>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6"/>
      <c r="T691" s="403"/>
      <c r="U691" s="198"/>
      <c r="V691" s="219"/>
      <c r="W691" s="406"/>
      <c r="X691" s="403"/>
      <c r="Y691" s="198"/>
      <c r="Z691" s="219"/>
      <c r="AA691" s="406"/>
      <c r="AB691" s="403"/>
      <c r="AC691" s="198"/>
      <c r="AD691" s="219"/>
      <c r="AE691" s="406"/>
      <c r="AF691" s="403"/>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6"/>
      <c r="T692" s="403"/>
      <c r="U692" s="198"/>
      <c r="V692" s="219"/>
      <c r="W692" s="406"/>
      <c r="X692" s="403"/>
      <c r="Y692" s="198"/>
      <c r="Z692" s="219"/>
      <c r="AA692" s="406"/>
      <c r="AB692" s="403"/>
      <c r="AC692" s="198"/>
      <c r="AD692" s="219"/>
      <c r="AE692" s="406"/>
      <c r="AF692" s="403"/>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6"/>
      <c r="T693" s="403"/>
      <c r="U693" s="198"/>
      <c r="V693" s="219"/>
      <c r="W693" s="406"/>
      <c r="X693" s="403"/>
      <c r="Y693" s="198"/>
      <c r="Z693" s="219"/>
      <c r="AA693" s="406"/>
      <c r="AB693" s="403"/>
      <c r="AC693" s="198"/>
      <c r="AD693" s="219"/>
      <c r="AE693" s="406"/>
      <c r="AF693" s="403"/>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6"/>
      <c r="T694" s="403"/>
      <c r="U694" s="198"/>
      <c r="V694" s="219"/>
      <c r="W694" s="406"/>
      <c r="X694" s="403"/>
      <c r="Y694" s="198"/>
      <c r="Z694" s="219"/>
      <c r="AA694" s="406"/>
      <c r="AB694" s="403"/>
      <c r="AC694" s="198"/>
      <c r="AD694" s="219"/>
      <c r="AE694" s="406"/>
      <c r="AF694" s="403"/>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6"/>
      <c r="T695" s="403"/>
      <c r="U695" s="198"/>
      <c r="V695" s="219"/>
      <c r="W695" s="406"/>
      <c r="X695" s="403"/>
      <c r="Y695" s="198"/>
      <c r="Z695" s="219"/>
      <c r="AA695" s="406"/>
      <c r="AB695" s="403"/>
      <c r="AC695" s="198"/>
      <c r="AD695" s="219"/>
      <c r="AE695" s="406"/>
      <c r="AF695" s="403"/>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6"/>
      <c r="T696" s="403"/>
      <c r="U696" s="198"/>
      <c r="V696" s="219"/>
      <c r="W696" s="406"/>
      <c r="X696" s="403"/>
      <c r="Y696" s="198"/>
      <c r="Z696" s="219"/>
      <c r="AA696" s="406"/>
      <c r="AB696" s="403"/>
      <c r="AC696" s="198"/>
      <c r="AD696" s="219"/>
      <c r="AE696" s="406"/>
      <c r="AF696" s="403"/>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6"/>
      <c r="T697" s="403"/>
      <c r="U697" s="198"/>
      <c r="V697" s="219"/>
      <c r="W697" s="406"/>
      <c r="X697" s="403"/>
      <c r="Y697" s="198"/>
      <c r="Z697" s="219"/>
      <c r="AA697" s="406"/>
      <c r="AB697" s="403"/>
      <c r="AC697" s="198"/>
      <c r="AD697" s="219"/>
      <c r="AE697" s="406"/>
      <c r="AF697" s="403"/>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6"/>
      <c r="T698" s="403"/>
      <c r="U698" s="198"/>
      <c r="V698" s="219"/>
      <c r="W698" s="406"/>
      <c r="X698" s="403"/>
      <c r="Y698" s="198"/>
      <c r="Z698" s="219"/>
      <c r="AA698" s="406"/>
      <c r="AB698" s="403"/>
      <c r="AC698" s="198"/>
      <c r="AD698" s="219"/>
      <c r="AE698" s="406"/>
      <c r="AF698" s="403"/>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6"/>
      <c r="T699" s="403"/>
      <c r="U699" s="198"/>
      <c r="V699" s="219"/>
      <c r="W699" s="406"/>
      <c r="X699" s="403"/>
      <c r="Y699" s="198"/>
      <c r="Z699" s="219"/>
      <c r="AA699" s="406"/>
      <c r="AB699" s="403"/>
      <c r="AC699" s="198"/>
      <c r="AD699" s="219"/>
      <c r="AE699" s="406"/>
      <c r="AF699" s="403"/>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6"/>
      <c r="T700" s="403"/>
      <c r="U700" s="198"/>
      <c r="V700" s="219"/>
      <c r="W700" s="406"/>
      <c r="X700" s="403"/>
      <c r="Y700" s="198"/>
      <c r="Z700" s="219"/>
      <c r="AA700" s="406"/>
      <c r="AB700" s="403"/>
      <c r="AC700" s="198"/>
      <c r="AD700" s="219"/>
      <c r="AE700" s="406"/>
      <c r="AF700" s="403"/>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6"/>
      <c r="T701" s="403"/>
      <c r="U701" s="198"/>
      <c r="V701" s="219"/>
      <c r="W701" s="406"/>
      <c r="X701" s="403"/>
      <c r="Y701" s="198"/>
      <c r="Z701" s="219"/>
      <c r="AA701" s="406"/>
      <c r="AB701" s="403"/>
      <c r="AC701" s="198"/>
      <c r="AD701" s="219"/>
      <c r="AE701" s="406"/>
      <c r="AF701" s="403"/>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6"/>
      <c r="T702" s="403"/>
      <c r="U702" s="198"/>
      <c r="V702" s="219"/>
      <c r="W702" s="406"/>
      <c r="X702" s="403"/>
      <c r="Y702" s="198"/>
      <c r="Z702" s="219"/>
      <c r="AA702" s="406"/>
      <c r="AB702" s="403"/>
      <c r="AC702" s="198"/>
      <c r="AD702" s="219"/>
      <c r="AE702" s="406"/>
      <c r="AF702" s="403"/>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6"/>
      <c r="T703" s="403"/>
      <c r="U703" s="198"/>
      <c r="V703" s="219"/>
      <c r="W703" s="406"/>
      <c r="X703" s="403"/>
      <c r="Y703" s="198"/>
      <c r="Z703" s="219"/>
      <c r="AA703" s="406"/>
      <c r="AB703" s="403"/>
      <c r="AC703" s="198"/>
      <c r="AD703" s="219"/>
      <c r="AE703" s="406"/>
      <c r="AF703" s="403"/>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6"/>
      <c r="T704" s="403"/>
      <c r="U704" s="198"/>
      <c r="V704" s="219"/>
      <c r="W704" s="406"/>
      <c r="X704" s="403"/>
      <c r="Y704" s="198"/>
      <c r="Z704" s="219"/>
      <c r="AA704" s="406"/>
      <c r="AB704" s="403"/>
      <c r="AC704" s="198"/>
      <c r="AD704" s="219"/>
      <c r="AE704" s="406"/>
      <c r="AF704" s="403"/>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6"/>
      <c r="T705" s="403"/>
      <c r="U705" s="198"/>
      <c r="V705" s="219"/>
      <c r="W705" s="406"/>
      <c r="X705" s="403"/>
      <c r="Y705" s="198"/>
      <c r="Z705" s="219"/>
      <c r="AA705" s="406"/>
      <c r="AB705" s="403"/>
      <c r="AC705" s="198"/>
      <c r="AD705" s="219"/>
      <c r="AE705" s="406"/>
      <c r="AF705" s="403"/>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6"/>
      <c r="T706" s="403"/>
      <c r="U706" s="198"/>
      <c r="V706" s="219"/>
      <c r="W706" s="406"/>
      <c r="X706" s="403"/>
      <c r="Y706" s="198"/>
      <c r="Z706" s="219"/>
      <c r="AA706" s="406"/>
      <c r="AB706" s="403"/>
      <c r="AC706" s="198"/>
      <c r="AD706" s="219"/>
      <c r="AE706" s="406"/>
      <c r="AF706" s="403"/>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6"/>
      <c r="T707" s="403"/>
      <c r="U707" s="198"/>
      <c r="V707" s="219"/>
      <c r="W707" s="406"/>
      <c r="X707" s="403"/>
      <c r="Y707" s="198"/>
      <c r="Z707" s="219"/>
      <c r="AA707" s="406"/>
      <c r="AB707" s="403"/>
      <c r="AC707" s="198"/>
      <c r="AD707" s="219"/>
      <c r="AE707" s="406"/>
      <c r="AF707" s="403"/>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6"/>
      <c r="T708" s="403"/>
      <c r="U708" s="198"/>
      <c r="V708" s="219"/>
      <c r="W708" s="406"/>
      <c r="X708" s="403"/>
      <c r="Y708" s="198"/>
      <c r="Z708" s="219"/>
      <c r="AA708" s="406"/>
      <c r="AB708" s="403"/>
      <c r="AC708" s="198"/>
      <c r="AD708" s="219"/>
      <c r="AE708" s="406"/>
      <c r="AF708" s="403"/>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6"/>
      <c r="T709" s="403"/>
      <c r="U709" s="198"/>
      <c r="V709" s="219"/>
      <c r="W709" s="406"/>
      <c r="X709" s="403"/>
      <c r="Y709" s="198"/>
      <c r="Z709" s="219"/>
      <c r="AA709" s="406"/>
      <c r="AB709" s="403"/>
      <c r="AC709" s="198"/>
      <c r="AD709" s="219"/>
      <c r="AE709" s="406"/>
      <c r="AF709" s="403"/>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6"/>
      <c r="T710" s="403"/>
      <c r="U710" s="198"/>
      <c r="V710" s="219"/>
      <c r="W710" s="406"/>
      <c r="X710" s="403"/>
      <c r="Y710" s="198"/>
      <c r="Z710" s="219"/>
      <c r="AA710" s="406"/>
      <c r="AB710" s="403"/>
      <c r="AC710" s="198"/>
      <c r="AD710" s="219"/>
      <c r="AE710" s="406"/>
      <c r="AF710" s="403"/>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6"/>
      <c r="T711" s="403"/>
      <c r="U711" s="198"/>
      <c r="V711" s="219"/>
      <c r="W711" s="406"/>
      <c r="X711" s="403"/>
      <c r="Y711" s="198"/>
      <c r="Z711" s="219"/>
      <c r="AA711" s="406"/>
      <c r="AB711" s="403"/>
      <c r="AC711" s="198"/>
      <c r="AD711" s="219"/>
      <c r="AE711" s="406"/>
      <c r="AF711" s="403"/>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6"/>
      <c r="T712" s="403"/>
      <c r="U712" s="198"/>
      <c r="V712" s="219"/>
      <c r="W712" s="406"/>
      <c r="X712" s="403"/>
      <c r="Y712" s="198"/>
      <c r="Z712" s="219"/>
      <c r="AA712" s="406"/>
      <c r="AB712" s="403"/>
      <c r="AC712" s="198"/>
      <c r="AD712" s="219"/>
      <c r="AE712" s="406"/>
      <c r="AF712" s="403"/>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6"/>
      <c r="T713" s="403"/>
      <c r="U713" s="198"/>
      <c r="V713" s="219"/>
      <c r="W713" s="406"/>
      <c r="X713" s="403"/>
      <c r="Y713" s="198"/>
      <c r="Z713" s="219"/>
      <c r="AA713" s="406"/>
      <c r="AB713" s="403"/>
      <c r="AC713" s="198"/>
      <c r="AD713" s="219"/>
      <c r="AE713" s="406"/>
      <c r="AF713" s="403"/>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6"/>
      <c r="T714" s="403"/>
      <c r="U714" s="198"/>
      <c r="V714" s="219"/>
      <c r="W714" s="406"/>
      <c r="X714" s="403"/>
      <c r="Y714" s="198"/>
      <c r="Z714" s="219"/>
      <c r="AA714" s="406"/>
      <c r="AB714" s="403"/>
      <c r="AC714" s="198"/>
      <c r="AD714" s="219"/>
      <c r="AE714" s="406"/>
      <c r="AF714" s="403"/>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6"/>
      <c r="T715" s="403"/>
      <c r="U715" s="198"/>
      <c r="V715" s="219"/>
      <c r="W715" s="406"/>
      <c r="X715" s="403"/>
      <c r="Y715" s="198"/>
      <c r="Z715" s="219"/>
      <c r="AA715" s="406"/>
      <c r="AB715" s="403"/>
      <c r="AC715" s="198"/>
      <c r="AD715" s="219"/>
      <c r="AE715" s="406"/>
      <c r="AF715" s="403"/>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6"/>
      <c r="T716" s="403"/>
      <c r="U716" s="198"/>
      <c r="V716" s="219"/>
      <c r="W716" s="406"/>
      <c r="X716" s="403"/>
      <c r="Y716" s="198"/>
      <c r="Z716" s="219"/>
      <c r="AA716" s="406"/>
      <c r="AB716" s="403"/>
      <c r="AC716" s="198"/>
      <c r="AD716" s="219"/>
      <c r="AE716" s="406"/>
      <c r="AF716" s="403"/>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6"/>
      <c r="T717" s="403"/>
      <c r="U717" s="198"/>
      <c r="V717" s="219"/>
      <c r="W717" s="406"/>
      <c r="X717" s="403"/>
      <c r="Y717" s="198"/>
      <c r="Z717" s="219"/>
      <c r="AA717" s="406"/>
      <c r="AB717" s="403"/>
      <c r="AC717" s="198"/>
      <c r="AD717" s="219"/>
      <c r="AE717" s="406"/>
      <c r="AF717" s="403"/>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6"/>
      <c r="T718" s="403"/>
      <c r="U718" s="198"/>
      <c r="V718" s="219"/>
      <c r="W718" s="406"/>
      <c r="X718" s="403"/>
      <c r="Y718" s="198"/>
      <c r="Z718" s="219"/>
      <c r="AA718" s="406"/>
      <c r="AB718" s="403"/>
      <c r="AC718" s="198"/>
      <c r="AD718" s="219"/>
      <c r="AE718" s="406"/>
      <c r="AF718" s="403"/>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6"/>
      <c r="T719" s="403"/>
      <c r="U719" s="198"/>
      <c r="V719" s="219"/>
      <c r="W719" s="406"/>
      <c r="X719" s="403"/>
      <c r="Y719" s="198"/>
      <c r="Z719" s="219"/>
      <c r="AA719" s="406"/>
      <c r="AB719" s="403"/>
      <c r="AC719" s="198"/>
      <c r="AD719" s="219"/>
      <c r="AE719" s="406"/>
      <c r="AF719" s="403"/>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6"/>
      <c r="T720" s="403"/>
      <c r="U720" s="198"/>
      <c r="V720" s="219"/>
      <c r="W720" s="406"/>
      <c r="X720" s="403"/>
      <c r="Y720" s="198"/>
      <c r="Z720" s="219"/>
      <c r="AA720" s="406"/>
      <c r="AB720" s="403"/>
      <c r="AC720" s="198"/>
      <c r="AD720" s="219"/>
      <c r="AE720" s="406"/>
      <c r="AF720" s="403"/>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6"/>
      <c r="T721" s="403"/>
      <c r="U721" s="198"/>
      <c r="V721" s="219"/>
      <c r="W721" s="406"/>
      <c r="X721" s="403"/>
      <c r="Y721" s="198"/>
      <c r="Z721" s="219"/>
      <c r="AA721" s="406"/>
      <c r="AB721" s="403"/>
      <c r="AC721" s="198"/>
      <c r="AD721" s="219"/>
      <c r="AE721" s="406"/>
      <c r="AF721" s="403"/>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6"/>
      <c r="T722" s="403"/>
      <c r="U722" s="198"/>
      <c r="V722" s="219"/>
      <c r="W722" s="406"/>
      <c r="X722" s="403"/>
      <c r="Y722" s="198"/>
      <c r="Z722" s="219"/>
      <c r="AA722" s="406"/>
      <c r="AB722" s="403"/>
      <c r="AC722" s="198"/>
      <c r="AD722" s="219"/>
      <c r="AE722" s="406"/>
      <c r="AF722" s="403"/>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6"/>
      <c r="T723" s="403"/>
      <c r="U723" s="198"/>
      <c r="V723" s="219"/>
      <c r="W723" s="406"/>
      <c r="X723" s="403"/>
      <c r="Y723" s="198"/>
      <c r="Z723" s="219"/>
      <c r="AA723" s="406"/>
      <c r="AB723" s="403"/>
      <c r="AC723" s="198"/>
      <c r="AD723" s="219"/>
      <c r="AE723" s="406"/>
      <c r="AF723" s="403"/>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6"/>
      <c r="T724" s="403"/>
      <c r="U724" s="198"/>
      <c r="V724" s="219"/>
      <c r="W724" s="406"/>
      <c r="X724" s="403"/>
      <c r="Y724" s="198"/>
      <c r="Z724" s="219"/>
      <c r="AA724" s="406"/>
      <c r="AB724" s="403"/>
      <c r="AC724" s="198"/>
      <c r="AD724" s="219"/>
      <c r="AE724" s="406"/>
      <c r="AF724" s="403"/>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6"/>
      <c r="T725" s="403"/>
      <c r="U725" s="198"/>
      <c r="V725" s="219"/>
      <c r="W725" s="406"/>
      <c r="X725" s="403"/>
      <c r="Y725" s="198"/>
      <c r="Z725" s="219"/>
      <c r="AA725" s="406"/>
      <c r="AB725" s="403"/>
      <c r="AC725" s="198"/>
      <c r="AD725" s="219"/>
      <c r="AE725" s="406"/>
      <c r="AF725" s="403"/>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6"/>
      <c r="T726" s="403"/>
      <c r="U726" s="198"/>
      <c r="V726" s="219"/>
      <c r="W726" s="406"/>
      <c r="X726" s="403"/>
      <c r="Y726" s="198"/>
      <c r="Z726" s="219"/>
      <c r="AA726" s="406"/>
      <c r="AB726" s="403"/>
      <c r="AC726" s="198"/>
      <c r="AD726" s="219"/>
      <c r="AE726" s="406"/>
      <c r="AF726" s="403"/>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6"/>
      <c r="T727" s="403"/>
      <c r="U727" s="198"/>
      <c r="V727" s="219"/>
      <c r="W727" s="406"/>
      <c r="X727" s="403"/>
      <c r="Y727" s="198"/>
      <c r="Z727" s="219"/>
      <c r="AA727" s="406"/>
      <c r="AB727" s="403"/>
      <c r="AC727" s="198"/>
      <c r="AD727" s="219"/>
      <c r="AE727" s="406"/>
      <c r="AF727" s="403"/>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6"/>
      <c r="T728" s="403"/>
      <c r="U728" s="198"/>
      <c r="V728" s="219"/>
      <c r="W728" s="406"/>
      <c r="X728" s="403"/>
      <c r="Y728" s="198"/>
      <c r="Z728" s="219"/>
      <c r="AA728" s="406"/>
      <c r="AB728" s="403"/>
      <c r="AC728" s="198"/>
      <c r="AD728" s="219"/>
      <c r="AE728" s="406"/>
      <c r="AF728" s="403"/>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6"/>
      <c r="T729" s="403"/>
      <c r="U729" s="198"/>
      <c r="V729" s="219"/>
      <c r="W729" s="406"/>
      <c r="X729" s="403"/>
      <c r="Y729" s="198"/>
      <c r="Z729" s="219"/>
      <c r="AA729" s="406"/>
      <c r="AB729" s="403"/>
      <c r="AC729" s="198"/>
      <c r="AD729" s="219"/>
      <c r="AE729" s="406"/>
      <c r="AF729" s="403"/>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6"/>
      <c r="T730" s="403"/>
      <c r="U730" s="198"/>
      <c r="V730" s="219"/>
      <c r="W730" s="406"/>
      <c r="X730" s="403"/>
      <c r="Y730" s="198"/>
      <c r="Z730" s="219"/>
      <c r="AA730" s="406"/>
      <c r="AB730" s="403"/>
      <c r="AC730" s="198"/>
      <c r="AD730" s="219"/>
      <c r="AE730" s="406"/>
      <c r="AF730" s="403"/>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6"/>
      <c r="T731" s="403"/>
      <c r="U731" s="198"/>
      <c r="V731" s="219"/>
      <c r="W731" s="406"/>
      <c r="X731" s="403"/>
      <c r="Y731" s="198"/>
      <c r="Z731" s="219"/>
      <c r="AA731" s="406"/>
      <c r="AB731" s="403"/>
      <c r="AC731" s="198"/>
      <c r="AD731" s="219"/>
      <c r="AE731" s="406"/>
      <c r="AF731" s="403"/>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6"/>
      <c r="T732" s="403"/>
      <c r="U732" s="198"/>
      <c r="V732" s="219"/>
      <c r="W732" s="406"/>
      <c r="X732" s="403"/>
      <c r="Y732" s="198"/>
      <c r="Z732" s="219"/>
      <c r="AA732" s="406"/>
      <c r="AB732" s="403"/>
      <c r="AC732" s="198"/>
      <c r="AD732" s="219"/>
      <c r="AE732" s="406"/>
      <c r="AF732" s="403"/>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6"/>
      <c r="T733" s="403"/>
      <c r="U733" s="198"/>
      <c r="V733" s="219"/>
      <c r="W733" s="406"/>
      <c r="X733" s="403"/>
      <c r="Y733" s="198"/>
      <c r="Z733" s="219"/>
      <c r="AA733" s="406"/>
      <c r="AB733" s="403"/>
      <c r="AC733" s="198"/>
      <c r="AD733" s="219"/>
      <c r="AE733" s="406"/>
      <c r="AF733" s="403"/>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6"/>
      <c r="T734" s="403"/>
      <c r="U734" s="198"/>
      <c r="V734" s="219"/>
      <c r="W734" s="406"/>
      <c r="X734" s="403"/>
      <c r="Y734" s="198"/>
      <c r="Z734" s="219"/>
      <c r="AA734" s="406"/>
      <c r="AB734" s="403"/>
      <c r="AC734" s="198"/>
      <c r="AD734" s="219"/>
      <c r="AE734" s="406"/>
      <c r="AF734" s="403"/>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6"/>
      <c r="T735" s="403"/>
      <c r="U735" s="198"/>
      <c r="V735" s="219"/>
      <c r="W735" s="406"/>
      <c r="X735" s="403"/>
      <c r="Y735" s="198"/>
      <c r="Z735" s="219"/>
      <c r="AA735" s="406"/>
      <c r="AB735" s="403"/>
      <c r="AC735" s="198"/>
      <c r="AD735" s="219"/>
      <c r="AE735" s="406"/>
      <c r="AF735" s="403"/>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6"/>
      <c r="T736" s="403"/>
      <c r="U736" s="198"/>
      <c r="V736" s="219"/>
      <c r="W736" s="406"/>
      <c r="X736" s="403"/>
      <c r="Y736" s="198"/>
      <c r="Z736" s="219"/>
      <c r="AA736" s="406"/>
      <c r="AB736" s="403"/>
      <c r="AC736" s="198"/>
      <c r="AD736" s="219"/>
      <c r="AE736" s="406"/>
      <c r="AF736" s="403"/>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6"/>
      <c r="T737" s="403"/>
      <c r="U737" s="198"/>
      <c r="V737" s="219"/>
      <c r="W737" s="406"/>
      <c r="X737" s="403"/>
      <c r="Y737" s="198"/>
      <c r="Z737" s="219"/>
      <c r="AA737" s="406"/>
      <c r="AB737" s="403"/>
      <c r="AC737" s="198"/>
      <c r="AD737" s="219"/>
      <c r="AE737" s="406"/>
      <c r="AF737" s="403"/>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6"/>
      <c r="T738" s="403"/>
      <c r="U738" s="198"/>
      <c r="V738" s="219"/>
      <c r="W738" s="406"/>
      <c r="X738" s="403"/>
      <c r="Y738" s="198"/>
      <c r="Z738" s="219"/>
      <c r="AA738" s="406"/>
      <c r="AB738" s="403"/>
      <c r="AC738" s="198"/>
      <c r="AD738" s="219"/>
      <c r="AE738" s="406"/>
      <c r="AF738" s="403"/>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6"/>
      <c r="T739" s="403"/>
      <c r="U739" s="198"/>
      <c r="V739" s="219"/>
      <c r="W739" s="406"/>
      <c r="X739" s="403"/>
      <c r="Y739" s="198"/>
      <c r="Z739" s="219"/>
      <c r="AA739" s="406"/>
      <c r="AB739" s="403"/>
      <c r="AC739" s="198"/>
      <c r="AD739" s="219"/>
      <c r="AE739" s="406"/>
      <c r="AF739" s="403"/>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6"/>
      <c r="T740" s="403"/>
      <c r="U740" s="198"/>
      <c r="V740" s="219"/>
      <c r="W740" s="406"/>
      <c r="X740" s="403"/>
      <c r="Y740" s="198"/>
      <c r="Z740" s="219"/>
      <c r="AA740" s="406"/>
      <c r="AB740" s="403"/>
      <c r="AC740" s="198"/>
      <c r="AD740" s="219"/>
      <c r="AE740" s="406"/>
      <c r="AF740" s="403"/>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6"/>
      <c r="T741" s="403"/>
      <c r="U741" s="198"/>
      <c r="V741" s="219"/>
      <c r="W741" s="406"/>
      <c r="X741" s="403"/>
      <c r="Y741" s="198"/>
      <c r="Z741" s="219"/>
      <c r="AA741" s="406"/>
      <c r="AB741" s="403"/>
      <c r="AC741" s="198"/>
      <c r="AD741" s="219"/>
      <c r="AE741" s="406"/>
      <c r="AF741" s="403"/>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6"/>
      <c r="T742" s="403"/>
      <c r="U742" s="198"/>
      <c r="V742" s="219"/>
      <c r="W742" s="406"/>
      <c r="X742" s="403"/>
      <c r="Y742" s="198"/>
      <c r="Z742" s="219"/>
      <c r="AA742" s="406"/>
      <c r="AB742" s="403"/>
      <c r="AC742" s="198"/>
      <c r="AD742" s="219"/>
      <c r="AE742" s="406"/>
      <c r="AF742" s="403"/>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6"/>
      <c r="T743" s="403"/>
      <c r="U743" s="198"/>
      <c r="V743" s="219"/>
      <c r="W743" s="406"/>
      <c r="X743" s="403"/>
      <c r="Y743" s="198"/>
      <c r="Z743" s="219"/>
      <c r="AA743" s="406"/>
      <c r="AB743" s="403"/>
      <c r="AC743" s="198"/>
      <c r="AD743" s="219"/>
      <c r="AE743" s="406"/>
      <c r="AF743" s="403"/>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6"/>
      <c r="T744" s="403"/>
      <c r="U744" s="198"/>
      <c r="V744" s="219"/>
      <c r="W744" s="406"/>
      <c r="X744" s="403"/>
      <c r="Y744" s="198"/>
      <c r="Z744" s="219"/>
      <c r="AA744" s="406"/>
      <c r="AB744" s="403"/>
      <c r="AC744" s="198"/>
      <c r="AD744" s="219"/>
      <c r="AE744" s="406"/>
      <c r="AF744" s="403"/>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6"/>
      <c r="T745" s="403"/>
      <c r="U745" s="198"/>
      <c r="V745" s="219"/>
      <c r="W745" s="406"/>
      <c r="X745" s="403"/>
      <c r="Y745" s="198"/>
      <c r="Z745" s="219"/>
      <c r="AA745" s="406"/>
      <c r="AB745" s="403"/>
      <c r="AC745" s="198"/>
      <c r="AD745" s="219"/>
      <c r="AE745" s="406"/>
      <c r="AF745" s="403"/>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6"/>
      <c r="T746" s="403"/>
      <c r="U746" s="198"/>
      <c r="V746" s="219"/>
      <c r="W746" s="406"/>
      <c r="X746" s="403"/>
      <c r="Y746" s="198"/>
      <c r="Z746" s="219"/>
      <c r="AA746" s="406"/>
      <c r="AB746" s="403"/>
      <c r="AC746" s="198"/>
      <c r="AD746" s="219"/>
      <c r="AE746" s="406"/>
      <c r="AF746" s="403"/>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6"/>
      <c r="T747" s="403"/>
      <c r="U747" s="198"/>
      <c r="V747" s="219"/>
      <c r="W747" s="406"/>
      <c r="X747" s="403"/>
      <c r="Y747" s="198"/>
      <c r="Z747" s="219"/>
      <c r="AA747" s="406"/>
      <c r="AB747" s="403"/>
      <c r="AC747" s="198"/>
      <c r="AD747" s="219"/>
      <c r="AE747" s="406"/>
      <c r="AF747" s="403"/>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6"/>
      <c r="T748" s="403"/>
      <c r="U748" s="198"/>
      <c r="V748" s="219"/>
      <c r="W748" s="406"/>
      <c r="X748" s="403"/>
      <c r="Y748" s="198"/>
      <c r="Z748" s="219"/>
      <c r="AA748" s="406"/>
      <c r="AB748" s="403"/>
      <c r="AC748" s="198"/>
      <c r="AD748" s="219"/>
      <c r="AE748" s="406"/>
      <c r="AF748" s="403"/>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6"/>
      <c r="T749" s="403"/>
      <c r="U749" s="198"/>
      <c r="V749" s="219"/>
      <c r="W749" s="406"/>
      <c r="X749" s="403"/>
      <c r="Y749" s="198"/>
      <c r="Z749" s="219"/>
      <c r="AA749" s="406"/>
      <c r="AB749" s="403"/>
      <c r="AC749" s="198"/>
      <c r="AD749" s="219"/>
      <c r="AE749" s="406"/>
      <c r="AF749" s="403"/>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6"/>
      <c r="T750" s="403"/>
      <c r="U750" s="198"/>
      <c r="V750" s="219"/>
      <c r="W750" s="406"/>
      <c r="X750" s="403"/>
      <c r="Y750" s="198"/>
      <c r="Z750" s="219"/>
      <c r="AA750" s="406"/>
      <c r="AB750" s="403"/>
      <c r="AC750" s="198"/>
      <c r="AD750" s="219"/>
      <c r="AE750" s="406"/>
      <c r="AF750" s="403"/>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6"/>
      <c r="T751" s="403"/>
      <c r="U751" s="198"/>
      <c r="V751" s="219"/>
      <c r="W751" s="406"/>
      <c r="X751" s="403"/>
      <c r="Y751" s="198"/>
      <c r="Z751" s="219"/>
      <c r="AA751" s="406"/>
      <c r="AB751" s="403"/>
      <c r="AC751" s="198"/>
      <c r="AD751" s="219"/>
      <c r="AE751" s="406"/>
      <c r="AF751" s="403"/>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6"/>
      <c r="T752" s="403"/>
      <c r="U752" s="198"/>
      <c r="V752" s="219"/>
      <c r="W752" s="406"/>
      <c r="X752" s="403"/>
      <c r="Y752" s="198"/>
      <c r="Z752" s="219"/>
      <c r="AA752" s="406"/>
      <c r="AB752" s="403"/>
      <c r="AC752" s="198"/>
      <c r="AD752" s="219"/>
      <c r="AE752" s="406"/>
      <c r="AF752" s="403"/>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6"/>
      <c r="T753" s="403"/>
      <c r="U753" s="198"/>
      <c r="V753" s="219"/>
      <c r="W753" s="406"/>
      <c r="X753" s="403"/>
      <c r="Y753" s="198"/>
      <c r="Z753" s="219"/>
      <c r="AA753" s="406"/>
      <c r="AB753" s="403"/>
      <c r="AC753" s="198"/>
      <c r="AD753" s="219"/>
      <c r="AE753" s="406"/>
      <c r="AF753" s="403"/>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6"/>
      <c r="T754" s="403"/>
      <c r="U754" s="198"/>
      <c r="V754" s="219"/>
      <c r="W754" s="406"/>
      <c r="X754" s="403"/>
      <c r="Y754" s="198"/>
      <c r="Z754" s="219"/>
      <c r="AA754" s="406"/>
      <c r="AB754" s="403"/>
      <c r="AC754" s="198"/>
      <c r="AD754" s="219"/>
      <c r="AE754" s="406"/>
      <c r="AF754" s="403"/>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6"/>
      <c r="T755" s="403"/>
      <c r="U755" s="198"/>
      <c r="V755" s="219"/>
      <c r="W755" s="406"/>
      <c r="X755" s="403"/>
      <c r="Y755" s="198"/>
      <c r="Z755" s="219"/>
      <c r="AA755" s="406"/>
      <c r="AB755" s="403"/>
      <c r="AC755" s="198"/>
      <c r="AD755" s="219"/>
      <c r="AE755" s="406"/>
      <c r="AF755" s="403"/>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6"/>
      <c r="T756" s="403"/>
      <c r="U756" s="198"/>
      <c r="V756" s="219"/>
      <c r="W756" s="406"/>
      <c r="X756" s="403"/>
      <c r="Y756" s="198"/>
      <c r="Z756" s="219"/>
      <c r="AA756" s="406"/>
      <c r="AB756" s="403"/>
      <c r="AC756" s="198"/>
      <c r="AD756" s="219"/>
      <c r="AE756" s="406"/>
      <c r="AF756" s="403"/>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6"/>
      <c r="T757" s="403"/>
      <c r="U757" s="198"/>
      <c r="V757" s="219"/>
      <c r="W757" s="406"/>
      <c r="X757" s="403"/>
      <c r="Y757" s="198"/>
      <c r="Z757" s="219"/>
      <c r="AA757" s="406"/>
      <c r="AB757" s="403"/>
      <c r="AC757" s="198"/>
      <c r="AD757" s="219"/>
      <c r="AE757" s="406"/>
      <c r="AF757" s="403"/>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6"/>
      <c r="T758" s="403"/>
      <c r="U758" s="198"/>
      <c r="V758" s="219"/>
      <c r="W758" s="406"/>
      <c r="X758" s="403"/>
      <c r="Y758" s="198"/>
      <c r="Z758" s="219"/>
      <c r="AA758" s="406"/>
      <c r="AB758" s="403"/>
      <c r="AC758" s="198"/>
      <c r="AD758" s="219"/>
      <c r="AE758" s="406"/>
      <c r="AF758" s="403"/>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6"/>
      <c r="T759" s="403"/>
      <c r="U759" s="198"/>
      <c r="V759" s="219"/>
      <c r="W759" s="406"/>
      <c r="X759" s="403"/>
      <c r="Y759" s="198"/>
      <c r="Z759" s="219"/>
      <c r="AA759" s="406"/>
      <c r="AB759" s="403"/>
      <c r="AC759" s="198"/>
      <c r="AD759" s="219"/>
      <c r="AE759" s="406"/>
      <c r="AF759" s="403"/>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6"/>
      <c r="T760" s="403"/>
      <c r="U760" s="198"/>
      <c r="V760" s="219"/>
      <c r="W760" s="406"/>
      <c r="X760" s="403"/>
      <c r="Y760" s="198"/>
      <c r="Z760" s="219"/>
      <c r="AA760" s="406"/>
      <c r="AB760" s="403"/>
      <c r="AC760" s="198"/>
      <c r="AD760" s="219"/>
      <c r="AE760" s="406"/>
      <c r="AF760" s="403"/>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6"/>
      <c r="T761" s="403"/>
      <c r="U761" s="198"/>
      <c r="V761" s="219"/>
      <c r="W761" s="406"/>
      <c r="X761" s="403"/>
      <c r="Y761" s="198"/>
      <c r="Z761" s="219"/>
      <c r="AA761" s="406"/>
      <c r="AB761" s="403"/>
      <c r="AC761" s="198"/>
      <c r="AD761" s="219"/>
      <c r="AE761" s="406"/>
      <c r="AF761" s="403"/>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6"/>
      <c r="T762" s="403"/>
      <c r="U762" s="198"/>
      <c r="V762" s="219"/>
      <c r="W762" s="406"/>
      <c r="X762" s="403"/>
      <c r="Y762" s="198"/>
      <c r="Z762" s="219"/>
      <c r="AA762" s="406"/>
      <c r="AB762" s="403"/>
      <c r="AC762" s="198"/>
      <c r="AD762" s="219"/>
      <c r="AE762" s="406"/>
      <c r="AF762" s="403"/>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6"/>
      <c r="T763" s="403"/>
      <c r="U763" s="198"/>
      <c r="V763" s="219"/>
      <c r="W763" s="406"/>
      <c r="X763" s="403"/>
      <c r="Y763" s="198"/>
      <c r="Z763" s="219"/>
      <c r="AA763" s="406"/>
      <c r="AB763" s="403"/>
      <c r="AC763" s="198"/>
      <c r="AD763" s="219"/>
      <c r="AE763" s="406"/>
      <c r="AF763" s="403"/>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6"/>
      <c r="T764" s="403"/>
      <c r="U764" s="198"/>
      <c r="V764" s="219"/>
      <c r="W764" s="406"/>
      <c r="X764" s="403"/>
      <c r="Y764" s="198"/>
      <c r="Z764" s="219"/>
      <c r="AA764" s="406"/>
      <c r="AB764" s="403"/>
      <c r="AC764" s="198"/>
      <c r="AD764" s="219"/>
      <c r="AE764" s="406"/>
      <c r="AF764" s="403"/>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6"/>
      <c r="T765" s="403"/>
      <c r="U765" s="198"/>
      <c r="V765" s="219"/>
      <c r="W765" s="406"/>
      <c r="X765" s="403"/>
      <c r="Y765" s="198"/>
      <c r="Z765" s="219"/>
      <c r="AA765" s="406"/>
      <c r="AB765" s="403"/>
      <c r="AC765" s="198"/>
      <c r="AD765" s="219"/>
      <c r="AE765" s="406"/>
      <c r="AF765" s="403"/>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6"/>
      <c r="T766" s="403"/>
      <c r="U766" s="198"/>
      <c r="V766" s="219"/>
      <c r="W766" s="406"/>
      <c r="X766" s="403"/>
      <c r="Y766" s="198"/>
      <c r="Z766" s="219"/>
      <c r="AA766" s="406"/>
      <c r="AB766" s="403"/>
      <c r="AC766" s="198"/>
      <c r="AD766" s="219"/>
      <c r="AE766" s="406"/>
      <c r="AF766" s="403"/>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6"/>
      <c r="T767" s="403"/>
      <c r="U767" s="198"/>
      <c r="V767" s="219"/>
      <c r="W767" s="406"/>
      <c r="X767" s="403"/>
      <c r="Y767" s="198"/>
      <c r="Z767" s="219"/>
      <c r="AA767" s="406"/>
      <c r="AB767" s="403"/>
      <c r="AC767" s="198"/>
      <c r="AD767" s="219"/>
      <c r="AE767" s="406"/>
      <c r="AF767" s="403"/>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6"/>
      <c r="T768" s="403"/>
      <c r="U768" s="198"/>
      <c r="V768" s="219"/>
      <c r="W768" s="406"/>
      <c r="X768" s="403"/>
      <c r="Y768" s="198"/>
      <c r="Z768" s="219"/>
      <c r="AA768" s="406"/>
      <c r="AB768" s="403"/>
      <c r="AC768" s="198"/>
      <c r="AD768" s="219"/>
      <c r="AE768" s="406"/>
      <c r="AF768" s="403"/>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6"/>
      <c r="T769" s="403"/>
      <c r="U769" s="198"/>
      <c r="V769" s="219"/>
      <c r="W769" s="406"/>
      <c r="X769" s="403"/>
      <c r="Y769" s="198"/>
      <c r="Z769" s="219"/>
      <c r="AA769" s="406"/>
      <c r="AB769" s="403"/>
      <c r="AC769" s="198"/>
      <c r="AD769" s="219"/>
      <c r="AE769" s="406"/>
      <c r="AF769" s="403"/>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6"/>
      <c r="T770" s="403"/>
      <c r="U770" s="198"/>
      <c r="V770" s="219"/>
      <c r="W770" s="406"/>
      <c r="X770" s="403"/>
      <c r="Y770" s="198"/>
      <c r="Z770" s="219"/>
      <c r="AA770" s="406"/>
      <c r="AB770" s="403"/>
      <c r="AC770" s="198"/>
      <c r="AD770" s="219"/>
      <c r="AE770" s="406"/>
      <c r="AF770" s="403"/>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6"/>
      <c r="T771" s="403"/>
      <c r="U771" s="198"/>
      <c r="V771" s="219"/>
      <c r="W771" s="406"/>
      <c r="X771" s="403"/>
      <c r="Y771" s="198"/>
      <c r="Z771" s="219"/>
      <c r="AA771" s="406"/>
      <c r="AB771" s="403"/>
      <c r="AC771" s="198"/>
      <c r="AD771" s="219"/>
      <c r="AE771" s="406"/>
      <c r="AF771" s="403"/>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6"/>
      <c r="T772" s="403"/>
      <c r="U772" s="198"/>
      <c r="V772" s="219"/>
      <c r="W772" s="406"/>
      <c r="X772" s="403"/>
      <c r="Y772" s="198"/>
      <c r="Z772" s="219"/>
      <c r="AA772" s="406"/>
      <c r="AB772" s="403"/>
      <c r="AC772" s="198"/>
      <c r="AD772" s="219"/>
      <c r="AE772" s="406"/>
      <c r="AF772" s="403"/>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6"/>
      <c r="T773" s="403"/>
      <c r="U773" s="198"/>
      <c r="V773" s="219"/>
      <c r="W773" s="406"/>
      <c r="X773" s="403"/>
      <c r="Y773" s="198"/>
      <c r="Z773" s="219"/>
      <c r="AA773" s="406"/>
      <c r="AB773" s="403"/>
      <c r="AC773" s="198"/>
      <c r="AD773" s="219"/>
      <c r="AE773" s="406"/>
      <c r="AF773" s="403"/>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6"/>
      <c r="T774" s="403"/>
      <c r="U774" s="198"/>
      <c r="V774" s="219"/>
      <c r="W774" s="406"/>
      <c r="X774" s="403"/>
      <c r="Y774" s="198"/>
      <c r="Z774" s="219"/>
      <c r="AA774" s="406"/>
      <c r="AB774" s="403"/>
      <c r="AC774" s="198"/>
      <c r="AD774" s="219"/>
      <c r="AE774" s="406"/>
      <c r="AF774" s="403"/>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6"/>
      <c r="T775" s="403"/>
      <c r="U775" s="198"/>
      <c r="V775" s="219"/>
      <c r="W775" s="406"/>
      <c r="X775" s="403"/>
      <c r="Y775" s="198"/>
      <c r="Z775" s="219"/>
      <c r="AA775" s="406"/>
      <c r="AB775" s="403"/>
      <c r="AC775" s="198"/>
      <c r="AD775" s="219"/>
      <c r="AE775" s="406"/>
      <c r="AF775" s="403"/>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6"/>
      <c r="T776" s="403"/>
      <c r="U776" s="198"/>
      <c r="V776" s="219"/>
      <c r="W776" s="406"/>
      <c r="X776" s="403"/>
      <c r="Y776" s="198"/>
      <c r="Z776" s="219"/>
      <c r="AA776" s="406"/>
      <c r="AB776" s="403"/>
      <c r="AC776" s="198"/>
      <c r="AD776" s="219"/>
      <c r="AE776" s="406"/>
      <c r="AF776" s="403"/>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6"/>
      <c r="T777" s="403"/>
      <c r="U777" s="198"/>
      <c r="V777" s="219"/>
      <c r="W777" s="406"/>
      <c r="X777" s="403"/>
      <c r="Y777" s="198"/>
      <c r="Z777" s="219"/>
      <c r="AA777" s="406"/>
      <c r="AB777" s="403"/>
      <c r="AC777" s="198"/>
      <c r="AD777" s="219"/>
      <c r="AE777" s="406"/>
      <c r="AF777" s="403"/>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6"/>
      <c r="T778" s="403"/>
      <c r="U778" s="198"/>
      <c r="V778" s="219"/>
      <c r="W778" s="406"/>
      <c r="X778" s="403"/>
      <c r="Y778" s="198"/>
      <c r="Z778" s="219"/>
      <c r="AA778" s="406"/>
      <c r="AB778" s="403"/>
      <c r="AC778" s="198"/>
      <c r="AD778" s="219"/>
      <c r="AE778" s="406"/>
      <c r="AF778" s="403"/>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6"/>
      <c r="T779" s="403"/>
      <c r="U779" s="198"/>
      <c r="V779" s="219"/>
      <c r="W779" s="406"/>
      <c r="X779" s="403"/>
      <c r="Y779" s="198"/>
      <c r="Z779" s="219"/>
      <c r="AA779" s="406"/>
      <c r="AB779" s="403"/>
      <c r="AC779" s="198"/>
      <c r="AD779" s="219"/>
      <c r="AE779" s="406"/>
      <c r="AF779" s="403"/>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6"/>
      <c r="T780" s="403"/>
      <c r="U780" s="198"/>
      <c r="V780" s="219"/>
      <c r="W780" s="406"/>
      <c r="X780" s="403"/>
      <c r="Y780" s="198"/>
      <c r="Z780" s="219"/>
      <c r="AA780" s="406"/>
      <c r="AB780" s="403"/>
      <c r="AC780" s="198"/>
      <c r="AD780" s="219"/>
      <c r="AE780" s="406"/>
      <c r="AF780" s="403"/>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6"/>
      <c r="T781" s="403"/>
      <c r="U781" s="198"/>
      <c r="V781" s="219"/>
      <c r="W781" s="406"/>
      <c r="X781" s="403"/>
      <c r="Y781" s="198"/>
      <c r="Z781" s="219"/>
      <c r="AA781" s="406"/>
      <c r="AB781" s="403"/>
      <c r="AC781" s="198"/>
      <c r="AD781" s="219"/>
      <c r="AE781" s="406"/>
      <c r="AF781" s="403"/>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6"/>
      <c r="T782" s="403"/>
      <c r="U782" s="198"/>
      <c r="V782" s="219"/>
      <c r="W782" s="406"/>
      <c r="X782" s="403"/>
      <c r="Y782" s="198"/>
      <c r="Z782" s="219"/>
      <c r="AA782" s="406"/>
      <c r="AB782" s="403"/>
      <c r="AC782" s="198"/>
      <c r="AD782" s="219"/>
      <c r="AE782" s="406"/>
      <c r="AF782" s="403"/>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6"/>
      <c r="T783" s="403"/>
      <c r="U783" s="198"/>
      <c r="V783" s="219"/>
      <c r="W783" s="406"/>
      <c r="X783" s="403"/>
      <c r="Y783" s="198"/>
      <c r="Z783" s="219"/>
      <c r="AA783" s="406"/>
      <c r="AB783" s="403"/>
      <c r="AC783" s="198"/>
      <c r="AD783" s="219"/>
      <c r="AE783" s="406"/>
      <c r="AF783" s="403"/>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6"/>
      <c r="T784" s="403"/>
      <c r="U784" s="198"/>
      <c r="V784" s="219"/>
      <c r="W784" s="406"/>
      <c r="X784" s="403"/>
      <c r="Y784" s="198"/>
      <c r="Z784" s="219"/>
      <c r="AA784" s="406"/>
      <c r="AB784" s="403"/>
      <c r="AC784" s="198"/>
      <c r="AD784" s="219"/>
      <c r="AE784" s="406"/>
      <c r="AF784" s="403"/>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6"/>
      <c r="T785" s="403"/>
      <c r="U785" s="198"/>
      <c r="V785" s="219"/>
      <c r="W785" s="406"/>
      <c r="X785" s="403"/>
      <c r="Y785" s="198"/>
      <c r="Z785" s="219"/>
      <c r="AA785" s="406"/>
      <c r="AB785" s="403"/>
      <c r="AC785" s="198"/>
      <c r="AD785" s="219"/>
      <c r="AE785" s="406"/>
      <c r="AF785" s="403"/>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6"/>
      <c r="T786" s="403"/>
      <c r="U786" s="198"/>
      <c r="V786" s="219"/>
      <c r="W786" s="406"/>
      <c r="X786" s="403"/>
      <c r="Y786" s="198"/>
      <c r="Z786" s="219"/>
      <c r="AA786" s="406"/>
      <c r="AB786" s="403"/>
      <c r="AC786" s="198"/>
      <c r="AD786" s="219"/>
      <c r="AE786" s="406"/>
      <c r="AF786" s="403"/>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6"/>
      <c r="T787" s="403"/>
      <c r="U787" s="198"/>
      <c r="V787" s="219"/>
      <c r="W787" s="406"/>
      <c r="X787" s="403"/>
      <c r="Y787" s="198"/>
      <c r="Z787" s="219"/>
      <c r="AA787" s="406"/>
      <c r="AB787" s="403"/>
      <c r="AC787" s="198"/>
      <c r="AD787" s="219"/>
      <c r="AE787" s="406"/>
      <c r="AF787" s="403"/>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6"/>
      <c r="T788" s="403"/>
      <c r="U788" s="198"/>
      <c r="V788" s="219"/>
      <c r="W788" s="406"/>
      <c r="X788" s="403"/>
      <c r="Y788" s="198"/>
      <c r="Z788" s="219"/>
      <c r="AA788" s="406"/>
      <c r="AB788" s="403"/>
      <c r="AC788" s="198"/>
      <c r="AD788" s="219"/>
      <c r="AE788" s="406"/>
      <c r="AF788" s="403"/>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6"/>
      <c r="T789" s="403"/>
      <c r="U789" s="198"/>
      <c r="V789" s="219"/>
      <c r="W789" s="406"/>
      <c r="X789" s="403"/>
      <c r="Y789" s="198"/>
      <c r="Z789" s="219"/>
      <c r="AA789" s="406"/>
      <c r="AB789" s="403"/>
      <c r="AC789" s="198"/>
      <c r="AD789" s="219"/>
      <c r="AE789" s="406"/>
      <c r="AF789" s="403"/>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6"/>
      <c r="T790" s="403"/>
      <c r="U790" s="198"/>
      <c r="V790" s="219"/>
      <c r="W790" s="406"/>
      <c r="X790" s="403"/>
      <c r="Y790" s="198"/>
      <c r="Z790" s="219"/>
      <c r="AA790" s="406"/>
      <c r="AB790" s="403"/>
      <c r="AC790" s="198"/>
      <c r="AD790" s="219"/>
      <c r="AE790" s="406"/>
      <c r="AF790" s="403"/>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6"/>
      <c r="T791" s="403"/>
      <c r="U791" s="198"/>
      <c r="V791" s="219"/>
      <c r="W791" s="406"/>
      <c r="X791" s="403"/>
      <c r="Y791" s="198"/>
      <c r="Z791" s="219"/>
      <c r="AA791" s="406"/>
      <c r="AB791" s="403"/>
      <c r="AC791" s="198"/>
      <c r="AD791" s="219"/>
      <c r="AE791" s="406"/>
      <c r="AF791" s="403"/>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6"/>
      <c r="T792" s="403"/>
      <c r="U792" s="198"/>
      <c r="V792" s="219"/>
      <c r="W792" s="406"/>
      <c r="X792" s="403"/>
      <c r="Y792" s="198"/>
      <c r="Z792" s="219"/>
      <c r="AA792" s="406"/>
      <c r="AB792" s="403"/>
      <c r="AC792" s="198"/>
      <c r="AD792" s="219"/>
      <c r="AE792" s="406"/>
      <c r="AF792" s="403"/>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6"/>
      <c r="T793" s="403"/>
      <c r="U793" s="198"/>
      <c r="V793" s="219"/>
      <c r="W793" s="406"/>
      <c r="X793" s="403"/>
      <c r="Y793" s="198"/>
      <c r="Z793" s="219"/>
      <c r="AA793" s="406"/>
      <c r="AB793" s="403"/>
      <c r="AC793" s="198"/>
      <c r="AD793" s="219"/>
      <c r="AE793" s="406"/>
      <c r="AF793" s="403"/>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6"/>
      <c r="T794" s="403"/>
      <c r="U794" s="198"/>
      <c r="V794" s="219"/>
      <c r="W794" s="406"/>
      <c r="X794" s="403"/>
      <c r="Y794" s="198"/>
      <c r="Z794" s="219"/>
      <c r="AA794" s="406"/>
      <c r="AB794" s="403"/>
      <c r="AC794" s="198"/>
      <c r="AD794" s="219"/>
      <c r="AE794" s="406"/>
      <c r="AF794" s="403"/>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6"/>
      <c r="T795" s="403"/>
      <c r="U795" s="198"/>
      <c r="V795" s="219"/>
      <c r="W795" s="406"/>
      <c r="X795" s="403"/>
      <c r="Y795" s="198"/>
      <c r="Z795" s="219"/>
      <c r="AA795" s="406"/>
      <c r="AB795" s="403"/>
      <c r="AC795" s="198"/>
      <c r="AD795" s="219"/>
      <c r="AE795" s="406"/>
      <c r="AF795" s="403"/>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6"/>
      <c r="T796" s="403"/>
      <c r="U796" s="198"/>
      <c r="V796" s="219"/>
      <c r="W796" s="406"/>
      <c r="X796" s="403"/>
      <c r="Y796" s="198"/>
      <c r="Z796" s="219"/>
      <c r="AA796" s="406"/>
      <c r="AB796" s="403"/>
      <c r="AC796" s="198"/>
      <c r="AD796" s="219"/>
      <c r="AE796" s="406"/>
      <c r="AF796" s="403"/>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6"/>
      <c r="T797" s="403"/>
      <c r="U797" s="198"/>
      <c r="V797" s="219"/>
      <c r="W797" s="406"/>
      <c r="X797" s="403"/>
      <c r="Y797" s="198"/>
      <c r="Z797" s="219"/>
      <c r="AA797" s="406"/>
      <c r="AB797" s="403"/>
      <c r="AC797" s="198"/>
      <c r="AD797" s="219"/>
      <c r="AE797" s="406"/>
      <c r="AF797" s="403"/>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6"/>
      <c r="T798" s="403"/>
      <c r="U798" s="198"/>
      <c r="V798" s="219"/>
      <c r="W798" s="406"/>
      <c r="X798" s="403"/>
      <c r="Y798" s="198"/>
      <c r="Z798" s="219"/>
      <c r="AA798" s="406"/>
      <c r="AB798" s="403"/>
      <c r="AC798" s="198"/>
      <c r="AD798" s="219"/>
      <c r="AE798" s="406"/>
      <c r="AF798" s="403"/>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6"/>
      <c r="T799" s="403"/>
      <c r="U799" s="198"/>
      <c r="V799" s="219"/>
      <c r="W799" s="406"/>
      <c r="X799" s="403"/>
      <c r="Y799" s="198"/>
      <c r="Z799" s="219"/>
      <c r="AA799" s="406"/>
      <c r="AB799" s="403"/>
      <c r="AC799" s="198"/>
      <c r="AD799" s="219"/>
      <c r="AE799" s="406"/>
      <c r="AF799" s="403"/>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6"/>
      <c r="T800" s="403"/>
      <c r="U800" s="198"/>
      <c r="V800" s="219"/>
      <c r="W800" s="406"/>
      <c r="X800" s="403"/>
      <c r="Y800" s="198"/>
      <c r="Z800" s="219"/>
      <c r="AA800" s="406"/>
      <c r="AB800" s="403"/>
      <c r="AC800" s="198"/>
      <c r="AD800" s="219"/>
      <c r="AE800" s="406"/>
      <c r="AF800" s="403"/>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6"/>
      <c r="T801" s="403"/>
      <c r="U801" s="198"/>
      <c r="V801" s="219"/>
      <c r="W801" s="406"/>
      <c r="X801" s="403"/>
      <c r="Y801" s="198"/>
      <c r="Z801" s="219"/>
      <c r="AA801" s="406"/>
      <c r="AB801" s="403"/>
      <c r="AC801" s="198"/>
      <c r="AD801" s="219"/>
      <c r="AE801" s="406"/>
      <c r="AF801" s="403"/>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6"/>
      <c r="T802" s="403"/>
      <c r="U802" s="198"/>
      <c r="V802" s="219"/>
      <c r="W802" s="406"/>
      <c r="X802" s="403"/>
      <c r="Y802" s="198"/>
      <c r="Z802" s="219"/>
      <c r="AA802" s="406"/>
      <c r="AB802" s="403"/>
      <c r="AC802" s="198"/>
      <c r="AD802" s="219"/>
      <c r="AE802" s="406"/>
      <c r="AF802" s="403"/>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6"/>
      <c r="T803" s="403"/>
      <c r="U803" s="198"/>
      <c r="V803" s="219"/>
      <c r="W803" s="406"/>
      <c r="X803" s="403"/>
      <c r="Y803" s="198"/>
      <c r="Z803" s="219"/>
      <c r="AA803" s="406"/>
      <c r="AB803" s="403"/>
      <c r="AC803" s="198"/>
      <c r="AD803" s="219"/>
      <c r="AE803" s="406"/>
      <c r="AF803" s="403"/>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6"/>
      <c r="T804" s="403"/>
      <c r="U804" s="198"/>
      <c r="V804" s="219"/>
      <c r="W804" s="406"/>
      <c r="X804" s="403"/>
      <c r="Y804" s="198"/>
      <c r="Z804" s="219"/>
      <c r="AA804" s="406"/>
      <c r="AB804" s="403"/>
      <c r="AC804" s="198"/>
      <c r="AD804" s="219"/>
      <c r="AE804" s="406"/>
      <c r="AF804" s="403"/>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6"/>
      <c r="T805" s="403"/>
      <c r="U805" s="198"/>
      <c r="V805" s="219"/>
      <c r="W805" s="406"/>
      <c r="X805" s="403"/>
      <c r="Y805" s="198"/>
      <c r="Z805" s="219"/>
      <c r="AA805" s="406"/>
      <c r="AB805" s="403"/>
      <c r="AC805" s="198"/>
      <c r="AD805" s="219"/>
      <c r="AE805" s="406"/>
      <c r="AF805" s="403"/>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6"/>
      <c r="T806" s="403"/>
      <c r="U806" s="198"/>
      <c r="V806" s="219"/>
      <c r="W806" s="406"/>
      <c r="X806" s="403"/>
      <c r="Y806" s="198"/>
      <c r="Z806" s="219"/>
      <c r="AA806" s="406"/>
      <c r="AB806" s="403"/>
      <c r="AC806" s="198"/>
      <c r="AD806" s="219"/>
      <c r="AE806" s="406"/>
      <c r="AF806" s="403"/>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6"/>
      <c r="T807" s="403"/>
      <c r="U807" s="198"/>
      <c r="V807" s="219"/>
      <c r="W807" s="406"/>
      <c r="X807" s="403"/>
      <c r="Y807" s="198"/>
      <c r="Z807" s="219"/>
      <c r="AA807" s="406"/>
      <c r="AB807" s="403"/>
      <c r="AC807" s="198"/>
      <c r="AD807" s="219"/>
      <c r="AE807" s="406"/>
      <c r="AF807" s="403"/>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6"/>
      <c r="T808" s="403"/>
      <c r="U808" s="198"/>
      <c r="V808" s="219"/>
      <c r="W808" s="406"/>
      <c r="X808" s="403"/>
      <c r="Y808" s="198"/>
      <c r="Z808" s="219"/>
      <c r="AA808" s="406"/>
      <c r="AB808" s="403"/>
      <c r="AC808" s="198"/>
      <c r="AD808" s="219"/>
      <c r="AE808" s="406"/>
      <c r="AF808" s="403"/>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6"/>
      <c r="T809" s="403"/>
      <c r="U809" s="198"/>
      <c r="V809" s="219"/>
      <c r="W809" s="406"/>
      <c r="X809" s="403"/>
      <c r="Y809" s="198"/>
      <c r="Z809" s="219"/>
      <c r="AA809" s="406"/>
      <c r="AB809" s="403"/>
      <c r="AC809" s="198"/>
      <c r="AD809" s="219"/>
      <c r="AE809" s="406"/>
      <c r="AF809" s="403"/>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6"/>
      <c r="T810" s="403"/>
      <c r="U810" s="198"/>
      <c r="V810" s="219"/>
      <c r="W810" s="406"/>
      <c r="X810" s="403"/>
      <c r="Y810" s="198"/>
      <c r="Z810" s="219"/>
      <c r="AA810" s="406"/>
      <c r="AB810" s="403"/>
      <c r="AC810" s="198"/>
      <c r="AD810" s="219"/>
      <c r="AE810" s="406"/>
      <c r="AF810" s="403"/>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6"/>
      <c r="T811" s="403"/>
      <c r="U811" s="198"/>
      <c r="V811" s="219"/>
      <c r="W811" s="406"/>
      <c r="X811" s="403"/>
      <c r="Y811" s="198"/>
      <c r="Z811" s="219"/>
      <c r="AA811" s="406"/>
      <c r="AB811" s="403"/>
      <c r="AC811" s="198"/>
      <c r="AD811" s="219"/>
      <c r="AE811" s="406"/>
      <c r="AF811" s="403"/>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6"/>
      <c r="T812" s="403"/>
      <c r="U812" s="198"/>
      <c r="V812" s="219"/>
      <c r="W812" s="406"/>
      <c r="X812" s="403"/>
      <c r="Y812" s="198"/>
      <c r="Z812" s="219"/>
      <c r="AA812" s="406"/>
      <c r="AB812" s="403"/>
      <c r="AC812" s="198"/>
      <c r="AD812" s="219"/>
      <c r="AE812" s="406"/>
      <c r="AF812" s="403"/>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6"/>
      <c r="T813" s="403"/>
      <c r="U813" s="198"/>
      <c r="V813" s="219"/>
      <c r="W813" s="406"/>
      <c r="X813" s="403"/>
      <c r="Y813" s="198"/>
      <c r="Z813" s="219"/>
      <c r="AA813" s="406"/>
      <c r="AB813" s="403"/>
      <c r="AC813" s="198"/>
      <c r="AD813" s="219"/>
      <c r="AE813" s="406"/>
      <c r="AF813" s="403"/>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6"/>
      <c r="T814" s="403"/>
      <c r="U814" s="198"/>
      <c r="V814" s="219"/>
      <c r="W814" s="406"/>
      <c r="X814" s="403"/>
      <c r="Y814" s="198"/>
      <c r="Z814" s="219"/>
      <c r="AA814" s="406"/>
      <c r="AB814" s="403"/>
      <c r="AC814" s="198"/>
      <c r="AD814" s="219"/>
      <c r="AE814" s="406"/>
      <c r="AF814" s="403"/>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6"/>
      <c r="T815" s="403"/>
      <c r="U815" s="198"/>
      <c r="V815" s="219"/>
      <c r="W815" s="406"/>
      <c r="X815" s="403"/>
      <c r="Y815" s="198"/>
      <c r="Z815" s="219"/>
      <c r="AA815" s="406"/>
      <c r="AB815" s="403"/>
      <c r="AC815" s="198"/>
      <c r="AD815" s="219"/>
      <c r="AE815" s="406"/>
      <c r="AF815" s="403"/>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6"/>
      <c r="T816" s="403"/>
      <c r="U816" s="198"/>
      <c r="V816" s="219"/>
      <c r="W816" s="406"/>
      <c r="X816" s="403"/>
      <c r="Y816" s="198"/>
      <c r="Z816" s="219"/>
      <c r="AA816" s="406"/>
      <c r="AB816" s="403"/>
      <c r="AC816" s="198"/>
      <c r="AD816" s="219"/>
      <c r="AE816" s="406"/>
      <c r="AF816" s="403"/>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6"/>
      <c r="T817" s="403"/>
      <c r="U817" s="198"/>
      <c r="V817" s="219"/>
      <c r="W817" s="406"/>
      <c r="X817" s="403"/>
      <c r="Y817" s="198"/>
      <c r="Z817" s="219"/>
      <c r="AA817" s="406"/>
      <c r="AB817" s="403"/>
      <c r="AC817" s="198"/>
      <c r="AD817" s="219"/>
      <c r="AE817" s="406"/>
      <c r="AF817" s="403"/>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6"/>
      <c r="T818" s="403"/>
      <c r="U818" s="198"/>
      <c r="V818" s="219"/>
      <c r="W818" s="406"/>
      <c r="X818" s="403"/>
      <c r="Y818" s="198"/>
      <c r="Z818" s="219"/>
      <c r="AA818" s="406"/>
      <c r="AB818" s="403"/>
      <c r="AC818" s="198"/>
      <c r="AD818" s="219"/>
      <c r="AE818" s="406"/>
      <c r="AF818" s="403"/>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6"/>
      <c r="T819" s="403"/>
      <c r="U819" s="198"/>
      <c r="V819" s="219"/>
      <c r="W819" s="406"/>
      <c r="X819" s="403"/>
      <c r="Y819" s="198"/>
      <c r="Z819" s="219"/>
      <c r="AA819" s="406"/>
      <c r="AB819" s="403"/>
      <c r="AC819" s="198"/>
      <c r="AD819" s="219"/>
      <c r="AE819" s="406"/>
      <c r="AF819" s="403"/>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6"/>
      <c r="T820" s="403"/>
      <c r="U820" s="198"/>
      <c r="V820" s="219"/>
      <c r="W820" s="406"/>
      <c r="X820" s="403"/>
      <c r="Y820" s="198"/>
      <c r="Z820" s="219"/>
      <c r="AA820" s="406"/>
      <c r="AB820" s="403"/>
      <c r="AC820" s="198"/>
      <c r="AD820" s="219"/>
      <c r="AE820" s="406"/>
      <c r="AF820" s="403"/>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6"/>
      <c r="T821" s="403"/>
      <c r="U821" s="198"/>
      <c r="V821" s="219"/>
      <c r="W821" s="406"/>
      <c r="X821" s="403"/>
      <c r="Y821" s="198"/>
      <c r="Z821" s="219"/>
      <c r="AA821" s="406"/>
      <c r="AB821" s="403"/>
      <c r="AC821" s="198"/>
      <c r="AD821" s="219"/>
      <c r="AE821" s="406"/>
      <c r="AF821" s="403"/>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6"/>
      <c r="T822" s="403"/>
      <c r="U822" s="198"/>
      <c r="V822" s="219"/>
      <c r="W822" s="406"/>
      <c r="X822" s="403"/>
      <c r="Y822" s="198"/>
      <c r="Z822" s="219"/>
      <c r="AA822" s="406"/>
      <c r="AB822" s="403"/>
      <c r="AC822" s="198"/>
      <c r="AD822" s="219"/>
      <c r="AE822" s="406"/>
      <c r="AF822" s="403"/>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6"/>
      <c r="T823" s="403"/>
      <c r="U823" s="198"/>
      <c r="V823" s="219"/>
      <c r="W823" s="406"/>
      <c r="X823" s="403"/>
      <c r="Y823" s="198"/>
      <c r="Z823" s="219"/>
      <c r="AA823" s="406"/>
      <c r="AB823" s="403"/>
      <c r="AC823" s="198"/>
      <c r="AD823" s="219"/>
      <c r="AE823" s="406"/>
      <c r="AF823" s="403"/>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6"/>
      <c r="T824" s="403"/>
      <c r="U824" s="198"/>
      <c r="V824" s="219"/>
      <c r="W824" s="406"/>
      <c r="X824" s="403"/>
      <c r="Y824" s="198"/>
      <c r="Z824" s="219"/>
      <c r="AA824" s="406"/>
      <c r="AB824" s="403"/>
      <c r="AC824" s="198"/>
      <c r="AD824" s="219"/>
      <c r="AE824" s="406"/>
      <c r="AF824" s="403"/>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6"/>
      <c r="T825" s="403"/>
      <c r="U825" s="198"/>
      <c r="V825" s="219"/>
      <c r="W825" s="406"/>
      <c r="X825" s="403"/>
      <c r="Y825" s="198"/>
      <c r="Z825" s="219"/>
      <c r="AA825" s="406"/>
      <c r="AB825" s="403"/>
      <c r="AC825" s="198"/>
      <c r="AD825" s="219"/>
      <c r="AE825" s="406"/>
      <c r="AF825" s="403"/>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6"/>
      <c r="T826" s="403"/>
      <c r="U826" s="198"/>
      <c r="V826" s="219"/>
      <c r="W826" s="406"/>
      <c r="X826" s="403"/>
      <c r="Y826" s="198"/>
      <c r="Z826" s="219"/>
      <c r="AA826" s="406"/>
      <c r="AB826" s="403"/>
      <c r="AC826" s="198"/>
      <c r="AD826" s="219"/>
      <c r="AE826" s="406"/>
      <c r="AF826" s="403"/>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6"/>
      <c r="T827" s="403"/>
      <c r="U827" s="198"/>
      <c r="V827" s="219"/>
      <c r="W827" s="406"/>
      <c r="X827" s="403"/>
      <c r="Y827" s="198"/>
      <c r="Z827" s="219"/>
      <c r="AA827" s="406"/>
      <c r="AB827" s="403"/>
      <c r="AC827" s="198"/>
      <c r="AD827" s="219"/>
      <c r="AE827" s="406"/>
      <c r="AF827" s="403"/>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6"/>
      <c r="T828" s="403"/>
      <c r="U828" s="198"/>
      <c r="V828" s="219"/>
      <c r="W828" s="406"/>
      <c r="X828" s="403"/>
      <c r="Y828" s="198"/>
      <c r="Z828" s="219"/>
      <c r="AA828" s="406"/>
      <c r="AB828" s="403"/>
      <c r="AC828" s="198"/>
      <c r="AD828" s="219"/>
      <c r="AE828" s="406"/>
      <c r="AF828" s="403"/>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6"/>
      <c r="T829" s="403"/>
      <c r="U829" s="198"/>
      <c r="V829" s="219"/>
      <c r="W829" s="406"/>
      <c r="X829" s="403"/>
      <c r="Y829" s="198"/>
      <c r="Z829" s="219"/>
      <c r="AA829" s="406"/>
      <c r="AB829" s="403"/>
      <c r="AC829" s="198"/>
      <c r="AD829" s="219"/>
      <c r="AE829" s="406"/>
      <c r="AF829" s="403"/>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6"/>
      <c r="T830" s="403"/>
      <c r="U830" s="198"/>
      <c r="V830" s="219"/>
      <c r="W830" s="406"/>
      <c r="X830" s="403"/>
      <c r="Y830" s="198"/>
      <c r="Z830" s="219"/>
      <c r="AA830" s="406"/>
      <c r="AB830" s="403"/>
      <c r="AC830" s="198"/>
      <c r="AD830" s="219"/>
      <c r="AE830" s="406"/>
      <c r="AF830" s="403"/>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6"/>
      <c r="T831" s="403"/>
      <c r="U831" s="198"/>
      <c r="V831" s="219"/>
      <c r="W831" s="406"/>
      <c r="X831" s="403"/>
      <c r="Y831" s="198"/>
      <c r="Z831" s="219"/>
      <c r="AA831" s="406"/>
      <c r="AB831" s="403"/>
      <c r="AC831" s="198"/>
      <c r="AD831" s="219"/>
      <c r="AE831" s="406"/>
      <c r="AF831" s="403"/>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6"/>
      <c r="T832" s="403"/>
      <c r="U832" s="198"/>
      <c r="V832" s="219"/>
      <c r="W832" s="406"/>
      <c r="X832" s="403"/>
      <c r="Y832" s="198"/>
      <c r="Z832" s="219"/>
      <c r="AA832" s="406"/>
      <c r="AB832" s="403"/>
      <c r="AC832" s="198"/>
      <c r="AD832" s="219"/>
      <c r="AE832" s="406"/>
      <c r="AF832" s="403"/>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6"/>
      <c r="T833" s="403"/>
      <c r="U833" s="198"/>
      <c r="V833" s="219"/>
      <c r="W833" s="406"/>
      <c r="X833" s="403"/>
      <c r="Y833" s="198"/>
      <c r="Z833" s="219"/>
      <c r="AA833" s="406"/>
      <c r="AB833" s="403"/>
      <c r="AC833" s="198"/>
      <c r="AD833" s="219"/>
      <c r="AE833" s="406"/>
      <c r="AF833" s="403"/>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6"/>
      <c r="T834" s="403"/>
      <c r="U834" s="198"/>
      <c r="V834" s="219"/>
      <c r="W834" s="406"/>
      <c r="X834" s="403"/>
      <c r="Y834" s="198"/>
      <c r="Z834" s="219"/>
      <c r="AA834" s="406"/>
      <c r="AB834" s="403"/>
      <c r="AC834" s="198"/>
      <c r="AD834" s="219"/>
      <c r="AE834" s="406"/>
      <c r="AF834" s="403"/>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6"/>
      <c r="T835" s="403"/>
      <c r="U835" s="198"/>
      <c r="V835" s="219"/>
      <c r="W835" s="406"/>
      <c r="X835" s="403"/>
      <c r="Y835" s="198"/>
      <c r="Z835" s="219"/>
      <c r="AA835" s="406"/>
      <c r="AB835" s="403"/>
      <c r="AC835" s="198"/>
      <c r="AD835" s="219"/>
      <c r="AE835" s="406"/>
      <c r="AF835" s="403"/>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6"/>
      <c r="T836" s="403"/>
      <c r="U836" s="198"/>
      <c r="V836" s="219"/>
      <c r="W836" s="406"/>
      <c r="X836" s="403"/>
      <c r="Y836" s="198"/>
      <c r="Z836" s="219"/>
      <c r="AA836" s="406"/>
      <c r="AB836" s="403"/>
      <c r="AC836" s="198"/>
      <c r="AD836" s="219"/>
      <c r="AE836" s="406"/>
      <c r="AF836" s="403"/>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6"/>
      <c r="T837" s="403"/>
      <c r="U837" s="198"/>
      <c r="V837" s="219"/>
      <c r="W837" s="406"/>
      <c r="X837" s="403"/>
      <c r="Y837" s="198"/>
      <c r="Z837" s="219"/>
      <c r="AA837" s="406"/>
      <c r="AB837" s="403"/>
      <c r="AC837" s="198"/>
      <c r="AD837" s="219"/>
      <c r="AE837" s="406"/>
      <c r="AF837" s="403"/>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6"/>
      <c r="T838" s="403"/>
      <c r="U838" s="198"/>
      <c r="V838" s="219"/>
      <c r="W838" s="406"/>
      <c r="X838" s="403"/>
      <c r="Y838" s="198"/>
      <c r="Z838" s="219"/>
      <c r="AA838" s="406"/>
      <c r="AB838" s="403"/>
      <c r="AC838" s="198"/>
      <c r="AD838" s="219"/>
      <c r="AE838" s="406"/>
      <c r="AF838" s="403"/>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6"/>
      <c r="T839" s="403"/>
      <c r="U839" s="198"/>
      <c r="V839" s="219"/>
      <c r="W839" s="406"/>
      <c r="X839" s="403"/>
      <c r="Y839" s="198"/>
      <c r="Z839" s="219"/>
      <c r="AA839" s="406"/>
      <c r="AB839" s="403"/>
      <c r="AC839" s="198"/>
      <c r="AD839" s="219"/>
      <c r="AE839" s="406"/>
      <c r="AF839" s="403"/>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6"/>
      <c r="T840" s="403"/>
      <c r="U840" s="198"/>
      <c r="V840" s="219"/>
      <c r="W840" s="406"/>
      <c r="X840" s="403"/>
      <c r="Y840" s="198"/>
      <c r="Z840" s="219"/>
      <c r="AA840" s="406"/>
      <c r="AB840" s="403"/>
      <c r="AC840" s="198"/>
      <c r="AD840" s="219"/>
      <c r="AE840" s="406"/>
      <c r="AF840" s="403"/>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6"/>
      <c r="T841" s="403"/>
      <c r="U841" s="198"/>
      <c r="V841" s="219"/>
      <c r="W841" s="406"/>
      <c r="X841" s="403"/>
      <c r="Y841" s="198"/>
      <c r="Z841" s="219"/>
      <c r="AA841" s="406"/>
      <c r="AB841" s="403"/>
      <c r="AC841" s="198"/>
      <c r="AD841" s="219"/>
      <c r="AE841" s="406"/>
      <c r="AF841" s="403"/>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6"/>
      <c r="T842" s="403"/>
      <c r="U842" s="198"/>
      <c r="V842" s="219"/>
      <c r="W842" s="406"/>
      <c r="X842" s="403"/>
      <c r="Y842" s="198"/>
      <c r="Z842" s="219"/>
      <c r="AA842" s="406"/>
      <c r="AB842" s="403"/>
      <c r="AC842" s="198"/>
      <c r="AD842" s="219"/>
      <c r="AE842" s="406"/>
      <c r="AF842" s="403"/>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6"/>
      <c r="T843" s="403"/>
      <c r="U843" s="198"/>
      <c r="V843" s="219"/>
      <c r="W843" s="406"/>
      <c r="X843" s="403"/>
      <c r="Y843" s="198"/>
      <c r="Z843" s="219"/>
      <c r="AA843" s="406"/>
      <c r="AB843" s="403"/>
      <c r="AC843" s="198"/>
      <c r="AD843" s="219"/>
      <c r="AE843" s="406"/>
      <c r="AF843" s="403"/>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6"/>
      <c r="T844" s="403"/>
      <c r="U844" s="198"/>
      <c r="V844" s="219"/>
      <c r="W844" s="406"/>
      <c r="X844" s="403"/>
      <c r="Y844" s="198"/>
      <c r="Z844" s="219"/>
      <c r="AA844" s="406"/>
      <c r="AB844" s="403"/>
      <c r="AC844" s="198"/>
      <c r="AD844" s="219"/>
      <c r="AE844" s="406"/>
      <c r="AF844" s="403"/>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6"/>
      <c r="T845" s="403"/>
      <c r="U845" s="198"/>
      <c r="V845" s="219"/>
      <c r="W845" s="406"/>
      <c r="X845" s="403"/>
      <c r="Y845" s="198"/>
      <c r="Z845" s="219"/>
      <c r="AA845" s="406"/>
      <c r="AB845" s="403"/>
      <c r="AC845" s="198"/>
      <c r="AD845" s="219"/>
      <c r="AE845" s="406"/>
      <c r="AF845" s="403"/>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6"/>
      <c r="T846" s="403"/>
      <c r="U846" s="198"/>
      <c r="V846" s="219"/>
      <c r="W846" s="406"/>
      <c r="X846" s="403"/>
      <c r="Y846" s="198"/>
      <c r="Z846" s="219"/>
      <c r="AA846" s="406"/>
      <c r="AB846" s="403"/>
      <c r="AC846" s="198"/>
      <c r="AD846" s="219"/>
      <c r="AE846" s="406"/>
      <c r="AF846" s="403"/>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6"/>
      <c r="T847" s="403"/>
      <c r="U847" s="198"/>
      <c r="V847" s="219"/>
      <c r="W847" s="406"/>
      <c r="X847" s="403"/>
      <c r="Y847" s="198"/>
      <c r="Z847" s="219"/>
      <c r="AA847" s="406"/>
      <c r="AB847" s="403"/>
      <c r="AC847" s="198"/>
      <c r="AD847" s="219"/>
      <c r="AE847" s="406"/>
      <c r="AF847" s="403"/>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6"/>
      <c r="T848" s="403"/>
      <c r="U848" s="198"/>
      <c r="V848" s="219"/>
      <c r="W848" s="406"/>
      <c r="X848" s="403"/>
      <c r="Y848" s="198"/>
      <c r="Z848" s="219"/>
      <c r="AA848" s="406"/>
      <c r="AB848" s="403"/>
      <c r="AC848" s="198"/>
      <c r="AD848" s="219"/>
      <c r="AE848" s="406"/>
      <c r="AF848" s="403"/>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6"/>
      <c r="T849" s="403"/>
      <c r="U849" s="198"/>
      <c r="V849" s="219"/>
      <c r="W849" s="406"/>
      <c r="X849" s="403"/>
      <c r="Y849" s="198"/>
      <c r="Z849" s="219"/>
      <c r="AA849" s="406"/>
      <c r="AB849" s="403"/>
      <c r="AC849" s="198"/>
      <c r="AD849" s="219"/>
      <c r="AE849" s="406"/>
      <c r="AF849" s="403"/>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6"/>
      <c r="T850" s="403"/>
      <c r="U850" s="198"/>
      <c r="V850" s="219"/>
      <c r="W850" s="406"/>
      <c r="X850" s="403"/>
      <c r="Y850" s="198"/>
      <c r="Z850" s="219"/>
      <c r="AA850" s="406"/>
      <c r="AB850" s="403"/>
      <c r="AC850" s="198"/>
      <c r="AD850" s="219"/>
      <c r="AE850" s="406"/>
      <c r="AF850" s="403"/>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6"/>
      <c r="T851" s="403"/>
      <c r="U851" s="198"/>
      <c r="V851" s="219"/>
      <c r="W851" s="406"/>
      <c r="X851" s="403"/>
      <c r="Y851" s="198"/>
      <c r="Z851" s="219"/>
      <c r="AA851" s="406"/>
      <c r="AB851" s="403"/>
      <c r="AC851" s="198"/>
      <c r="AD851" s="219"/>
      <c r="AE851" s="406"/>
      <c r="AF851" s="403"/>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6"/>
      <c r="T852" s="403"/>
      <c r="U852" s="198"/>
      <c r="V852" s="219"/>
      <c r="W852" s="406"/>
      <c r="X852" s="403"/>
      <c r="Y852" s="198"/>
      <c r="Z852" s="219"/>
      <c r="AA852" s="406"/>
      <c r="AB852" s="403"/>
      <c r="AC852" s="198"/>
      <c r="AD852" s="219"/>
      <c r="AE852" s="406"/>
      <c r="AF852" s="403"/>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6"/>
      <c r="T853" s="403"/>
      <c r="U853" s="198"/>
      <c r="V853" s="219"/>
      <c r="W853" s="406"/>
      <c r="X853" s="403"/>
      <c r="Y853" s="198"/>
      <c r="Z853" s="219"/>
      <c r="AA853" s="406"/>
      <c r="AB853" s="403"/>
      <c r="AC853" s="198"/>
      <c r="AD853" s="219"/>
      <c r="AE853" s="406"/>
      <c r="AF853" s="403"/>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6"/>
      <c r="T854" s="403"/>
      <c r="U854" s="198"/>
      <c r="V854" s="219"/>
      <c r="W854" s="406"/>
      <c r="X854" s="403"/>
      <c r="Y854" s="198"/>
      <c r="Z854" s="219"/>
      <c r="AA854" s="406"/>
      <c r="AB854" s="403"/>
      <c r="AC854" s="198"/>
      <c r="AD854" s="219"/>
      <c r="AE854" s="406"/>
      <c r="AF854" s="403"/>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6"/>
      <c r="T855" s="403"/>
      <c r="U855" s="198"/>
      <c r="V855" s="219"/>
      <c r="W855" s="406"/>
      <c r="X855" s="403"/>
      <c r="Y855" s="198"/>
      <c r="Z855" s="219"/>
      <c r="AA855" s="406"/>
      <c r="AB855" s="403"/>
      <c r="AC855" s="198"/>
      <c r="AD855" s="219"/>
      <c r="AE855" s="406"/>
      <c r="AF855" s="403"/>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6"/>
      <c r="T856" s="403"/>
      <c r="U856" s="198"/>
      <c r="V856" s="219"/>
      <c r="W856" s="406"/>
      <c r="X856" s="403"/>
      <c r="Y856" s="198"/>
      <c r="Z856" s="219"/>
      <c r="AA856" s="406"/>
      <c r="AB856" s="403"/>
      <c r="AC856" s="198"/>
      <c r="AD856" s="219"/>
      <c r="AE856" s="406"/>
      <c r="AF856" s="403"/>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6"/>
      <c r="T857" s="403"/>
      <c r="U857" s="198"/>
      <c r="V857" s="219"/>
      <c r="W857" s="406"/>
      <c r="X857" s="403"/>
      <c r="Y857" s="198"/>
      <c r="Z857" s="219"/>
      <c r="AA857" s="406"/>
      <c r="AB857" s="403"/>
      <c r="AC857" s="198"/>
      <c r="AD857" s="219"/>
      <c r="AE857" s="406"/>
      <c r="AF857" s="403"/>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6"/>
      <c r="T858" s="403"/>
      <c r="U858" s="198"/>
      <c r="V858" s="219"/>
      <c r="W858" s="406"/>
      <c r="X858" s="403"/>
      <c r="Y858" s="198"/>
      <c r="Z858" s="219"/>
      <c r="AA858" s="406"/>
      <c r="AB858" s="403"/>
      <c r="AC858" s="198"/>
      <c r="AD858" s="219"/>
      <c r="AE858" s="406"/>
      <c r="AF858" s="403"/>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6"/>
      <c r="T859" s="403"/>
      <c r="U859" s="198"/>
      <c r="V859" s="219"/>
      <c r="W859" s="406"/>
      <c r="X859" s="403"/>
      <c r="Y859" s="198"/>
      <c r="Z859" s="219"/>
      <c r="AA859" s="406"/>
      <c r="AB859" s="403"/>
      <c r="AC859" s="198"/>
      <c r="AD859" s="219"/>
      <c r="AE859" s="406"/>
      <c r="AF859" s="403"/>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6"/>
      <c r="T860" s="403"/>
      <c r="U860" s="198"/>
      <c r="V860" s="219"/>
      <c r="W860" s="406"/>
      <c r="X860" s="403"/>
      <c r="Y860" s="198"/>
      <c r="Z860" s="219"/>
      <c r="AA860" s="406"/>
      <c r="AB860" s="403"/>
      <c r="AC860" s="198"/>
      <c r="AD860" s="219"/>
      <c r="AE860" s="406"/>
      <c r="AF860" s="403"/>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6"/>
      <c r="T861" s="403"/>
      <c r="U861" s="198"/>
      <c r="V861" s="219"/>
      <c r="W861" s="406"/>
      <c r="X861" s="403"/>
      <c r="Y861" s="198"/>
      <c r="Z861" s="219"/>
      <c r="AA861" s="406"/>
      <c r="AB861" s="403"/>
      <c r="AC861" s="198"/>
      <c r="AD861" s="219"/>
      <c r="AE861" s="406"/>
      <c r="AF861" s="403"/>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6"/>
      <c r="T862" s="403"/>
      <c r="U862" s="198"/>
      <c r="V862" s="219"/>
      <c r="W862" s="406"/>
      <c r="X862" s="403"/>
      <c r="Y862" s="198"/>
      <c r="Z862" s="219"/>
      <c r="AA862" s="406"/>
      <c r="AB862" s="403"/>
      <c r="AC862" s="198"/>
      <c r="AD862" s="219"/>
      <c r="AE862" s="406"/>
      <c r="AF862" s="403"/>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6"/>
      <c r="T863" s="403"/>
      <c r="U863" s="198"/>
      <c r="V863" s="219"/>
      <c r="W863" s="406"/>
      <c r="X863" s="403"/>
      <c r="Y863" s="198"/>
      <c r="Z863" s="219"/>
      <c r="AA863" s="406"/>
      <c r="AB863" s="403"/>
      <c r="AC863" s="198"/>
      <c r="AD863" s="219"/>
      <c r="AE863" s="406"/>
      <c r="AF863" s="403"/>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6"/>
      <c r="T864" s="403"/>
      <c r="U864" s="198"/>
      <c r="V864" s="219"/>
      <c r="W864" s="406"/>
      <c r="X864" s="403"/>
      <c r="Y864" s="198"/>
      <c r="Z864" s="219"/>
      <c r="AA864" s="406"/>
      <c r="AB864" s="403"/>
      <c r="AC864" s="198"/>
      <c r="AD864" s="219"/>
      <c r="AE864" s="406"/>
      <c r="AF864" s="403"/>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6"/>
      <c r="T865" s="403"/>
      <c r="U865" s="198"/>
      <c r="V865" s="219"/>
      <c r="W865" s="406"/>
      <c r="X865" s="403"/>
      <c r="Y865" s="198"/>
      <c r="Z865" s="219"/>
      <c r="AA865" s="406"/>
      <c r="AB865" s="403"/>
      <c r="AC865" s="198"/>
      <c r="AD865" s="219"/>
      <c r="AE865" s="406"/>
      <c r="AF865" s="403"/>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6"/>
      <c r="T866" s="403"/>
      <c r="U866" s="198"/>
      <c r="V866" s="219"/>
      <c r="W866" s="406"/>
      <c r="X866" s="403"/>
      <c r="Y866" s="198"/>
      <c r="Z866" s="219"/>
      <c r="AA866" s="406"/>
      <c r="AB866" s="403"/>
      <c r="AC866" s="198"/>
      <c r="AD866" s="219"/>
      <c r="AE866" s="406"/>
      <c r="AF866" s="403"/>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6"/>
      <c r="T867" s="403"/>
      <c r="U867" s="198"/>
      <c r="V867" s="219"/>
      <c r="W867" s="406"/>
      <c r="X867" s="403"/>
      <c r="Y867" s="198"/>
      <c r="Z867" s="219"/>
      <c r="AA867" s="406"/>
      <c r="AB867" s="403"/>
      <c r="AC867" s="198"/>
      <c r="AD867" s="219"/>
      <c r="AE867" s="406"/>
      <c r="AF867" s="403"/>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6"/>
      <c r="T868" s="403"/>
      <c r="U868" s="198"/>
      <c r="V868" s="219"/>
      <c r="W868" s="406"/>
      <c r="X868" s="403"/>
      <c r="Y868" s="198"/>
      <c r="Z868" s="219"/>
      <c r="AA868" s="406"/>
      <c r="AB868" s="403"/>
      <c r="AC868" s="198"/>
      <c r="AD868" s="219"/>
      <c r="AE868" s="406"/>
      <c r="AF868" s="403"/>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6"/>
      <c r="T869" s="403"/>
      <c r="U869" s="198"/>
      <c r="V869" s="219"/>
      <c r="W869" s="406"/>
      <c r="X869" s="403"/>
      <c r="Y869" s="198"/>
      <c r="Z869" s="219"/>
      <c r="AA869" s="406"/>
      <c r="AB869" s="403"/>
      <c r="AC869" s="198"/>
      <c r="AD869" s="219"/>
      <c r="AE869" s="406"/>
      <c r="AF869" s="403"/>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6"/>
      <c r="T870" s="403"/>
      <c r="U870" s="198"/>
      <c r="V870" s="219"/>
      <c r="W870" s="406"/>
      <c r="X870" s="403"/>
      <c r="Y870" s="198"/>
      <c r="Z870" s="219"/>
      <c r="AA870" s="406"/>
      <c r="AB870" s="403"/>
      <c r="AC870" s="198"/>
      <c r="AD870" s="219"/>
      <c r="AE870" s="406"/>
      <c r="AF870" s="403"/>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6"/>
      <c r="T871" s="403"/>
      <c r="U871" s="198"/>
      <c r="V871" s="219"/>
      <c r="W871" s="406"/>
      <c r="X871" s="403"/>
      <c r="Y871" s="198"/>
      <c r="Z871" s="219"/>
      <c r="AA871" s="406"/>
      <c r="AB871" s="403"/>
      <c r="AC871" s="198"/>
      <c r="AD871" s="219"/>
      <c r="AE871" s="406"/>
      <c r="AF871" s="403"/>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6"/>
      <c r="T872" s="403"/>
      <c r="U872" s="198"/>
      <c r="V872" s="219"/>
      <c r="W872" s="406"/>
      <c r="X872" s="403"/>
      <c r="Y872" s="198"/>
      <c r="Z872" s="219"/>
      <c r="AA872" s="406"/>
      <c r="AB872" s="403"/>
      <c r="AC872" s="198"/>
      <c r="AD872" s="219"/>
      <c r="AE872" s="406"/>
      <c r="AF872" s="403"/>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6"/>
      <c r="T873" s="403"/>
      <c r="U873" s="198"/>
      <c r="V873" s="219"/>
      <c r="W873" s="406"/>
      <c r="X873" s="403"/>
      <c r="Y873" s="198"/>
      <c r="Z873" s="219"/>
      <c r="AA873" s="406"/>
      <c r="AB873" s="403"/>
      <c r="AC873" s="198"/>
      <c r="AD873" s="219"/>
      <c r="AE873" s="406"/>
      <c r="AF873" s="403"/>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6"/>
      <c r="T874" s="403"/>
      <c r="U874" s="198"/>
      <c r="V874" s="219"/>
      <c r="W874" s="406"/>
      <c r="X874" s="403"/>
      <c r="Y874" s="198"/>
      <c r="Z874" s="219"/>
      <c r="AA874" s="406"/>
      <c r="AB874" s="403"/>
      <c r="AC874" s="198"/>
      <c r="AD874" s="219"/>
      <c r="AE874" s="406"/>
      <c r="AF874" s="403"/>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6"/>
      <c r="T875" s="403"/>
      <c r="U875" s="198"/>
      <c r="V875" s="219"/>
      <c r="W875" s="406"/>
      <c r="X875" s="403"/>
      <c r="Y875" s="198"/>
      <c r="Z875" s="219"/>
      <c r="AA875" s="406"/>
      <c r="AB875" s="403"/>
      <c r="AC875" s="198"/>
      <c r="AD875" s="219"/>
      <c r="AE875" s="406"/>
      <c r="AF875" s="403"/>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6"/>
      <c r="T876" s="403"/>
      <c r="U876" s="198"/>
      <c r="V876" s="219"/>
      <c r="W876" s="406"/>
      <c r="X876" s="403"/>
      <c r="Y876" s="198"/>
      <c r="Z876" s="219"/>
      <c r="AA876" s="406"/>
      <c r="AB876" s="403"/>
      <c r="AC876" s="198"/>
      <c r="AD876" s="219"/>
      <c r="AE876" s="406"/>
      <c r="AF876" s="403"/>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6"/>
      <c r="T877" s="403"/>
      <c r="U877" s="198"/>
      <c r="V877" s="219"/>
      <c r="W877" s="406"/>
      <c r="X877" s="403"/>
      <c r="Y877" s="198"/>
      <c r="Z877" s="219"/>
      <c r="AA877" s="406"/>
      <c r="AB877" s="403"/>
      <c r="AC877" s="198"/>
      <c r="AD877" s="219"/>
      <c r="AE877" s="406"/>
      <c r="AF877" s="403"/>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6"/>
      <c r="T878" s="403"/>
      <c r="U878" s="198"/>
      <c r="V878" s="219"/>
      <c r="W878" s="406"/>
      <c r="X878" s="403"/>
      <c r="Y878" s="198"/>
      <c r="Z878" s="219"/>
      <c r="AA878" s="406"/>
      <c r="AB878" s="403"/>
      <c r="AC878" s="198"/>
      <c r="AD878" s="219"/>
      <c r="AE878" s="406"/>
      <c r="AF878" s="403"/>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6"/>
      <c r="T879" s="403"/>
      <c r="U879" s="198"/>
      <c r="V879" s="219"/>
      <c r="W879" s="406"/>
      <c r="X879" s="403"/>
      <c r="Y879" s="198"/>
      <c r="Z879" s="219"/>
      <c r="AA879" s="406"/>
      <c r="AB879" s="403"/>
      <c r="AC879" s="198"/>
      <c r="AD879" s="219"/>
      <c r="AE879" s="406"/>
      <c r="AF879" s="403"/>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6"/>
      <c r="T880" s="403"/>
      <c r="U880" s="198"/>
      <c r="V880" s="219"/>
      <c r="W880" s="406"/>
      <c r="X880" s="403"/>
      <c r="Y880" s="198"/>
      <c r="Z880" s="219"/>
      <c r="AA880" s="406"/>
      <c r="AB880" s="403"/>
      <c r="AC880" s="198"/>
      <c r="AD880" s="219"/>
      <c r="AE880" s="406"/>
      <c r="AF880" s="403"/>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6"/>
      <c r="T881" s="403"/>
      <c r="U881" s="198"/>
      <c r="V881" s="219"/>
      <c r="W881" s="406"/>
      <c r="X881" s="403"/>
      <c r="Y881" s="198"/>
      <c r="Z881" s="219"/>
      <c r="AA881" s="406"/>
      <c r="AB881" s="403"/>
      <c r="AC881" s="198"/>
      <c r="AD881" s="219"/>
      <c r="AE881" s="406"/>
      <c r="AF881" s="403"/>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6"/>
      <c r="T882" s="403"/>
      <c r="U882" s="198"/>
      <c r="V882" s="219"/>
      <c r="W882" s="406"/>
      <c r="X882" s="403"/>
      <c r="Y882" s="198"/>
      <c r="Z882" s="219"/>
      <c r="AA882" s="406"/>
      <c r="AB882" s="403"/>
      <c r="AC882" s="198"/>
      <c r="AD882" s="219"/>
      <c r="AE882" s="406"/>
      <c r="AF882" s="403"/>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6"/>
      <c r="T883" s="403"/>
      <c r="U883" s="198"/>
      <c r="V883" s="219"/>
      <c r="W883" s="406"/>
      <c r="X883" s="403"/>
      <c r="Y883" s="198"/>
      <c r="Z883" s="219"/>
      <c r="AA883" s="406"/>
      <c r="AB883" s="403"/>
      <c r="AC883" s="198"/>
      <c r="AD883" s="219"/>
      <c r="AE883" s="406"/>
      <c r="AF883" s="403"/>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6"/>
      <c r="T884" s="403"/>
      <c r="U884" s="198"/>
      <c r="V884" s="219"/>
      <c r="W884" s="406"/>
      <c r="X884" s="403"/>
      <c r="Y884" s="198"/>
      <c r="Z884" s="219"/>
      <c r="AA884" s="406"/>
      <c r="AB884" s="403"/>
      <c r="AC884" s="198"/>
      <c r="AD884" s="219"/>
      <c r="AE884" s="406"/>
      <c r="AF884" s="403"/>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6"/>
      <c r="T885" s="403"/>
      <c r="U885" s="198"/>
      <c r="V885" s="219"/>
      <c r="W885" s="406"/>
      <c r="X885" s="403"/>
      <c r="Y885" s="198"/>
      <c r="Z885" s="219"/>
      <c r="AA885" s="406"/>
      <c r="AB885" s="403"/>
      <c r="AC885" s="198"/>
      <c r="AD885" s="219"/>
      <c r="AE885" s="406"/>
      <c r="AF885" s="403"/>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6"/>
      <c r="T886" s="403"/>
      <c r="U886" s="198"/>
      <c r="V886" s="219"/>
      <c r="W886" s="406"/>
      <c r="X886" s="403"/>
      <c r="Y886" s="198"/>
      <c r="Z886" s="219"/>
      <c r="AA886" s="406"/>
      <c r="AB886" s="403"/>
      <c r="AC886" s="198"/>
      <c r="AD886" s="219"/>
      <c r="AE886" s="406"/>
      <c r="AF886" s="403"/>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6"/>
      <c r="T887" s="403"/>
      <c r="U887" s="198"/>
      <c r="V887" s="219"/>
      <c r="W887" s="406"/>
      <c r="X887" s="403"/>
      <c r="Y887" s="198"/>
      <c r="Z887" s="219"/>
      <c r="AA887" s="406"/>
      <c r="AB887" s="403"/>
      <c r="AC887" s="198"/>
      <c r="AD887" s="219"/>
      <c r="AE887" s="406"/>
      <c r="AF887" s="403"/>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6"/>
      <c r="T888" s="403"/>
      <c r="U888" s="198"/>
      <c r="V888" s="219"/>
      <c r="W888" s="406"/>
      <c r="X888" s="403"/>
      <c r="Y888" s="198"/>
      <c r="Z888" s="219"/>
      <c r="AA888" s="406"/>
      <c r="AB888" s="403"/>
      <c r="AC888" s="198"/>
      <c r="AD888" s="219"/>
      <c r="AE888" s="406"/>
      <c r="AF888" s="403"/>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6"/>
      <c r="T889" s="403"/>
      <c r="U889" s="198"/>
      <c r="V889" s="219"/>
      <c r="W889" s="406"/>
      <c r="X889" s="403"/>
      <c r="Y889" s="198"/>
      <c r="Z889" s="219"/>
      <c r="AA889" s="406"/>
      <c r="AB889" s="403"/>
      <c r="AC889" s="198"/>
      <c r="AD889" s="219"/>
      <c r="AE889" s="406"/>
      <c r="AF889" s="403"/>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6"/>
      <c r="T890" s="403"/>
      <c r="U890" s="198"/>
      <c r="V890" s="219"/>
      <c r="W890" s="406"/>
      <c r="X890" s="403"/>
      <c r="Y890" s="198"/>
      <c r="Z890" s="219"/>
      <c r="AA890" s="406"/>
      <c r="AB890" s="403"/>
      <c r="AC890" s="198"/>
      <c r="AD890" s="219"/>
      <c r="AE890" s="406"/>
      <c r="AF890" s="403"/>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6"/>
      <c r="T891" s="403"/>
      <c r="U891" s="198"/>
      <c r="V891" s="219"/>
      <c r="W891" s="406"/>
      <c r="X891" s="403"/>
      <c r="Y891" s="198"/>
      <c r="Z891" s="219"/>
      <c r="AA891" s="406"/>
      <c r="AB891" s="403"/>
      <c r="AC891" s="198"/>
      <c r="AD891" s="219"/>
      <c r="AE891" s="406"/>
      <c r="AF891" s="403"/>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6"/>
      <c r="T892" s="403"/>
      <c r="U892" s="198"/>
      <c r="V892" s="219"/>
      <c r="W892" s="406"/>
      <c r="X892" s="403"/>
      <c r="Y892" s="198"/>
      <c r="Z892" s="219"/>
      <c r="AA892" s="406"/>
      <c r="AB892" s="403"/>
      <c r="AC892" s="198"/>
      <c r="AD892" s="219"/>
      <c r="AE892" s="406"/>
      <c r="AF892" s="403"/>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6"/>
      <c r="T893" s="403"/>
      <c r="U893" s="198"/>
      <c r="V893" s="219"/>
      <c r="W893" s="406"/>
      <c r="X893" s="403"/>
      <c r="Y893" s="198"/>
      <c r="Z893" s="219"/>
      <c r="AA893" s="406"/>
      <c r="AB893" s="403"/>
      <c r="AC893" s="198"/>
      <c r="AD893" s="219"/>
      <c r="AE893" s="406"/>
      <c r="AF893" s="403"/>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6"/>
      <c r="T894" s="403"/>
      <c r="U894" s="198"/>
      <c r="V894" s="219"/>
      <c r="W894" s="406"/>
      <c r="X894" s="403"/>
      <c r="Y894" s="198"/>
      <c r="Z894" s="219"/>
      <c r="AA894" s="406"/>
      <c r="AB894" s="403"/>
      <c r="AC894" s="198"/>
      <c r="AD894" s="219"/>
      <c r="AE894" s="406"/>
      <c r="AF894" s="403"/>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6"/>
      <c r="T895" s="403"/>
      <c r="U895" s="198"/>
      <c r="V895" s="219"/>
      <c r="W895" s="406"/>
      <c r="X895" s="403"/>
      <c r="Y895" s="198"/>
      <c r="Z895" s="219"/>
      <c r="AA895" s="406"/>
      <c r="AB895" s="403"/>
      <c r="AC895" s="198"/>
      <c r="AD895" s="219"/>
      <c r="AE895" s="406"/>
      <c r="AF895" s="403"/>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6"/>
      <c r="T896" s="403"/>
      <c r="U896" s="198"/>
      <c r="V896" s="219"/>
      <c r="W896" s="406"/>
      <c r="X896" s="403"/>
      <c r="Y896" s="198"/>
      <c r="Z896" s="219"/>
      <c r="AA896" s="406"/>
      <c r="AB896" s="403"/>
      <c r="AC896" s="198"/>
      <c r="AD896" s="219"/>
      <c r="AE896" s="406"/>
      <c r="AF896" s="403"/>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6"/>
      <c r="T897" s="403"/>
      <c r="U897" s="198"/>
      <c r="V897" s="219"/>
      <c r="W897" s="406"/>
      <c r="X897" s="403"/>
      <c r="Y897" s="198"/>
      <c r="Z897" s="219"/>
      <c r="AA897" s="406"/>
      <c r="AB897" s="403"/>
      <c r="AC897" s="198"/>
      <c r="AD897" s="219"/>
      <c r="AE897" s="406"/>
      <c r="AF897" s="403"/>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6"/>
      <c r="T898" s="403"/>
      <c r="U898" s="198"/>
      <c r="V898" s="219"/>
      <c r="W898" s="406"/>
      <c r="X898" s="403"/>
      <c r="Y898" s="198"/>
      <c r="Z898" s="219"/>
      <c r="AA898" s="406"/>
      <c r="AB898" s="403"/>
      <c r="AC898" s="198"/>
      <c r="AD898" s="219"/>
      <c r="AE898" s="406"/>
      <c r="AF898" s="403"/>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6"/>
      <c r="T899" s="403"/>
      <c r="U899" s="198"/>
      <c r="V899" s="219"/>
      <c r="W899" s="406"/>
      <c r="X899" s="403"/>
      <c r="Y899" s="198"/>
      <c r="Z899" s="219"/>
      <c r="AA899" s="406"/>
      <c r="AB899" s="403"/>
      <c r="AC899" s="198"/>
      <c r="AD899" s="219"/>
      <c r="AE899" s="406"/>
      <c r="AF899" s="403"/>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6"/>
      <c r="T900" s="403"/>
      <c r="U900" s="198"/>
      <c r="V900" s="219"/>
      <c r="W900" s="406"/>
      <c r="X900" s="403"/>
      <c r="Y900" s="198"/>
      <c r="Z900" s="219"/>
      <c r="AA900" s="406"/>
      <c r="AB900" s="403"/>
      <c r="AC900" s="198"/>
      <c r="AD900" s="219"/>
      <c r="AE900" s="406"/>
      <c r="AF900" s="403"/>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6"/>
      <c r="T901" s="403"/>
      <c r="U901" s="198"/>
      <c r="V901" s="219"/>
      <c r="W901" s="406"/>
      <c r="X901" s="403"/>
      <c r="Y901" s="198"/>
      <c r="Z901" s="219"/>
      <c r="AA901" s="406"/>
      <c r="AB901" s="403"/>
      <c r="AC901" s="198"/>
      <c r="AD901" s="219"/>
      <c r="AE901" s="406"/>
      <c r="AF901" s="403"/>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6"/>
      <c r="T902" s="403"/>
      <c r="U902" s="198"/>
      <c r="V902" s="219"/>
      <c r="W902" s="406"/>
      <c r="X902" s="403"/>
      <c r="Y902" s="198"/>
      <c r="Z902" s="219"/>
      <c r="AA902" s="406"/>
      <c r="AB902" s="403"/>
      <c r="AC902" s="198"/>
      <c r="AD902" s="219"/>
      <c r="AE902" s="406"/>
      <c r="AF902" s="403"/>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6"/>
      <c r="T903" s="403"/>
      <c r="U903" s="198"/>
      <c r="V903" s="219"/>
      <c r="W903" s="406"/>
      <c r="X903" s="403"/>
      <c r="Y903" s="198"/>
      <c r="Z903" s="219"/>
      <c r="AA903" s="406"/>
      <c r="AB903" s="403"/>
      <c r="AC903" s="198"/>
      <c r="AD903" s="219"/>
      <c r="AE903" s="406"/>
      <c r="AF903" s="403"/>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6"/>
      <c r="T904" s="403"/>
      <c r="U904" s="198"/>
      <c r="V904" s="219"/>
      <c r="W904" s="406"/>
      <c r="X904" s="403"/>
      <c r="Y904" s="198"/>
      <c r="Z904" s="219"/>
      <c r="AA904" s="406"/>
      <c r="AB904" s="403"/>
      <c r="AC904" s="198"/>
      <c r="AD904" s="219"/>
      <c r="AE904" s="406"/>
      <c r="AF904" s="403"/>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6"/>
      <c r="T905" s="403"/>
      <c r="U905" s="198"/>
      <c r="V905" s="219"/>
      <c r="W905" s="406"/>
      <c r="X905" s="403"/>
      <c r="Y905" s="198"/>
      <c r="Z905" s="219"/>
      <c r="AA905" s="406"/>
      <c r="AB905" s="403"/>
      <c r="AC905" s="198"/>
      <c r="AD905" s="219"/>
      <c r="AE905" s="406"/>
      <c r="AF905" s="403"/>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6"/>
      <c r="T906" s="403"/>
      <c r="U906" s="198"/>
      <c r="V906" s="219"/>
      <c r="W906" s="406"/>
      <c r="X906" s="403"/>
      <c r="Y906" s="198"/>
      <c r="Z906" s="219"/>
      <c r="AA906" s="406"/>
      <c r="AB906" s="403"/>
      <c r="AC906" s="198"/>
      <c r="AD906" s="219"/>
      <c r="AE906" s="406"/>
      <c r="AF906" s="403"/>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6"/>
      <c r="T907" s="403"/>
      <c r="U907" s="198"/>
      <c r="V907" s="219"/>
      <c r="W907" s="406"/>
      <c r="X907" s="403"/>
      <c r="Y907" s="198"/>
      <c r="Z907" s="219"/>
      <c r="AA907" s="406"/>
      <c r="AB907" s="403"/>
      <c r="AC907" s="198"/>
      <c r="AD907" s="219"/>
      <c r="AE907" s="406"/>
      <c r="AF907" s="403"/>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6"/>
      <c r="T908" s="403"/>
      <c r="U908" s="198"/>
      <c r="V908" s="219"/>
      <c r="W908" s="406"/>
      <c r="X908" s="403"/>
      <c r="Y908" s="198"/>
      <c r="Z908" s="219"/>
      <c r="AA908" s="406"/>
      <c r="AB908" s="403"/>
      <c r="AC908" s="198"/>
      <c r="AD908" s="219"/>
      <c r="AE908" s="406"/>
      <c r="AF908" s="403"/>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6"/>
      <c r="T909" s="403"/>
      <c r="U909" s="198"/>
      <c r="V909" s="219"/>
      <c r="W909" s="406"/>
      <c r="X909" s="403"/>
      <c r="Y909" s="198"/>
      <c r="Z909" s="219"/>
      <c r="AA909" s="406"/>
      <c r="AB909" s="403"/>
      <c r="AC909" s="198"/>
      <c r="AD909" s="219"/>
      <c r="AE909" s="406"/>
      <c r="AF909" s="403"/>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6"/>
      <c r="T910" s="403"/>
      <c r="U910" s="198"/>
      <c r="V910" s="219"/>
      <c r="W910" s="406"/>
      <c r="X910" s="403"/>
      <c r="Y910" s="198"/>
      <c r="Z910" s="219"/>
      <c r="AA910" s="406"/>
      <c r="AB910" s="403"/>
      <c r="AC910" s="198"/>
      <c r="AD910" s="219"/>
      <c r="AE910" s="406"/>
      <c r="AF910" s="403"/>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6"/>
      <c r="T911" s="403"/>
      <c r="U911" s="198"/>
      <c r="V911" s="219"/>
      <c r="W911" s="406"/>
      <c r="X911" s="403"/>
      <c r="Y911" s="198"/>
      <c r="Z911" s="219"/>
      <c r="AA911" s="406"/>
      <c r="AB911" s="403"/>
      <c r="AC911" s="198"/>
      <c r="AD911" s="219"/>
      <c r="AE911" s="406"/>
      <c r="AF911" s="403"/>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6"/>
      <c r="T912" s="403"/>
      <c r="U912" s="198"/>
      <c r="V912" s="219"/>
      <c r="W912" s="406"/>
      <c r="X912" s="403"/>
      <c r="Y912" s="198"/>
      <c r="Z912" s="219"/>
      <c r="AA912" s="406"/>
      <c r="AB912" s="403"/>
      <c r="AC912" s="198"/>
      <c r="AD912" s="219"/>
      <c r="AE912" s="406"/>
      <c r="AF912" s="403"/>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6"/>
      <c r="T913" s="403"/>
      <c r="U913" s="198"/>
      <c r="V913" s="219"/>
      <c r="W913" s="406"/>
      <c r="X913" s="403"/>
      <c r="Y913" s="198"/>
      <c r="Z913" s="219"/>
      <c r="AA913" s="406"/>
      <c r="AB913" s="403"/>
      <c r="AC913" s="198"/>
      <c r="AD913" s="219"/>
      <c r="AE913" s="406"/>
      <c r="AF913" s="403"/>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6"/>
      <c r="T914" s="403"/>
      <c r="U914" s="198"/>
      <c r="V914" s="219"/>
      <c r="W914" s="406"/>
      <c r="X914" s="403"/>
      <c r="Y914" s="198"/>
      <c r="Z914" s="219"/>
      <c r="AA914" s="406"/>
      <c r="AB914" s="403"/>
      <c r="AC914" s="198"/>
      <c r="AD914" s="219"/>
      <c r="AE914" s="406"/>
      <c r="AF914" s="403"/>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6"/>
      <c r="T915" s="403"/>
      <c r="U915" s="198"/>
      <c r="V915" s="219"/>
      <c r="W915" s="406"/>
      <c r="X915" s="403"/>
      <c r="Y915" s="198"/>
      <c r="Z915" s="219"/>
      <c r="AA915" s="406"/>
      <c r="AB915" s="403"/>
      <c r="AC915" s="198"/>
      <c r="AD915" s="219"/>
      <c r="AE915" s="406"/>
      <c r="AF915" s="403"/>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6"/>
      <c r="T916" s="403"/>
      <c r="U916" s="198"/>
      <c r="V916" s="219"/>
      <c r="W916" s="406"/>
      <c r="X916" s="403"/>
      <c r="Y916" s="198"/>
      <c r="Z916" s="219"/>
      <c r="AA916" s="406"/>
      <c r="AB916" s="403"/>
      <c r="AC916" s="198"/>
      <c r="AD916" s="219"/>
      <c r="AE916" s="406"/>
      <c r="AF916" s="403"/>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6"/>
      <c r="T917" s="403"/>
      <c r="U917" s="198"/>
      <c r="V917" s="219"/>
      <c r="W917" s="406"/>
      <c r="X917" s="403"/>
      <c r="Y917" s="198"/>
      <c r="Z917" s="219"/>
      <c r="AA917" s="406"/>
      <c r="AB917" s="403"/>
      <c r="AC917" s="198"/>
      <c r="AD917" s="219"/>
      <c r="AE917" s="406"/>
      <c r="AF917" s="403"/>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6"/>
      <c r="T918" s="403"/>
      <c r="U918" s="198"/>
      <c r="V918" s="219"/>
      <c r="W918" s="406"/>
      <c r="X918" s="403"/>
      <c r="Y918" s="198"/>
      <c r="Z918" s="219"/>
      <c r="AA918" s="406"/>
      <c r="AB918" s="403"/>
      <c r="AC918" s="198"/>
      <c r="AD918" s="219"/>
      <c r="AE918" s="406"/>
      <c r="AF918" s="403"/>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6"/>
      <c r="T919" s="403"/>
      <c r="U919" s="198"/>
      <c r="V919" s="219"/>
      <c r="W919" s="406"/>
      <c r="X919" s="403"/>
      <c r="Y919" s="198"/>
      <c r="Z919" s="219"/>
      <c r="AA919" s="406"/>
      <c r="AB919" s="403"/>
      <c r="AC919" s="198"/>
      <c r="AD919" s="219"/>
      <c r="AE919" s="406"/>
      <c r="AF919" s="403"/>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6"/>
      <c r="T920" s="403"/>
      <c r="U920" s="198"/>
      <c r="V920" s="219"/>
      <c r="W920" s="406"/>
      <c r="X920" s="403"/>
      <c r="Y920" s="198"/>
      <c r="Z920" s="219"/>
      <c r="AA920" s="406"/>
      <c r="AB920" s="403"/>
      <c r="AC920" s="198"/>
      <c r="AD920" s="219"/>
      <c r="AE920" s="406"/>
      <c r="AF920" s="403"/>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6"/>
      <c r="T921" s="403"/>
      <c r="U921" s="198"/>
      <c r="V921" s="219"/>
      <c r="W921" s="406"/>
      <c r="X921" s="403"/>
      <c r="Y921" s="198"/>
      <c r="Z921" s="219"/>
      <c r="AA921" s="406"/>
      <c r="AB921" s="403"/>
      <c r="AC921" s="198"/>
      <c r="AD921" s="219"/>
      <c r="AE921" s="406"/>
      <c r="AF921" s="403"/>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6"/>
      <c r="T922" s="403"/>
      <c r="U922" s="198"/>
      <c r="V922" s="219"/>
      <c r="W922" s="406"/>
      <c r="X922" s="403"/>
      <c r="Y922" s="198"/>
      <c r="Z922" s="219"/>
      <c r="AA922" s="406"/>
      <c r="AB922" s="403"/>
      <c r="AC922" s="198"/>
      <c r="AD922" s="219"/>
      <c r="AE922" s="406"/>
      <c r="AF922" s="403"/>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6"/>
      <c r="T923" s="403"/>
      <c r="U923" s="198"/>
      <c r="V923" s="219"/>
      <c r="W923" s="406"/>
      <c r="X923" s="403"/>
      <c r="Y923" s="198"/>
      <c r="Z923" s="219"/>
      <c r="AA923" s="406"/>
      <c r="AB923" s="403"/>
      <c r="AC923" s="198"/>
      <c r="AD923" s="219"/>
      <c r="AE923" s="406"/>
      <c r="AF923" s="403"/>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6"/>
      <c r="T924" s="403"/>
      <c r="U924" s="198"/>
      <c r="V924" s="219"/>
      <c r="W924" s="406"/>
      <c r="X924" s="403"/>
      <c r="Y924" s="198"/>
      <c r="Z924" s="219"/>
      <c r="AA924" s="406"/>
      <c r="AB924" s="403"/>
      <c r="AC924" s="198"/>
      <c r="AD924" s="219"/>
      <c r="AE924" s="406"/>
      <c r="AF924" s="403"/>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6"/>
      <c r="T925" s="403"/>
      <c r="U925" s="198"/>
      <c r="V925" s="219"/>
      <c r="W925" s="406"/>
      <c r="X925" s="403"/>
      <c r="Y925" s="198"/>
      <c r="Z925" s="219"/>
      <c r="AA925" s="406"/>
      <c r="AB925" s="403"/>
      <c r="AC925" s="198"/>
      <c r="AD925" s="219"/>
      <c r="AE925" s="406"/>
      <c r="AF925" s="403"/>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6"/>
      <c r="T926" s="403"/>
      <c r="U926" s="198"/>
      <c r="V926" s="219"/>
      <c r="W926" s="406"/>
      <c r="X926" s="403"/>
      <c r="Y926" s="198"/>
      <c r="Z926" s="219"/>
      <c r="AA926" s="406"/>
      <c r="AB926" s="403"/>
      <c r="AC926" s="198"/>
      <c r="AD926" s="219"/>
      <c r="AE926" s="406"/>
      <c r="AF926" s="403"/>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6"/>
      <c r="T927" s="403"/>
      <c r="U927" s="198"/>
      <c r="V927" s="219"/>
      <c r="W927" s="406"/>
      <c r="X927" s="403"/>
      <c r="Y927" s="198"/>
      <c r="Z927" s="219"/>
      <c r="AA927" s="406"/>
      <c r="AB927" s="403"/>
      <c r="AC927" s="198"/>
      <c r="AD927" s="219"/>
      <c r="AE927" s="406"/>
      <c r="AF927" s="403"/>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6"/>
      <c r="T928" s="403"/>
      <c r="U928" s="198"/>
      <c r="V928" s="219"/>
      <c r="W928" s="406"/>
      <c r="X928" s="403"/>
      <c r="Y928" s="198"/>
      <c r="Z928" s="219"/>
      <c r="AA928" s="406"/>
      <c r="AB928" s="403"/>
      <c r="AC928" s="198"/>
      <c r="AD928" s="219"/>
      <c r="AE928" s="406"/>
      <c r="AF928" s="403"/>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6"/>
      <c r="T929" s="403"/>
      <c r="U929" s="198"/>
      <c r="V929" s="219"/>
      <c r="W929" s="406"/>
      <c r="X929" s="403"/>
      <c r="Y929" s="198"/>
      <c r="Z929" s="219"/>
      <c r="AA929" s="406"/>
      <c r="AB929" s="403"/>
      <c r="AC929" s="198"/>
      <c r="AD929" s="219"/>
      <c r="AE929" s="406"/>
      <c r="AF929" s="403"/>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6"/>
      <c r="T930" s="403"/>
      <c r="U930" s="198"/>
      <c r="V930" s="219"/>
      <c r="W930" s="406"/>
      <c r="X930" s="403"/>
      <c r="Y930" s="198"/>
      <c r="Z930" s="219"/>
      <c r="AA930" s="406"/>
      <c r="AB930" s="403"/>
      <c r="AC930" s="198"/>
      <c r="AD930" s="219"/>
      <c r="AE930" s="406"/>
      <c r="AF930" s="403"/>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6"/>
      <c r="T931" s="403"/>
      <c r="U931" s="198"/>
      <c r="V931" s="219"/>
      <c r="W931" s="406"/>
      <c r="X931" s="403"/>
      <c r="Y931" s="198"/>
      <c r="Z931" s="219"/>
      <c r="AA931" s="406"/>
      <c r="AB931" s="403"/>
      <c r="AC931" s="198"/>
      <c r="AD931" s="219"/>
      <c r="AE931" s="406"/>
      <c r="AF931" s="403"/>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6"/>
      <c r="T932" s="403"/>
      <c r="U932" s="198"/>
      <c r="V932" s="219"/>
      <c r="W932" s="406"/>
      <c r="X932" s="403"/>
      <c r="Y932" s="198"/>
      <c r="Z932" s="219"/>
      <c r="AA932" s="406"/>
      <c r="AB932" s="403"/>
      <c r="AC932" s="198"/>
      <c r="AD932" s="219"/>
      <c r="AE932" s="406"/>
      <c r="AF932" s="403"/>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6"/>
      <c r="T933" s="403"/>
      <c r="U933" s="198"/>
      <c r="V933" s="219"/>
      <c r="W933" s="406"/>
      <c r="X933" s="403"/>
      <c r="Y933" s="198"/>
      <c r="Z933" s="219"/>
      <c r="AA933" s="406"/>
      <c r="AB933" s="403"/>
      <c r="AC933" s="198"/>
      <c r="AD933" s="219"/>
      <c r="AE933" s="406"/>
      <c r="AF933" s="403"/>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6"/>
      <c r="T934" s="403"/>
      <c r="U934" s="198"/>
      <c r="V934" s="219"/>
      <c r="W934" s="406"/>
      <c r="X934" s="403"/>
      <c r="Y934" s="198"/>
      <c r="Z934" s="219"/>
      <c r="AA934" s="406"/>
      <c r="AB934" s="403"/>
      <c r="AC934" s="198"/>
      <c r="AD934" s="219"/>
      <c r="AE934" s="406"/>
      <c r="AF934" s="403"/>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6"/>
      <c r="T935" s="403"/>
      <c r="U935" s="198"/>
      <c r="V935" s="219"/>
      <c r="W935" s="406"/>
      <c r="X935" s="403"/>
      <c r="Y935" s="198"/>
      <c r="Z935" s="219"/>
      <c r="AA935" s="406"/>
      <c r="AB935" s="403"/>
      <c r="AC935" s="198"/>
      <c r="AD935" s="219"/>
      <c r="AE935" s="406"/>
      <c r="AF935" s="403"/>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6"/>
      <c r="T936" s="403"/>
      <c r="U936" s="198"/>
      <c r="V936" s="219"/>
      <c r="W936" s="406"/>
      <c r="X936" s="403"/>
      <c r="Y936" s="198"/>
      <c r="Z936" s="219"/>
      <c r="AA936" s="406"/>
      <c r="AB936" s="403"/>
      <c r="AC936" s="198"/>
      <c r="AD936" s="219"/>
      <c r="AE936" s="406"/>
      <c r="AF936" s="403"/>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6"/>
      <c r="T937" s="403"/>
      <c r="U937" s="198"/>
      <c r="V937" s="219"/>
      <c r="W937" s="406"/>
      <c r="X937" s="403"/>
      <c r="Y937" s="198"/>
      <c r="Z937" s="219"/>
      <c r="AA937" s="406"/>
      <c r="AB937" s="403"/>
      <c r="AC937" s="198"/>
      <c r="AD937" s="219"/>
      <c r="AE937" s="406"/>
      <c r="AF937" s="403"/>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6"/>
      <c r="T938" s="403"/>
      <c r="U938" s="198"/>
      <c r="V938" s="219"/>
      <c r="W938" s="406"/>
      <c r="X938" s="403"/>
      <c r="Y938" s="198"/>
      <c r="Z938" s="219"/>
      <c r="AA938" s="406"/>
      <c r="AB938" s="403"/>
      <c r="AC938" s="198"/>
      <c r="AD938" s="219"/>
      <c r="AE938" s="406"/>
      <c r="AF938" s="403"/>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6"/>
      <c r="T939" s="403"/>
      <c r="U939" s="198"/>
      <c r="V939" s="219"/>
      <c r="W939" s="406"/>
      <c r="X939" s="403"/>
      <c r="Y939" s="198"/>
      <c r="Z939" s="219"/>
      <c r="AA939" s="406"/>
      <c r="AB939" s="403"/>
      <c r="AC939" s="198"/>
      <c r="AD939" s="219"/>
      <c r="AE939" s="406"/>
      <c r="AF939" s="403"/>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6"/>
      <c r="T940" s="403"/>
      <c r="U940" s="198"/>
      <c r="V940" s="219"/>
      <c r="W940" s="406"/>
      <c r="X940" s="403"/>
      <c r="Y940" s="198"/>
      <c r="Z940" s="219"/>
      <c r="AA940" s="406"/>
      <c r="AB940" s="403"/>
      <c r="AC940" s="198"/>
      <c r="AD940" s="219"/>
      <c r="AE940" s="406"/>
      <c r="AF940" s="403"/>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6"/>
      <c r="T941" s="403"/>
      <c r="U941" s="198"/>
      <c r="V941" s="219"/>
      <c r="W941" s="406"/>
      <c r="X941" s="403"/>
      <c r="Y941" s="198"/>
      <c r="Z941" s="219"/>
      <c r="AA941" s="406"/>
      <c r="AB941" s="403"/>
      <c r="AC941" s="198"/>
      <c r="AD941" s="219"/>
      <c r="AE941" s="406"/>
      <c r="AF941" s="403"/>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6"/>
      <c r="T942" s="403"/>
      <c r="U942" s="198"/>
      <c r="V942" s="219"/>
      <c r="W942" s="406"/>
      <c r="X942" s="403"/>
      <c r="Y942" s="198"/>
      <c r="Z942" s="219"/>
      <c r="AA942" s="406"/>
      <c r="AB942" s="403"/>
      <c r="AC942" s="198"/>
      <c r="AD942" s="219"/>
      <c r="AE942" s="406"/>
      <c r="AF942" s="403"/>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6"/>
      <c r="T943" s="403"/>
      <c r="U943" s="198"/>
      <c r="V943" s="219"/>
      <c r="W943" s="406"/>
      <c r="X943" s="403"/>
      <c r="Y943" s="198"/>
      <c r="Z943" s="219"/>
      <c r="AA943" s="406"/>
      <c r="AB943" s="403"/>
      <c r="AC943" s="198"/>
      <c r="AD943" s="219"/>
      <c r="AE943" s="406"/>
      <c r="AF943" s="403"/>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6"/>
      <c r="T944" s="403"/>
      <c r="U944" s="198"/>
      <c r="V944" s="219"/>
      <c r="W944" s="406"/>
      <c r="X944" s="403"/>
      <c r="Y944" s="198"/>
      <c r="Z944" s="219"/>
      <c r="AA944" s="406"/>
      <c r="AB944" s="403"/>
      <c r="AC944" s="198"/>
      <c r="AD944" s="219"/>
      <c r="AE944" s="406"/>
      <c r="AF944" s="403"/>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6"/>
      <c r="T945" s="403"/>
      <c r="U945" s="198"/>
      <c r="V945" s="219"/>
      <c r="W945" s="406"/>
      <c r="X945" s="403"/>
      <c r="Y945" s="198"/>
      <c r="Z945" s="219"/>
      <c r="AA945" s="406"/>
      <c r="AB945" s="403"/>
      <c r="AC945" s="198"/>
      <c r="AD945" s="219"/>
      <c r="AE945" s="406"/>
      <c r="AF945" s="403"/>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6"/>
      <c r="T946" s="403"/>
      <c r="U946" s="198"/>
      <c r="V946" s="219"/>
      <c r="W946" s="406"/>
      <c r="X946" s="403"/>
      <c r="Y946" s="198"/>
      <c r="Z946" s="219"/>
      <c r="AA946" s="406"/>
      <c r="AB946" s="403"/>
      <c r="AC946" s="198"/>
      <c r="AD946" s="219"/>
      <c r="AE946" s="406"/>
      <c r="AF946" s="403"/>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6"/>
      <c r="T947" s="403"/>
      <c r="U947" s="198"/>
      <c r="V947" s="219"/>
      <c r="W947" s="406"/>
      <c r="X947" s="403"/>
      <c r="Y947" s="198"/>
      <c r="Z947" s="219"/>
      <c r="AA947" s="406"/>
      <c r="AB947" s="403"/>
      <c r="AC947" s="198"/>
      <c r="AD947" s="219"/>
      <c r="AE947" s="406"/>
      <c r="AF947" s="403"/>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6"/>
      <c r="T948" s="403"/>
      <c r="U948" s="198"/>
      <c r="V948" s="219"/>
      <c r="W948" s="406"/>
      <c r="X948" s="403"/>
      <c r="Y948" s="198"/>
      <c r="Z948" s="219"/>
      <c r="AA948" s="406"/>
      <c r="AB948" s="403"/>
      <c r="AC948" s="198"/>
      <c r="AD948" s="219"/>
      <c r="AE948" s="406"/>
      <c r="AF948" s="403"/>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6"/>
      <c r="T949" s="403"/>
      <c r="U949" s="198"/>
      <c r="V949" s="219"/>
      <c r="W949" s="406"/>
      <c r="X949" s="403"/>
      <c r="Y949" s="198"/>
      <c r="Z949" s="219"/>
      <c r="AA949" s="406"/>
      <c r="AB949" s="403"/>
      <c r="AC949" s="198"/>
      <c r="AD949" s="219"/>
      <c r="AE949" s="406"/>
      <c r="AF949" s="403"/>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6"/>
      <c r="T950" s="403"/>
      <c r="U950" s="198"/>
      <c r="V950" s="219"/>
      <c r="W950" s="406"/>
      <c r="X950" s="403"/>
      <c r="Y950" s="198"/>
      <c r="Z950" s="219"/>
      <c r="AA950" s="406"/>
      <c r="AB950" s="403"/>
      <c r="AC950" s="198"/>
      <c r="AD950" s="219"/>
      <c r="AE950" s="406"/>
      <c r="AF950" s="403"/>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6"/>
      <c r="T951" s="403"/>
      <c r="U951" s="198"/>
      <c r="V951" s="219"/>
      <c r="W951" s="406"/>
      <c r="X951" s="403"/>
      <c r="Y951" s="198"/>
      <c r="Z951" s="219"/>
      <c r="AA951" s="406"/>
      <c r="AB951" s="403"/>
      <c r="AC951" s="198"/>
      <c r="AD951" s="219"/>
      <c r="AE951" s="406"/>
      <c r="AF951" s="403"/>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6"/>
      <c r="T952" s="403"/>
      <c r="U952" s="198"/>
      <c r="V952" s="219"/>
      <c r="W952" s="406"/>
      <c r="X952" s="403"/>
      <c r="Y952" s="198"/>
      <c r="Z952" s="219"/>
      <c r="AA952" s="406"/>
      <c r="AB952" s="403"/>
      <c r="AC952" s="198"/>
      <c r="AD952" s="219"/>
      <c r="AE952" s="406"/>
      <c r="AF952" s="403"/>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6"/>
      <c r="T953" s="403"/>
      <c r="U953" s="198"/>
      <c r="V953" s="219"/>
      <c r="W953" s="406"/>
      <c r="X953" s="403"/>
      <c r="Y953" s="198"/>
      <c r="Z953" s="219"/>
      <c r="AA953" s="406"/>
      <c r="AB953" s="403"/>
      <c r="AC953" s="198"/>
      <c r="AD953" s="219"/>
      <c r="AE953" s="406"/>
      <c r="AF953" s="403"/>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6"/>
      <c r="T954" s="403"/>
      <c r="U954" s="198"/>
      <c r="V954" s="219"/>
      <c r="W954" s="406"/>
      <c r="X954" s="403"/>
      <c r="Y954" s="198"/>
      <c r="Z954" s="219"/>
      <c r="AA954" s="406"/>
      <c r="AB954" s="403"/>
      <c r="AC954" s="198"/>
      <c r="AD954" s="219"/>
      <c r="AE954" s="406"/>
      <c r="AF954" s="403"/>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6"/>
      <c r="T955" s="403"/>
      <c r="U955" s="198"/>
      <c r="V955" s="219"/>
      <c r="W955" s="406"/>
      <c r="X955" s="403"/>
      <c r="Y955" s="198"/>
      <c r="Z955" s="219"/>
      <c r="AA955" s="406"/>
      <c r="AB955" s="403"/>
      <c r="AC955" s="198"/>
      <c r="AD955" s="219"/>
      <c r="AE955" s="406"/>
      <c r="AF955" s="403"/>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6"/>
      <c r="T956" s="403"/>
      <c r="U956" s="198"/>
      <c r="V956" s="219"/>
      <c r="W956" s="406"/>
      <c r="X956" s="403"/>
      <c r="Y956" s="198"/>
      <c r="Z956" s="219"/>
      <c r="AA956" s="406"/>
      <c r="AB956" s="403"/>
      <c r="AC956" s="198"/>
      <c r="AD956" s="219"/>
      <c r="AE956" s="406"/>
      <c r="AF956" s="403"/>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6"/>
      <c r="T957" s="403"/>
      <c r="U957" s="198"/>
      <c r="V957" s="219"/>
      <c r="W957" s="406"/>
      <c r="X957" s="403"/>
      <c r="Y957" s="198"/>
      <c r="Z957" s="219"/>
      <c r="AA957" s="406"/>
      <c r="AB957" s="403"/>
      <c r="AC957" s="198"/>
      <c r="AD957" s="219"/>
      <c r="AE957" s="406"/>
      <c r="AF957" s="403"/>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6"/>
      <c r="T958" s="403"/>
      <c r="U958" s="198"/>
      <c r="V958" s="219"/>
      <c r="W958" s="406"/>
      <c r="X958" s="403"/>
      <c r="Y958" s="198"/>
      <c r="Z958" s="219"/>
      <c r="AA958" s="406"/>
      <c r="AB958" s="403"/>
      <c r="AC958" s="198"/>
      <c r="AD958" s="219"/>
      <c r="AE958" s="406"/>
      <c r="AF958" s="403"/>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6"/>
      <c r="T959" s="403"/>
      <c r="U959" s="198"/>
      <c r="V959" s="219"/>
      <c r="W959" s="406"/>
      <c r="X959" s="403"/>
      <c r="Y959" s="198"/>
      <c r="Z959" s="219"/>
      <c r="AA959" s="406"/>
      <c r="AB959" s="403"/>
      <c r="AC959" s="198"/>
      <c r="AD959" s="219"/>
      <c r="AE959" s="406"/>
      <c r="AF959" s="403"/>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6"/>
      <c r="T960" s="403"/>
      <c r="U960" s="198"/>
      <c r="V960" s="219"/>
      <c r="W960" s="406"/>
      <c r="X960" s="403"/>
      <c r="Y960" s="198"/>
      <c r="Z960" s="219"/>
      <c r="AA960" s="406"/>
      <c r="AB960" s="403"/>
      <c r="AC960" s="198"/>
      <c r="AD960" s="219"/>
      <c r="AE960" s="406"/>
      <c r="AF960" s="403"/>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6"/>
      <c r="T961" s="403"/>
      <c r="U961" s="198"/>
      <c r="V961" s="219"/>
      <c r="W961" s="406"/>
      <c r="X961" s="403"/>
      <c r="Y961" s="198"/>
      <c r="Z961" s="219"/>
      <c r="AA961" s="406"/>
      <c r="AB961" s="403"/>
      <c r="AC961" s="198"/>
      <c r="AD961" s="219"/>
      <c r="AE961" s="406"/>
      <c r="AF961" s="403"/>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6"/>
      <c r="T962" s="403"/>
      <c r="U962" s="198"/>
      <c r="V962" s="219"/>
      <c r="W962" s="406"/>
      <c r="X962" s="403"/>
      <c r="Y962" s="198"/>
      <c r="Z962" s="219"/>
      <c r="AA962" s="406"/>
      <c r="AB962" s="403"/>
      <c r="AC962" s="198"/>
      <c r="AD962" s="219"/>
      <c r="AE962" s="406"/>
      <c r="AF962" s="403"/>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6"/>
      <c r="T963" s="403"/>
      <c r="U963" s="198"/>
      <c r="V963" s="219"/>
      <c r="W963" s="406"/>
      <c r="X963" s="403"/>
      <c r="Y963" s="198"/>
      <c r="Z963" s="219"/>
      <c r="AA963" s="406"/>
      <c r="AB963" s="403"/>
      <c r="AC963" s="198"/>
      <c r="AD963" s="219"/>
      <c r="AE963" s="406"/>
      <c r="AF963" s="403"/>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6"/>
      <c r="T964" s="403"/>
      <c r="U964" s="198"/>
      <c r="V964" s="219"/>
      <c r="W964" s="406"/>
      <c r="X964" s="403"/>
      <c r="Y964" s="198"/>
      <c r="Z964" s="219"/>
      <c r="AA964" s="406"/>
      <c r="AB964" s="403"/>
      <c r="AC964" s="198"/>
      <c r="AD964" s="219"/>
      <c r="AE964" s="406"/>
      <c r="AF964" s="403"/>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6"/>
      <c r="T965" s="403"/>
      <c r="U965" s="198"/>
      <c r="V965" s="219"/>
      <c r="W965" s="406"/>
      <c r="X965" s="403"/>
      <c r="Y965" s="198"/>
      <c r="Z965" s="219"/>
      <c r="AA965" s="406"/>
      <c r="AB965" s="403"/>
      <c r="AC965" s="198"/>
      <c r="AD965" s="219"/>
      <c r="AE965" s="406"/>
      <c r="AF965" s="403"/>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6"/>
      <c r="T966" s="403"/>
      <c r="U966" s="198"/>
      <c r="V966" s="219"/>
      <c r="W966" s="406"/>
      <c r="X966" s="403"/>
      <c r="Y966" s="198"/>
      <c r="Z966" s="219"/>
      <c r="AA966" s="406"/>
      <c r="AB966" s="403"/>
      <c r="AC966" s="198"/>
      <c r="AD966" s="219"/>
      <c r="AE966" s="406"/>
      <c r="AF966" s="403"/>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6"/>
      <c r="T967" s="403"/>
      <c r="U967" s="198"/>
      <c r="V967" s="219"/>
      <c r="W967" s="406"/>
      <c r="X967" s="403"/>
      <c r="Y967" s="198"/>
      <c r="Z967" s="219"/>
      <c r="AA967" s="406"/>
      <c r="AB967" s="403"/>
      <c r="AC967" s="198"/>
      <c r="AD967" s="219"/>
      <c r="AE967" s="406"/>
      <c r="AF967" s="403"/>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6"/>
      <c r="T968" s="403"/>
      <c r="U968" s="198"/>
      <c r="V968" s="219"/>
      <c r="W968" s="406"/>
      <c r="X968" s="403"/>
      <c r="Y968" s="198"/>
      <c r="Z968" s="219"/>
      <c r="AA968" s="406"/>
      <c r="AB968" s="403"/>
      <c r="AC968" s="198"/>
      <c r="AD968" s="219"/>
      <c r="AE968" s="406"/>
      <c r="AF968" s="403"/>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6"/>
      <c r="T969" s="403"/>
      <c r="U969" s="198"/>
      <c r="V969" s="219"/>
      <c r="W969" s="406"/>
      <c r="X969" s="403"/>
      <c r="Y969" s="198"/>
      <c r="Z969" s="219"/>
      <c r="AA969" s="406"/>
      <c r="AB969" s="403"/>
      <c r="AC969" s="198"/>
      <c r="AD969" s="219"/>
      <c r="AE969" s="406"/>
      <c r="AF969" s="403"/>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6"/>
      <c r="T970" s="403"/>
      <c r="U970" s="198"/>
      <c r="V970" s="219"/>
      <c r="W970" s="406"/>
      <c r="X970" s="403"/>
      <c r="Y970" s="198"/>
      <c r="Z970" s="219"/>
      <c r="AA970" s="406"/>
      <c r="AB970" s="403"/>
      <c r="AC970" s="198"/>
      <c r="AD970" s="219"/>
      <c r="AE970" s="406"/>
      <c r="AF970" s="403"/>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6"/>
      <c r="T971" s="403"/>
      <c r="U971" s="198"/>
      <c r="V971" s="219"/>
      <c r="W971" s="406"/>
      <c r="X971" s="403"/>
      <c r="Y971" s="198"/>
      <c r="Z971" s="219"/>
      <c r="AA971" s="406"/>
      <c r="AB971" s="403"/>
      <c r="AC971" s="198"/>
      <c r="AD971" s="219"/>
      <c r="AE971" s="406"/>
      <c r="AF971" s="403"/>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6"/>
      <c r="T972" s="403"/>
      <c r="U972" s="198"/>
      <c r="V972" s="219"/>
      <c r="W972" s="406"/>
      <c r="X972" s="403"/>
      <c r="Y972" s="198"/>
      <c r="Z972" s="219"/>
      <c r="AA972" s="406"/>
      <c r="AB972" s="403"/>
      <c r="AC972" s="198"/>
      <c r="AD972" s="219"/>
      <c r="AE972" s="406"/>
      <c r="AF972" s="403"/>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6"/>
      <c r="T973" s="403"/>
      <c r="U973" s="198"/>
      <c r="V973" s="219"/>
      <c r="W973" s="406"/>
      <c r="X973" s="403"/>
      <c r="Y973" s="198"/>
      <c r="Z973" s="219"/>
      <c r="AA973" s="406"/>
      <c r="AB973" s="403"/>
      <c r="AC973" s="198"/>
      <c r="AD973" s="219"/>
      <c r="AE973" s="406"/>
      <c r="AF973" s="403"/>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6"/>
      <c r="T974" s="403"/>
      <c r="U974" s="198"/>
      <c r="V974" s="219"/>
      <c r="W974" s="406"/>
      <c r="X974" s="403"/>
      <c r="Y974" s="198"/>
      <c r="Z974" s="219"/>
      <c r="AA974" s="406"/>
      <c r="AB974" s="403"/>
      <c r="AC974" s="198"/>
      <c r="AD974" s="219"/>
      <c r="AE974" s="406"/>
      <c r="AF974" s="403"/>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6"/>
      <c r="T975" s="403"/>
      <c r="U975" s="198"/>
      <c r="V975" s="219"/>
      <c r="W975" s="406"/>
      <c r="X975" s="403"/>
      <c r="Y975" s="198"/>
      <c r="Z975" s="219"/>
      <c r="AA975" s="406"/>
      <c r="AB975" s="403"/>
      <c r="AC975" s="198"/>
      <c r="AD975" s="219"/>
      <c r="AE975" s="406"/>
      <c r="AF975" s="403"/>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6"/>
      <c r="T976" s="403"/>
      <c r="U976" s="198"/>
      <c r="V976" s="219"/>
      <c r="W976" s="406"/>
      <c r="X976" s="403"/>
      <c r="Y976" s="198"/>
      <c r="Z976" s="219"/>
      <c r="AA976" s="406"/>
      <c r="AB976" s="403"/>
      <c r="AC976" s="198"/>
      <c r="AD976" s="219"/>
      <c r="AE976" s="406"/>
      <c r="AF976" s="403"/>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6"/>
      <c r="T977" s="403"/>
      <c r="U977" s="198"/>
      <c r="V977" s="219"/>
      <c r="W977" s="406"/>
      <c r="X977" s="403"/>
      <c r="Y977" s="198"/>
      <c r="Z977" s="219"/>
      <c r="AA977" s="406"/>
      <c r="AB977" s="403"/>
      <c r="AC977" s="198"/>
      <c r="AD977" s="219"/>
      <c r="AE977" s="406"/>
      <c r="AF977" s="403"/>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6"/>
      <c r="T978" s="403"/>
      <c r="U978" s="198"/>
      <c r="V978" s="219"/>
      <c r="W978" s="406"/>
      <c r="X978" s="403"/>
      <c r="Y978" s="198"/>
      <c r="Z978" s="219"/>
      <c r="AA978" s="406"/>
      <c r="AB978" s="403"/>
      <c r="AC978" s="198"/>
      <c r="AD978" s="219"/>
      <c r="AE978" s="406"/>
      <c r="AF978" s="403"/>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6"/>
      <c r="T979" s="403"/>
      <c r="U979" s="198"/>
      <c r="V979" s="219"/>
      <c r="W979" s="406"/>
      <c r="X979" s="403"/>
      <c r="Y979" s="198"/>
      <c r="Z979" s="219"/>
      <c r="AA979" s="406"/>
      <c r="AB979" s="403"/>
      <c r="AC979" s="198"/>
      <c r="AD979" s="219"/>
      <c r="AE979" s="406"/>
      <c r="AF979" s="403"/>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6"/>
      <c r="T980" s="403"/>
      <c r="U980" s="198"/>
      <c r="V980" s="219"/>
      <c r="W980" s="406"/>
      <c r="X980" s="403"/>
      <c r="Y980" s="198"/>
      <c r="Z980" s="219"/>
      <c r="AA980" s="406"/>
      <c r="AB980" s="403"/>
      <c r="AC980" s="198"/>
      <c r="AD980" s="219"/>
      <c r="AE980" s="406"/>
      <c r="AF980" s="403"/>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6"/>
      <c r="T981" s="403"/>
      <c r="U981" s="198"/>
      <c r="V981" s="219"/>
      <c r="W981" s="406"/>
      <c r="X981" s="403"/>
      <c r="Y981" s="198"/>
      <c r="Z981" s="219"/>
      <c r="AA981" s="406"/>
      <c r="AB981" s="403"/>
      <c r="AC981" s="198"/>
      <c r="AD981" s="219"/>
      <c r="AE981" s="406"/>
      <c r="AF981" s="403"/>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6"/>
      <c r="T982" s="403"/>
      <c r="U982" s="198"/>
      <c r="V982" s="219"/>
      <c r="W982" s="406"/>
      <c r="X982" s="403"/>
      <c r="Y982" s="198"/>
      <c r="Z982" s="219"/>
      <c r="AA982" s="406"/>
      <c r="AB982" s="403"/>
      <c r="AC982" s="198"/>
      <c r="AD982" s="219"/>
      <c r="AE982" s="406"/>
      <c r="AF982" s="403"/>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6"/>
      <c r="T983" s="403"/>
      <c r="U983" s="198"/>
      <c r="V983" s="219"/>
      <c r="W983" s="406"/>
      <c r="X983" s="403"/>
      <c r="Y983" s="198"/>
      <c r="Z983" s="219"/>
      <c r="AA983" s="406"/>
      <c r="AB983" s="403"/>
      <c r="AC983" s="198"/>
      <c r="AD983" s="219"/>
      <c r="AE983" s="406"/>
      <c r="AF983" s="403"/>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6"/>
      <c r="T984" s="403"/>
      <c r="U984" s="198"/>
      <c r="V984" s="219"/>
      <c r="W984" s="406"/>
      <c r="X984" s="403"/>
      <c r="Y984" s="198"/>
      <c r="Z984" s="219"/>
      <c r="AA984" s="406"/>
      <c r="AB984" s="403"/>
      <c r="AC984" s="198"/>
      <c r="AD984" s="219"/>
      <c r="AE984" s="406"/>
      <c r="AF984" s="403"/>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6"/>
      <c r="T985" s="403"/>
      <c r="U985" s="198"/>
      <c r="V985" s="219"/>
      <c r="W985" s="406"/>
      <c r="X985" s="403"/>
      <c r="Y985" s="198"/>
      <c r="Z985" s="219"/>
      <c r="AA985" s="406"/>
      <c r="AB985" s="403"/>
      <c r="AC985" s="198"/>
      <c r="AD985" s="219"/>
      <c r="AE985" s="406"/>
      <c r="AF985" s="403"/>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6"/>
      <c r="T986" s="403"/>
      <c r="U986" s="198"/>
      <c r="V986" s="219"/>
      <c r="W986" s="406"/>
      <c r="X986" s="403"/>
      <c r="Y986" s="198"/>
      <c r="Z986" s="219"/>
      <c r="AA986" s="406"/>
      <c r="AB986" s="403"/>
      <c r="AC986" s="198"/>
      <c r="AD986" s="219"/>
      <c r="AE986" s="406"/>
      <c r="AF986" s="403"/>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6"/>
      <c r="T987" s="403"/>
      <c r="U987" s="198"/>
      <c r="V987" s="219"/>
      <c r="W987" s="406"/>
      <c r="X987" s="403"/>
      <c r="Y987" s="198"/>
      <c r="Z987" s="219"/>
      <c r="AA987" s="406"/>
      <c r="AB987" s="403"/>
      <c r="AC987" s="198"/>
      <c r="AD987" s="219"/>
      <c r="AE987" s="406"/>
      <c r="AF987" s="403"/>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6"/>
      <c r="T988" s="403"/>
      <c r="U988" s="198"/>
      <c r="V988" s="219"/>
      <c r="W988" s="406"/>
      <c r="X988" s="403"/>
      <c r="Y988" s="198"/>
      <c r="Z988" s="219"/>
      <c r="AA988" s="406"/>
      <c r="AB988" s="403"/>
      <c r="AC988" s="198"/>
      <c r="AD988" s="219"/>
      <c r="AE988" s="406"/>
      <c r="AF988" s="403"/>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6"/>
      <c r="T989" s="403"/>
      <c r="U989" s="198"/>
      <c r="V989" s="219"/>
      <c r="W989" s="406"/>
      <c r="X989" s="403"/>
      <c r="Y989" s="198"/>
      <c r="Z989" s="219"/>
      <c r="AA989" s="406"/>
      <c r="AB989" s="403"/>
      <c r="AC989" s="198"/>
      <c r="AD989" s="219"/>
      <c r="AE989" s="406"/>
      <c r="AF989" s="403"/>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6"/>
      <c r="T990" s="403"/>
      <c r="U990" s="198"/>
      <c r="V990" s="219"/>
      <c r="W990" s="406"/>
      <c r="X990" s="403"/>
      <c r="Y990" s="198"/>
      <c r="Z990" s="219"/>
      <c r="AA990" s="406"/>
      <c r="AB990" s="403"/>
      <c r="AC990" s="198"/>
      <c r="AD990" s="219"/>
      <c r="AE990" s="406"/>
      <c r="AF990" s="403"/>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6"/>
      <c r="T991" s="403"/>
      <c r="U991" s="198"/>
      <c r="V991" s="219"/>
      <c r="W991" s="406"/>
      <c r="X991" s="403"/>
      <c r="Y991" s="198"/>
      <c r="Z991" s="219"/>
      <c r="AA991" s="406"/>
      <c r="AB991" s="403"/>
      <c r="AC991" s="198"/>
      <c r="AD991" s="219"/>
      <c r="AE991" s="406"/>
      <c r="AF991" s="403"/>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6"/>
      <c r="T992" s="403"/>
      <c r="U992" s="198"/>
      <c r="V992" s="219"/>
      <c r="W992" s="406"/>
      <c r="X992" s="403"/>
      <c r="Y992" s="198"/>
      <c r="Z992" s="219"/>
      <c r="AA992" s="406"/>
      <c r="AB992" s="403"/>
      <c r="AC992" s="198"/>
      <c r="AD992" s="219"/>
      <c r="AE992" s="406"/>
      <c r="AF992" s="403"/>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6"/>
      <c r="T993" s="403"/>
      <c r="U993" s="198"/>
      <c r="V993" s="219"/>
      <c r="W993" s="406"/>
      <c r="X993" s="403"/>
      <c r="Y993" s="198"/>
      <c r="Z993" s="219"/>
      <c r="AA993" s="406"/>
      <c r="AB993" s="403"/>
      <c r="AC993" s="198"/>
      <c r="AD993" s="219"/>
      <c r="AE993" s="406"/>
      <c r="AF993" s="403"/>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6"/>
      <c r="T994" s="403"/>
      <c r="U994" s="198"/>
      <c r="V994" s="219"/>
      <c r="W994" s="406"/>
      <c r="X994" s="403"/>
      <c r="Y994" s="198"/>
      <c r="Z994" s="219"/>
      <c r="AA994" s="406"/>
      <c r="AB994" s="403"/>
      <c r="AC994" s="198"/>
      <c r="AD994" s="219"/>
      <c r="AE994" s="406"/>
      <c r="AF994" s="403"/>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6"/>
      <c r="T995" s="403"/>
      <c r="U995" s="198"/>
      <c r="V995" s="219"/>
      <c r="W995" s="406"/>
      <c r="X995" s="403"/>
      <c r="Y995" s="198"/>
      <c r="Z995" s="219"/>
      <c r="AA995" s="406"/>
      <c r="AB995" s="403"/>
      <c r="AC995" s="198"/>
      <c r="AD995" s="219"/>
      <c r="AE995" s="406"/>
      <c r="AF995" s="403"/>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6"/>
      <c r="T996" s="403"/>
      <c r="U996" s="198"/>
      <c r="V996" s="219"/>
      <c r="W996" s="406"/>
      <c r="X996" s="403"/>
      <c r="Y996" s="198"/>
      <c r="Z996" s="219"/>
      <c r="AA996" s="406"/>
      <c r="AB996" s="403"/>
      <c r="AC996" s="198"/>
      <c r="AD996" s="219"/>
      <c r="AE996" s="406"/>
      <c r="AF996" s="403"/>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6"/>
      <c r="T997" s="403"/>
      <c r="U997" s="198"/>
      <c r="V997" s="219"/>
      <c r="W997" s="406"/>
      <c r="X997" s="403"/>
      <c r="Y997" s="198"/>
      <c r="Z997" s="219"/>
      <c r="AA997" s="406"/>
      <c r="AB997" s="403"/>
      <c r="AC997" s="198"/>
      <c r="AD997" s="219"/>
      <c r="AE997" s="406"/>
      <c r="AF997" s="403"/>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6"/>
      <c r="T998" s="403"/>
      <c r="U998" s="198"/>
      <c r="V998" s="219"/>
      <c r="W998" s="406"/>
      <c r="X998" s="403"/>
      <c r="Y998" s="198"/>
      <c r="Z998" s="219"/>
      <c r="AA998" s="406"/>
      <c r="AB998" s="403"/>
      <c r="AC998" s="198"/>
      <c r="AD998" s="219"/>
      <c r="AE998" s="406"/>
      <c r="AF998" s="403"/>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6"/>
      <c r="T999" s="403"/>
      <c r="U999" s="198"/>
      <c r="V999" s="219"/>
      <c r="W999" s="406"/>
      <c r="X999" s="403"/>
      <c r="Y999" s="198"/>
      <c r="Z999" s="219"/>
      <c r="AA999" s="406"/>
      <c r="AB999" s="403"/>
      <c r="AC999" s="198"/>
      <c r="AD999" s="219"/>
      <c r="AE999" s="406"/>
      <c r="AF999" s="403"/>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6"/>
      <c r="T1000" s="403"/>
      <c r="U1000" s="198"/>
      <c r="V1000" s="219"/>
      <c r="W1000" s="406"/>
      <c r="X1000" s="403"/>
      <c r="Y1000" s="198"/>
      <c r="Z1000" s="219"/>
      <c r="AA1000" s="406"/>
      <c r="AB1000" s="403"/>
      <c r="AC1000" s="198"/>
      <c r="AD1000" s="219"/>
      <c r="AE1000" s="406"/>
      <c r="AF1000" s="403"/>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6"/>
      <c r="T1001" s="403"/>
      <c r="U1001" s="198"/>
      <c r="V1001" s="219"/>
      <c r="W1001" s="406"/>
      <c r="X1001" s="403"/>
      <c r="Y1001" s="198"/>
      <c r="Z1001" s="219"/>
      <c r="AA1001" s="406"/>
      <c r="AB1001" s="403"/>
      <c r="AC1001" s="198"/>
      <c r="AD1001" s="219"/>
      <c r="AE1001" s="406"/>
      <c r="AF1001" s="403"/>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6"/>
      <c r="T1002" s="403"/>
      <c r="U1002" s="198"/>
      <c r="V1002" s="219"/>
      <c r="W1002" s="406"/>
      <c r="X1002" s="403"/>
      <c r="Y1002" s="198"/>
      <c r="Z1002" s="219"/>
      <c r="AA1002" s="406"/>
      <c r="AB1002" s="403"/>
      <c r="AC1002" s="198"/>
      <c r="AD1002" s="219"/>
      <c r="AE1002" s="406"/>
      <c r="AF1002" s="403"/>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6"/>
      <c r="T1003" s="403"/>
      <c r="U1003" s="198"/>
      <c r="V1003" s="219"/>
      <c r="W1003" s="406"/>
      <c r="X1003" s="403"/>
      <c r="Y1003" s="198"/>
      <c r="Z1003" s="219"/>
      <c r="AA1003" s="406"/>
      <c r="AB1003" s="403"/>
      <c r="AC1003" s="198"/>
      <c r="AD1003" s="219"/>
      <c r="AE1003" s="406"/>
      <c r="AF1003" s="403"/>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6"/>
      <c r="T1004" s="403"/>
      <c r="U1004" s="198"/>
      <c r="V1004" s="219"/>
      <c r="W1004" s="406"/>
      <c r="X1004" s="403"/>
      <c r="Y1004" s="198"/>
      <c r="Z1004" s="219"/>
      <c r="AA1004" s="406"/>
      <c r="AB1004" s="403"/>
      <c r="AC1004" s="198"/>
      <c r="AD1004" s="219"/>
      <c r="AE1004" s="406"/>
      <c r="AF1004" s="403"/>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6"/>
      <c r="T1005" s="403"/>
      <c r="U1005" s="198"/>
      <c r="V1005" s="219"/>
      <c r="W1005" s="406"/>
      <c r="X1005" s="403"/>
      <c r="Y1005" s="198"/>
      <c r="Z1005" s="219"/>
      <c r="AA1005" s="406"/>
      <c r="AB1005" s="403"/>
      <c r="AC1005" s="198"/>
      <c r="AD1005" s="219"/>
      <c r="AE1005" s="406"/>
      <c r="AF1005" s="403"/>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6"/>
      <c r="T1006" s="403"/>
      <c r="U1006" s="198"/>
      <c r="V1006" s="219"/>
      <c r="W1006" s="406"/>
      <c r="X1006" s="403"/>
      <c r="Y1006" s="198"/>
      <c r="Z1006" s="219"/>
      <c r="AA1006" s="406"/>
      <c r="AB1006" s="403"/>
      <c r="AC1006" s="198"/>
      <c r="AD1006" s="219"/>
      <c r="AE1006" s="406"/>
      <c r="AF1006" s="403"/>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6"/>
      <c r="T1007" s="403"/>
      <c r="U1007" s="198"/>
      <c r="V1007" s="219"/>
      <c r="W1007" s="406"/>
      <c r="X1007" s="403"/>
      <c r="Y1007" s="198"/>
      <c r="Z1007" s="219"/>
      <c r="AA1007" s="406"/>
      <c r="AB1007" s="403"/>
      <c r="AC1007" s="198"/>
      <c r="AD1007" s="219"/>
      <c r="AE1007" s="406"/>
      <c r="AF1007" s="403"/>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6"/>
      <c r="T1008" s="403"/>
      <c r="U1008" s="198"/>
      <c r="V1008" s="219"/>
      <c r="W1008" s="406"/>
      <c r="X1008" s="403"/>
      <c r="Y1008" s="198"/>
      <c r="Z1008" s="219"/>
      <c r="AA1008" s="406"/>
      <c r="AB1008" s="403"/>
      <c r="AC1008" s="198"/>
      <c r="AD1008" s="219"/>
      <c r="AE1008" s="406"/>
      <c r="AF1008" s="403"/>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6"/>
      <c r="T1009" s="403"/>
      <c r="U1009" s="198"/>
      <c r="V1009" s="219"/>
      <c r="W1009" s="406"/>
      <c r="X1009" s="403"/>
      <c r="Y1009" s="198"/>
      <c r="Z1009" s="219"/>
      <c r="AA1009" s="406"/>
      <c r="AB1009" s="403"/>
      <c r="AC1009" s="198"/>
      <c r="AD1009" s="219"/>
      <c r="AE1009" s="406"/>
      <c r="AF1009" s="403"/>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6"/>
      <c r="T1010" s="403"/>
      <c r="U1010" s="198"/>
      <c r="V1010" s="219"/>
      <c r="W1010" s="406"/>
      <c r="X1010" s="403"/>
      <c r="Y1010" s="198"/>
      <c r="Z1010" s="219"/>
      <c r="AA1010" s="406"/>
      <c r="AB1010" s="403"/>
      <c r="AC1010" s="198"/>
      <c r="AD1010" s="219"/>
      <c r="AE1010" s="406"/>
      <c r="AF1010" s="403"/>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6"/>
      <c r="T1011" s="403"/>
      <c r="U1011" s="198"/>
      <c r="V1011" s="219"/>
      <c r="W1011" s="406"/>
      <c r="X1011" s="403"/>
      <c r="Y1011" s="198"/>
      <c r="Z1011" s="219"/>
      <c r="AA1011" s="406"/>
      <c r="AB1011" s="403"/>
      <c r="AC1011" s="198"/>
      <c r="AD1011" s="219"/>
      <c r="AE1011" s="406"/>
      <c r="AF1011" s="403"/>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6"/>
      <c r="T1012" s="403"/>
      <c r="U1012" s="198"/>
      <c r="V1012" s="219"/>
      <c r="W1012" s="406"/>
      <c r="X1012" s="403"/>
      <c r="Y1012" s="198"/>
      <c r="Z1012" s="219"/>
      <c r="AA1012" s="406"/>
      <c r="AB1012" s="403"/>
      <c r="AC1012" s="198"/>
      <c r="AD1012" s="219"/>
      <c r="AE1012" s="406"/>
      <c r="AF1012" s="403"/>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6"/>
      <c r="T1013" s="403"/>
      <c r="U1013" s="198"/>
      <c r="V1013" s="219"/>
      <c r="W1013" s="406"/>
      <c r="X1013" s="403"/>
      <c r="Y1013" s="198"/>
      <c r="Z1013" s="219"/>
      <c r="AA1013" s="406"/>
      <c r="AB1013" s="403"/>
      <c r="AC1013" s="198"/>
      <c r="AD1013" s="219"/>
      <c r="AE1013" s="406"/>
      <c r="AF1013" s="403"/>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6"/>
      <c r="T1014" s="403"/>
      <c r="U1014" s="198"/>
      <c r="V1014" s="219"/>
      <c r="W1014" s="406"/>
      <c r="X1014" s="403"/>
      <c r="Y1014" s="198"/>
      <c r="Z1014" s="219"/>
      <c r="AA1014" s="406"/>
      <c r="AB1014" s="403"/>
      <c r="AC1014" s="198"/>
      <c r="AD1014" s="219"/>
      <c r="AE1014" s="406"/>
      <c r="AF1014" s="403"/>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6"/>
      <c r="T1015" s="403"/>
      <c r="U1015" s="198"/>
      <c r="V1015" s="219"/>
      <c r="W1015" s="406"/>
      <c r="X1015" s="403"/>
      <c r="Y1015" s="198"/>
      <c r="Z1015" s="219"/>
      <c r="AA1015" s="406"/>
      <c r="AB1015" s="403"/>
      <c r="AC1015" s="198"/>
      <c r="AD1015" s="219"/>
      <c r="AE1015" s="406"/>
      <c r="AF1015" s="403"/>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6"/>
      <c r="T1016" s="403"/>
      <c r="U1016" s="198"/>
      <c r="V1016" s="219"/>
      <c r="W1016" s="406"/>
      <c r="X1016" s="403"/>
      <c r="Y1016" s="198"/>
      <c r="Z1016" s="219"/>
      <c r="AA1016" s="406"/>
      <c r="AB1016" s="403"/>
      <c r="AC1016" s="198"/>
      <c r="AD1016" s="219"/>
      <c r="AE1016" s="406"/>
      <c r="AF1016" s="403"/>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6"/>
      <c r="T1017" s="403"/>
      <c r="U1017" s="198"/>
      <c r="V1017" s="219"/>
      <c r="W1017" s="406"/>
      <c r="X1017" s="403"/>
      <c r="Y1017" s="198"/>
      <c r="Z1017" s="219"/>
      <c r="AA1017" s="406"/>
      <c r="AB1017" s="403"/>
      <c r="AC1017" s="198"/>
      <c r="AD1017" s="219"/>
      <c r="AE1017" s="406"/>
      <c r="AF1017" s="403"/>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6"/>
      <c r="T1018" s="403"/>
      <c r="U1018" s="198"/>
      <c r="V1018" s="219"/>
      <c r="W1018" s="406"/>
      <c r="X1018" s="403"/>
      <c r="Y1018" s="198"/>
      <c r="Z1018" s="219"/>
      <c r="AA1018" s="406"/>
      <c r="AB1018" s="403"/>
      <c r="AC1018" s="198"/>
      <c r="AD1018" s="219"/>
      <c r="AE1018" s="406"/>
      <c r="AF1018" s="403"/>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1" t="s">
        <v>7005</v>
      </c>
      <c r="B1" s="4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4"/>
      <c r="E1" s="123"/>
      <c r="F1" s="123"/>
      <c r="G1" s="123"/>
      <c r="H1" s="123"/>
      <c r="I1" s="123"/>
      <c r="J1" s="123"/>
      <c r="K1" s="123"/>
      <c r="L1" s="123"/>
      <c r="M1" s="123"/>
      <c r="N1" s="123"/>
      <c r="O1" s="123"/>
      <c r="P1" s="123"/>
      <c r="Q1" s="123"/>
      <c r="R1" s="123"/>
      <c r="S1" s="123"/>
      <c r="T1" s="123"/>
      <c r="U1" s="123"/>
      <c r="V1" s="123"/>
      <c r="W1" s="123"/>
      <c r="X1" s="123"/>
      <c r="Y1" s="123"/>
      <c r="Z1" s="123"/>
    </row>
    <row r="2">
      <c r="A2" s="415" t="s">
        <v>7006</v>
      </c>
      <c r="B2" s="30" t="str">
        <f>IFERROR(__xludf.DUMMYFUNCTION("GOOGLETRANSLATE(A2,""zh-tw"",""ja"")"),"公式Discordグループ:
https://discord.gg/2Bt7RWknyH")</f>
        <v>公式Discordグループ:
https://discord.gg/2Bt7RWknyH</v>
      </c>
      <c r="C2" s="416"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7" t="s">
        <v>7007</v>
      </c>
      <c r="B3" s="30" t="s">
        <v>7007</v>
      </c>
      <c r="C3" s="416" t="s">
        <v>7007</v>
      </c>
      <c r="E3" s="123"/>
      <c r="F3" s="123"/>
      <c r="G3" s="123"/>
      <c r="H3" s="123"/>
      <c r="I3" s="123"/>
      <c r="J3" s="123"/>
      <c r="K3" s="123"/>
      <c r="L3" s="123"/>
      <c r="M3" s="123"/>
      <c r="N3" s="123"/>
      <c r="O3" s="123"/>
      <c r="P3" s="123"/>
      <c r="Q3" s="123"/>
      <c r="R3" s="123"/>
      <c r="S3" s="123"/>
      <c r="T3" s="123"/>
      <c r="U3" s="123"/>
      <c r="V3" s="123"/>
      <c r="W3" s="123"/>
      <c r="X3" s="123"/>
      <c r="Y3" s="123"/>
      <c r="Z3" s="123"/>
    </row>
    <row r="4">
      <c r="A4" s="418"/>
      <c r="E4" s="123"/>
      <c r="F4" s="123"/>
      <c r="G4" s="123"/>
      <c r="H4" s="123"/>
      <c r="I4" s="123"/>
      <c r="J4" s="123"/>
      <c r="K4" s="123"/>
      <c r="L4" s="123"/>
      <c r="M4" s="123"/>
      <c r="N4" s="123"/>
      <c r="O4" s="123"/>
      <c r="P4" s="123"/>
      <c r="Q4" s="123"/>
      <c r="R4" s="123"/>
      <c r="S4" s="123"/>
      <c r="T4" s="123"/>
      <c r="U4" s="123"/>
      <c r="V4" s="123"/>
      <c r="W4" s="123"/>
      <c r="X4" s="123"/>
      <c r="Y4" s="123"/>
      <c r="Z4" s="123"/>
    </row>
    <row r="5">
      <c r="A5" s="415" t="s">
        <v>7008</v>
      </c>
      <c r="B5" s="30" t="str">
        <f>IFERROR(__xludf.DUMMYFUNCTION("GOOGLETRANSLATE(A5,""zh-tw"",""ja"")"),"公式YouTubeチャンネル")</f>
        <v>公式YouTubeチャンネル</v>
      </c>
      <c r="C5" s="416" t="str">
        <f>IFERROR(__xludf.DUMMYFUNCTION("GOOGLETRANSLATE(A5,""zh-tw"",""en"")"),"Official YouTube channel")</f>
        <v>Official YouTube channel</v>
      </c>
      <c r="D5" s="142" t="s">
        <v>7009</v>
      </c>
      <c r="E5" s="123"/>
      <c r="F5" s="123"/>
      <c r="G5" s="123"/>
      <c r="H5" s="123"/>
      <c r="I5" s="123"/>
      <c r="J5" s="123"/>
      <c r="K5" s="123"/>
      <c r="L5" s="123"/>
      <c r="M5" s="123"/>
      <c r="N5" s="123"/>
      <c r="O5" s="123"/>
      <c r="P5" s="123"/>
      <c r="Q5" s="123"/>
      <c r="R5" s="123"/>
      <c r="S5" s="123"/>
      <c r="T5" s="123"/>
      <c r="U5" s="123"/>
      <c r="V5" s="123"/>
      <c r="W5" s="123"/>
      <c r="X5" s="123"/>
      <c r="Y5" s="123"/>
      <c r="Z5" s="123"/>
    </row>
    <row r="6">
      <c r="A6" s="415" t="s">
        <v>7010</v>
      </c>
      <c r="B6" s="30" t="str">
        <f>IFERROR(__xludf.DUMMYFUNCTION("GOOGLETRANSLATE(A6,""zh-tw"",""ja"")"),"公式法案")</f>
        <v>公式法案</v>
      </c>
      <c r="C6" s="416" t="str">
        <f>IFERROR(__xludf.DUMMYFUNCTION("GOOGLETRANSLATE(A6,""zh-tw"",""en"")"),"Official bill")</f>
        <v>Official bill</v>
      </c>
      <c r="D6" s="142" t="s">
        <v>7009</v>
      </c>
      <c r="E6" s="123"/>
      <c r="F6" s="123"/>
      <c r="G6" s="123"/>
      <c r="H6" s="123"/>
      <c r="I6" s="123"/>
      <c r="J6" s="123"/>
      <c r="K6" s="123"/>
      <c r="L6" s="123"/>
      <c r="M6" s="123"/>
      <c r="N6" s="123"/>
      <c r="O6" s="123"/>
      <c r="P6" s="123"/>
      <c r="Q6" s="123"/>
      <c r="R6" s="123"/>
      <c r="S6" s="123"/>
      <c r="T6" s="123"/>
      <c r="U6" s="123"/>
      <c r="V6" s="123"/>
      <c r="W6" s="123"/>
      <c r="X6" s="123"/>
      <c r="Y6" s="123"/>
      <c r="Z6" s="123"/>
    </row>
    <row r="7">
      <c r="A7" s="415" t="s">
        <v>7011</v>
      </c>
      <c r="B7" s="30" t="str">
        <f>IFERROR(__xludf.DUMMYFUNCTION("GOOGLETRANSLATE(A7,""zh-tw"",""ja"")"),"片桐亜貴のYouTubeチャンネル
（妹の声優）")</f>
        <v>片桐亜貴のYouTubeチャンネル
（妹の声優）</v>
      </c>
      <c r="C7" s="416" t="str">
        <f>IFERROR(__xludf.DUMMYFUNCTION("GOOGLETRANSLATE(A7,""zh-tw"",""en"")"),"Aki Katagiri's YouTube channel
(Voice actress for her younger sister)")</f>
        <v>Aki Katagiri's YouTube channel
(Voice actress for her younger sister)</v>
      </c>
      <c r="D7" s="142" t="s">
        <v>7012</v>
      </c>
      <c r="E7" s="123"/>
      <c r="F7" s="123"/>
      <c r="G7" s="123"/>
      <c r="H7" s="123"/>
      <c r="I7" s="123"/>
      <c r="J7" s="123"/>
      <c r="K7" s="123"/>
      <c r="L7" s="123"/>
      <c r="M7" s="123"/>
      <c r="N7" s="123"/>
      <c r="O7" s="123"/>
      <c r="P7" s="123"/>
      <c r="Q7" s="123"/>
      <c r="R7" s="123"/>
      <c r="S7" s="123"/>
      <c r="T7" s="123"/>
      <c r="U7" s="123"/>
      <c r="V7" s="123"/>
      <c r="W7" s="123"/>
      <c r="X7" s="123"/>
      <c r="Y7" s="123"/>
      <c r="Z7" s="123"/>
    </row>
    <row r="8">
      <c r="A8" s="415" t="s">
        <v>7013</v>
      </c>
      <c r="B8" s="30" t="str">
        <f>IFERROR(__xludf.DUMMYFUNCTION("GOOGLETRANSLATE(A8,""zh-tw"",""ja"")"),"片桐亜紀（ビルビルチャンネル）
（妹役の声優）")</f>
        <v>片桐亜紀（ビルビルチャンネル）
（妹役の声優）</v>
      </c>
      <c r="C8" s="416" t="str">
        <f>IFERROR(__xludf.DUMMYFUNCTION("GOOGLETRANSLATE(A8,""zh-tw"",""en"")"),"Aki Katagiri (bilbill channel)
(Voice actress for the younger sister)")</f>
        <v>Aki Katagiri (bilbill channel)
(Voice actress for the younger sister)</v>
      </c>
      <c r="D8" s="142" t="s">
        <v>7012</v>
      </c>
      <c r="E8" s="123"/>
      <c r="F8" s="123"/>
      <c r="G8" s="123"/>
      <c r="H8" s="123"/>
      <c r="I8" s="123"/>
      <c r="J8" s="123"/>
      <c r="K8" s="123"/>
      <c r="L8" s="123"/>
      <c r="M8" s="123"/>
      <c r="N8" s="123"/>
      <c r="O8" s="123"/>
      <c r="P8" s="123"/>
      <c r="Q8" s="123"/>
      <c r="R8" s="123"/>
      <c r="S8" s="123"/>
      <c r="T8" s="123"/>
      <c r="U8" s="123"/>
      <c r="V8" s="123"/>
      <c r="W8" s="123"/>
      <c r="X8" s="123"/>
      <c r="Y8" s="123"/>
      <c r="Z8" s="123"/>
    </row>
    <row r="9">
      <c r="A9" s="415" t="s">
        <v>7014</v>
      </c>
      <c r="B9" s="30" t="str">
        <f>IFERROR(__xludf.DUMMYFUNCTION("GOOGLETRANSLATE(A9,""zh-tw"",""ja"")"),"ROROのYouTubeチャンネル（攻略ガイド作成チャンネル、現在準備中、登録大歓迎）")</f>
        <v>ROROのYouTubeチャンネル（攻略ガイド作成チャンネル、現在準備中、登録大歓迎）</v>
      </c>
      <c r="C9" s="416" t="str">
        <f>IFERROR(__xludf.DUMMYFUNCTION("GOOGLETRANSLATE(A9,""zh-tw"",""en"")"),"RORO's YouTube channel (Strategy guide creator channel, currently in preparation, welcome to subscribe)")</f>
        <v>RORO's YouTube channel (Strategy guide creator channel, currently in preparation, welcome to subscribe)</v>
      </c>
      <c r="D9" s="142" t="s">
        <v>7015</v>
      </c>
      <c r="E9" s="123"/>
      <c r="F9" s="123"/>
      <c r="G9" s="123"/>
      <c r="H9" s="123"/>
      <c r="I9" s="123"/>
      <c r="J9" s="123"/>
      <c r="K9" s="123"/>
      <c r="L9" s="123"/>
      <c r="M9" s="123"/>
      <c r="N9" s="123"/>
      <c r="O9" s="123"/>
      <c r="P9" s="123"/>
      <c r="Q9" s="123"/>
      <c r="R9" s="123"/>
      <c r="S9" s="123"/>
      <c r="T9" s="123"/>
      <c r="U9" s="123"/>
      <c r="V9" s="123"/>
      <c r="W9" s="123"/>
      <c r="X9" s="123"/>
      <c r="Y9" s="123"/>
      <c r="Z9" s="123"/>
    </row>
    <row r="10">
      <c r="A10" s="418"/>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9" t="s">
        <v>7016</v>
      </c>
      <c r="B11" s="30" t="str">
        <f>IFERROR(__xludf.DUMMYFUNCTION("GOOGLETRANSLATE(A11,""zh-tw"",""ja"")"),"プレイヤーの投稿（準備中、投稿は大歓迎です）")</f>
        <v>プレイヤーの投稿（準備中、投稿は大歓迎です）</v>
      </c>
      <c r="C11" s="416" t="str">
        <f>IFERROR(__xludf.DUMMYFUNCTION("GOOGLETRANSLATE(A11,""zh-tw"",""en"")"),"Player submissions (in preparation, submissions are welcome)")</f>
        <v>Player submissions (in preparation, submissions are welcome)</v>
      </c>
      <c r="D11" s="420" t="s">
        <v>7017</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21"/>
      <c r="B12" s="133"/>
      <c r="C12" s="422"/>
      <c r="D12" s="423"/>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21"/>
      <c r="B13" s="133"/>
      <c r="C13" s="422"/>
      <c r="D13" s="423"/>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21"/>
      <c r="B14" s="133"/>
      <c r="C14" s="422"/>
      <c r="D14" s="423"/>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21"/>
      <c r="B15" s="133"/>
      <c r="C15" s="422"/>
      <c r="D15" s="423"/>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21"/>
      <c r="B16" s="133"/>
      <c r="C16" s="422"/>
      <c r="D16" s="423"/>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21"/>
      <c r="B17" s="133"/>
      <c r="C17" s="422"/>
      <c r="D17" s="423"/>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21"/>
      <c r="B18" s="133"/>
      <c r="C18" s="422"/>
      <c r="D18" s="423"/>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21"/>
      <c r="B19" s="133"/>
      <c r="C19" s="422"/>
      <c r="D19" s="423"/>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21"/>
      <c r="B20" s="133"/>
      <c r="C20" s="422"/>
      <c r="D20" s="423"/>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21"/>
      <c r="B21" s="133"/>
      <c r="C21" s="422"/>
      <c r="D21" s="423"/>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21"/>
      <c r="B22" s="133"/>
      <c r="C22" s="422"/>
      <c r="D22" s="423"/>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21"/>
      <c r="B23" s="133"/>
      <c r="C23" s="422"/>
      <c r="D23" s="423"/>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21"/>
      <c r="B24" s="133"/>
      <c r="C24" s="422"/>
      <c r="D24" s="423"/>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21"/>
      <c r="B25" s="133"/>
      <c r="C25" s="422"/>
      <c r="D25" s="423"/>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21"/>
      <c r="B26" s="133"/>
      <c r="C26" s="422"/>
      <c r="D26" s="423"/>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21"/>
      <c r="B27" s="133"/>
      <c r="C27" s="422"/>
      <c r="D27" s="423"/>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21"/>
      <c r="B28" s="133"/>
      <c r="C28" s="422"/>
      <c r="D28" s="423"/>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21"/>
      <c r="B29" s="133"/>
      <c r="C29" s="422"/>
      <c r="D29" s="423"/>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21"/>
      <c r="B30" s="133"/>
      <c r="C30" s="422"/>
      <c r="D30" s="423"/>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21"/>
      <c r="B31" s="133"/>
      <c r="C31" s="422"/>
      <c r="D31" s="423"/>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21"/>
      <c r="B32" s="133"/>
      <c r="C32" s="422"/>
      <c r="D32" s="423"/>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21"/>
      <c r="B33" s="133"/>
      <c r="C33" s="422"/>
      <c r="D33" s="423"/>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21"/>
      <c r="B34" s="133"/>
      <c r="C34" s="422"/>
      <c r="D34" s="423"/>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21"/>
      <c r="B35" s="133"/>
      <c r="C35" s="422"/>
      <c r="D35" s="423"/>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21"/>
      <c r="B36" s="133"/>
      <c r="C36" s="422"/>
      <c r="D36" s="423"/>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21"/>
      <c r="B37" s="133"/>
      <c r="C37" s="422"/>
      <c r="D37" s="423"/>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21"/>
      <c r="B38" s="133"/>
      <c r="C38" s="422"/>
      <c r="D38" s="423"/>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21"/>
      <c r="B39" s="133"/>
      <c r="C39" s="422"/>
      <c r="D39" s="423"/>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21"/>
      <c r="B40" s="133"/>
      <c r="C40" s="422"/>
      <c r="D40" s="423"/>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21"/>
      <c r="B41" s="133"/>
      <c r="C41" s="422"/>
      <c r="D41" s="423"/>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21"/>
      <c r="B42" s="133"/>
      <c r="C42" s="422"/>
      <c r="D42" s="423"/>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21"/>
      <c r="B43" s="133"/>
      <c r="C43" s="422"/>
      <c r="D43" s="423"/>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21"/>
      <c r="B44" s="133"/>
      <c r="C44" s="422"/>
      <c r="D44" s="423"/>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21"/>
      <c r="B45" s="133"/>
      <c r="C45" s="422"/>
      <c r="D45" s="423"/>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21"/>
      <c r="B46" s="133"/>
      <c r="C46" s="422"/>
      <c r="D46" s="423"/>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21"/>
      <c r="B47" s="133"/>
      <c r="C47" s="422"/>
      <c r="D47" s="423"/>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21"/>
      <c r="B48" s="133"/>
      <c r="C48" s="422"/>
      <c r="D48" s="423"/>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21"/>
      <c r="B49" s="133"/>
      <c r="C49" s="422"/>
      <c r="D49" s="423"/>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21"/>
      <c r="B50" s="133"/>
      <c r="C50" s="422"/>
      <c r="D50" s="423"/>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21"/>
      <c r="B51" s="133"/>
      <c r="C51" s="422"/>
      <c r="D51" s="423"/>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21"/>
      <c r="B52" s="133"/>
      <c r="C52" s="422"/>
      <c r="D52" s="423"/>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21"/>
      <c r="B53" s="133"/>
      <c r="C53" s="422"/>
      <c r="D53" s="423"/>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21"/>
      <c r="B54" s="133"/>
      <c r="C54" s="422"/>
      <c r="D54" s="423"/>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21"/>
      <c r="B55" s="133"/>
      <c r="C55" s="422"/>
      <c r="D55" s="423"/>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21"/>
      <c r="B56" s="133"/>
      <c r="C56" s="422"/>
      <c r="D56" s="423"/>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21"/>
      <c r="B57" s="133"/>
      <c r="C57" s="422"/>
      <c r="D57" s="423"/>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21"/>
      <c r="B58" s="133"/>
      <c r="C58" s="422"/>
      <c r="D58" s="423"/>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21"/>
      <c r="B59" s="133"/>
      <c r="C59" s="422"/>
      <c r="D59" s="423"/>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21"/>
      <c r="B60" s="133"/>
      <c r="C60" s="422"/>
      <c r="D60" s="423"/>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21"/>
      <c r="B61" s="133"/>
      <c r="C61" s="422"/>
      <c r="D61" s="423"/>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21"/>
      <c r="B62" s="133"/>
      <c r="C62" s="422"/>
      <c r="D62" s="423"/>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21"/>
      <c r="B63" s="133"/>
      <c r="C63" s="422"/>
      <c r="D63" s="423"/>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21"/>
      <c r="B64" s="133"/>
      <c r="C64" s="422"/>
      <c r="D64" s="423"/>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21"/>
      <c r="B65" s="133"/>
      <c r="C65" s="422"/>
      <c r="D65" s="423"/>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21"/>
      <c r="B66" s="133"/>
      <c r="C66" s="422"/>
      <c r="D66" s="423"/>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21"/>
      <c r="B67" s="133"/>
      <c r="C67" s="422"/>
      <c r="D67" s="423"/>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21"/>
      <c r="B68" s="133"/>
      <c r="C68" s="422"/>
      <c r="D68" s="423"/>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21"/>
      <c r="B69" s="133"/>
      <c r="C69" s="422"/>
      <c r="D69" s="423"/>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21"/>
      <c r="B70" s="133"/>
      <c r="C70" s="422"/>
      <c r="D70" s="423"/>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21"/>
      <c r="B71" s="133"/>
      <c r="C71" s="422"/>
      <c r="D71" s="423"/>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21"/>
      <c r="B72" s="133"/>
      <c r="C72" s="422"/>
      <c r="D72" s="423"/>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21"/>
      <c r="B73" s="133"/>
      <c r="C73" s="422"/>
      <c r="D73" s="423"/>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21"/>
      <c r="B74" s="133"/>
      <c r="C74" s="422"/>
      <c r="D74" s="423"/>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21"/>
      <c r="B75" s="133"/>
      <c r="C75" s="422"/>
      <c r="D75" s="423"/>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21"/>
      <c r="B76" s="133"/>
      <c r="C76" s="422"/>
      <c r="D76" s="423"/>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21"/>
      <c r="B77" s="133"/>
      <c r="C77" s="422"/>
      <c r="D77" s="423"/>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21"/>
      <c r="B78" s="133"/>
      <c r="C78" s="422"/>
      <c r="D78" s="423"/>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21"/>
      <c r="B79" s="133"/>
      <c r="C79" s="422"/>
      <c r="D79" s="423"/>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21"/>
      <c r="B80" s="133"/>
      <c r="C80" s="422"/>
      <c r="D80" s="423"/>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21"/>
      <c r="B81" s="133"/>
      <c r="C81" s="422"/>
      <c r="D81" s="423"/>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21"/>
      <c r="B82" s="133"/>
      <c r="C82" s="422"/>
      <c r="D82" s="423"/>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21"/>
      <c r="B83" s="133"/>
      <c r="C83" s="422"/>
      <c r="D83" s="423"/>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21"/>
      <c r="B84" s="133"/>
      <c r="C84" s="422"/>
      <c r="D84" s="423"/>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21"/>
      <c r="B85" s="133"/>
      <c r="C85" s="422"/>
      <c r="D85" s="423"/>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21"/>
      <c r="B86" s="133"/>
      <c r="C86" s="422"/>
      <c r="D86" s="423"/>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21"/>
      <c r="B87" s="133"/>
      <c r="C87" s="422"/>
      <c r="D87" s="423"/>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21"/>
      <c r="B88" s="133"/>
      <c r="C88" s="422"/>
      <c r="D88" s="423"/>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21"/>
      <c r="B89" s="133"/>
      <c r="C89" s="422"/>
      <c r="D89" s="423"/>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21"/>
      <c r="B90" s="133"/>
      <c r="C90" s="422"/>
      <c r="D90" s="423"/>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21"/>
      <c r="B91" s="133"/>
      <c r="C91" s="422"/>
      <c r="D91" s="423"/>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21"/>
      <c r="B92" s="133"/>
      <c r="C92" s="422"/>
      <c r="D92" s="423"/>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21"/>
      <c r="B93" s="133"/>
      <c r="C93" s="422"/>
      <c r="D93" s="423"/>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21"/>
      <c r="B94" s="133"/>
      <c r="C94" s="422"/>
      <c r="D94" s="423"/>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21"/>
      <c r="B95" s="133"/>
      <c r="C95" s="422"/>
      <c r="D95" s="423"/>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21"/>
      <c r="B96" s="133"/>
      <c r="C96" s="422"/>
      <c r="D96" s="423"/>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21"/>
      <c r="B97" s="133"/>
      <c r="C97" s="422"/>
      <c r="D97" s="423"/>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21"/>
      <c r="B98" s="133"/>
      <c r="C98" s="422"/>
      <c r="D98" s="423"/>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21"/>
      <c r="B99" s="133"/>
      <c r="C99" s="422"/>
      <c r="D99" s="423"/>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21"/>
      <c r="B100" s="133"/>
      <c r="C100" s="422"/>
      <c r="D100" s="4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21"/>
      <c r="B101" s="133"/>
      <c r="C101" s="422"/>
      <c r="D101" s="4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21"/>
      <c r="B102" s="133"/>
      <c r="C102" s="422"/>
      <c r="D102" s="4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21"/>
      <c r="B103" s="133"/>
      <c r="C103" s="422"/>
      <c r="D103" s="4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21"/>
      <c r="B104" s="133"/>
      <c r="C104" s="422"/>
      <c r="D104" s="4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21"/>
      <c r="B105" s="133"/>
      <c r="C105" s="422"/>
      <c r="D105" s="4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21"/>
      <c r="B106" s="133"/>
      <c r="C106" s="422"/>
      <c r="D106" s="4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21"/>
      <c r="B107" s="133"/>
      <c r="C107" s="422"/>
      <c r="D107" s="4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21"/>
      <c r="B108" s="133"/>
      <c r="C108" s="422"/>
      <c r="D108" s="4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21"/>
      <c r="B109" s="133"/>
      <c r="C109" s="422"/>
      <c r="D109" s="4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21"/>
      <c r="B110" s="133"/>
      <c r="C110" s="422"/>
      <c r="D110" s="4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21"/>
      <c r="B111" s="133"/>
      <c r="C111" s="422"/>
      <c r="D111" s="4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21"/>
      <c r="B112" s="133"/>
      <c r="C112" s="422"/>
      <c r="D112" s="4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21"/>
      <c r="B113" s="133"/>
      <c r="C113" s="422"/>
      <c r="D113" s="4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21"/>
      <c r="B114" s="133"/>
      <c r="C114" s="422"/>
      <c r="D114" s="4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21"/>
      <c r="B115" s="133"/>
      <c r="C115" s="422"/>
      <c r="D115" s="4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21"/>
      <c r="B116" s="133"/>
      <c r="C116" s="422"/>
      <c r="D116" s="4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21"/>
      <c r="B117" s="133"/>
      <c r="C117" s="422"/>
      <c r="D117" s="4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21"/>
      <c r="B118" s="133"/>
      <c r="C118" s="422"/>
      <c r="D118" s="4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21"/>
      <c r="B119" s="133"/>
      <c r="C119" s="422"/>
      <c r="D119" s="4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21"/>
      <c r="B120" s="133"/>
      <c r="C120" s="422"/>
      <c r="D120" s="4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21"/>
      <c r="B121" s="133"/>
      <c r="C121" s="422"/>
      <c r="D121" s="4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21"/>
      <c r="B122" s="133"/>
      <c r="C122" s="422"/>
      <c r="D122" s="4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21"/>
      <c r="B123" s="133"/>
      <c r="C123" s="422"/>
      <c r="D123" s="4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21"/>
      <c r="B124" s="133"/>
      <c r="C124" s="422"/>
      <c r="D124" s="4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21"/>
      <c r="B125" s="133"/>
      <c r="C125" s="422"/>
      <c r="D125" s="4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21"/>
      <c r="B126" s="133"/>
      <c r="C126" s="422"/>
      <c r="D126" s="4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21"/>
      <c r="B127" s="133"/>
      <c r="C127" s="422"/>
      <c r="D127" s="4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21"/>
      <c r="B128" s="133"/>
      <c r="C128" s="422"/>
      <c r="D128" s="4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21"/>
      <c r="B129" s="133"/>
      <c r="C129" s="422"/>
      <c r="D129" s="4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21"/>
      <c r="B130" s="133"/>
      <c r="C130" s="422"/>
      <c r="D130" s="4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21"/>
      <c r="B131" s="133"/>
      <c r="C131" s="422"/>
      <c r="D131" s="4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21"/>
      <c r="B132" s="133"/>
      <c r="C132" s="422"/>
      <c r="D132" s="4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21"/>
      <c r="B133" s="133"/>
      <c r="C133" s="422"/>
      <c r="D133" s="4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21"/>
      <c r="B134" s="133"/>
      <c r="C134" s="422"/>
      <c r="D134" s="4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21"/>
      <c r="B135" s="133"/>
      <c r="C135" s="422"/>
      <c r="D135" s="4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21"/>
      <c r="B136" s="133"/>
      <c r="C136" s="422"/>
      <c r="D136" s="4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21"/>
      <c r="B137" s="133"/>
      <c r="C137" s="422"/>
      <c r="D137" s="4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21"/>
      <c r="B138" s="133"/>
      <c r="C138" s="422"/>
      <c r="D138" s="4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21"/>
      <c r="B139" s="133"/>
      <c r="C139" s="422"/>
      <c r="D139" s="4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21"/>
      <c r="B140" s="133"/>
      <c r="C140" s="422"/>
      <c r="D140" s="4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21"/>
      <c r="B141" s="133"/>
      <c r="C141" s="422"/>
      <c r="D141" s="4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21"/>
      <c r="B142" s="133"/>
      <c r="C142" s="422"/>
      <c r="D142" s="4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21"/>
      <c r="B143" s="133"/>
      <c r="C143" s="422"/>
      <c r="D143" s="4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21"/>
      <c r="B144" s="133"/>
      <c r="C144" s="422"/>
      <c r="D144" s="4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21"/>
      <c r="B145" s="133"/>
      <c r="C145" s="422"/>
      <c r="D145" s="4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21"/>
      <c r="B146" s="133"/>
      <c r="C146" s="422"/>
      <c r="D146" s="4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21"/>
      <c r="B147" s="133"/>
      <c r="C147" s="422"/>
      <c r="D147" s="4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21"/>
      <c r="B148" s="133"/>
      <c r="C148" s="422"/>
      <c r="D148" s="4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21"/>
      <c r="B149" s="133"/>
      <c r="C149" s="422"/>
      <c r="D149" s="4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21"/>
      <c r="B150" s="133"/>
      <c r="C150" s="422"/>
      <c r="D150" s="4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21"/>
      <c r="B151" s="133"/>
      <c r="C151" s="422"/>
      <c r="D151" s="4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21"/>
      <c r="B152" s="133"/>
      <c r="C152" s="422"/>
      <c r="D152" s="4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21"/>
      <c r="B153" s="133"/>
      <c r="C153" s="422"/>
      <c r="D153" s="4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21"/>
      <c r="B154" s="133"/>
      <c r="C154" s="422"/>
      <c r="D154" s="4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21"/>
      <c r="B155" s="133"/>
      <c r="C155" s="422"/>
      <c r="D155" s="4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21"/>
      <c r="B156" s="133"/>
      <c r="C156" s="422"/>
      <c r="D156" s="4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21"/>
      <c r="B157" s="133"/>
      <c r="C157" s="422"/>
      <c r="D157" s="4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21"/>
      <c r="B158" s="133"/>
      <c r="C158" s="422"/>
      <c r="D158" s="4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21"/>
      <c r="B159" s="133"/>
      <c r="C159" s="422"/>
      <c r="D159" s="4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21"/>
      <c r="B160" s="133"/>
      <c r="C160" s="422"/>
      <c r="D160" s="4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21"/>
      <c r="B161" s="133"/>
      <c r="C161" s="422"/>
      <c r="D161" s="4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21"/>
      <c r="B162" s="133"/>
      <c r="C162" s="422"/>
      <c r="D162" s="4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21"/>
      <c r="B163" s="133"/>
      <c r="C163" s="422"/>
      <c r="D163" s="4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21"/>
      <c r="B164" s="133"/>
      <c r="C164" s="422"/>
      <c r="D164" s="4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21"/>
      <c r="B165" s="133"/>
      <c r="C165" s="422"/>
      <c r="D165" s="4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21"/>
      <c r="B166" s="133"/>
      <c r="C166" s="422"/>
      <c r="D166" s="4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21"/>
      <c r="B167" s="133"/>
      <c r="C167" s="422"/>
      <c r="D167" s="4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21"/>
      <c r="B168" s="133"/>
      <c r="C168" s="422"/>
      <c r="D168" s="4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21"/>
      <c r="B169" s="133"/>
      <c r="C169" s="422"/>
      <c r="D169" s="4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21"/>
      <c r="B170" s="133"/>
      <c r="C170" s="422"/>
      <c r="D170" s="4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21"/>
      <c r="B171" s="133"/>
      <c r="C171" s="422"/>
      <c r="D171" s="4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21"/>
      <c r="B172" s="133"/>
      <c r="C172" s="422"/>
      <c r="D172" s="4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21"/>
      <c r="B173" s="133"/>
      <c r="C173" s="422"/>
      <c r="D173" s="4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21"/>
      <c r="B174" s="133"/>
      <c r="C174" s="422"/>
      <c r="D174" s="4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21"/>
      <c r="B175" s="133"/>
      <c r="C175" s="422"/>
      <c r="D175" s="4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21"/>
      <c r="B176" s="133"/>
      <c r="C176" s="422"/>
      <c r="D176" s="4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21"/>
      <c r="B177" s="133"/>
      <c r="C177" s="422"/>
      <c r="D177" s="4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21"/>
      <c r="B178" s="133"/>
      <c r="C178" s="422"/>
      <c r="D178" s="4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21"/>
      <c r="B179" s="133"/>
      <c r="C179" s="422"/>
      <c r="D179" s="4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21"/>
      <c r="B180" s="133"/>
      <c r="C180" s="422"/>
      <c r="D180" s="4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21"/>
      <c r="B181" s="133"/>
      <c r="C181" s="422"/>
      <c r="D181" s="4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21"/>
      <c r="B182" s="133"/>
      <c r="C182" s="422"/>
      <c r="D182" s="4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21"/>
      <c r="B183" s="133"/>
      <c r="C183" s="422"/>
      <c r="D183" s="4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21"/>
      <c r="B184" s="133"/>
      <c r="C184" s="422"/>
      <c r="D184" s="4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21"/>
      <c r="B185" s="133"/>
      <c r="C185" s="422"/>
      <c r="D185" s="4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21"/>
      <c r="B186" s="133"/>
      <c r="C186" s="422"/>
      <c r="D186" s="4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21"/>
      <c r="B187" s="133"/>
      <c r="C187" s="422"/>
      <c r="D187" s="4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21"/>
      <c r="B188" s="133"/>
      <c r="C188" s="422"/>
      <c r="D188" s="4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21"/>
      <c r="B189" s="133"/>
      <c r="C189" s="422"/>
      <c r="D189" s="4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21"/>
      <c r="B190" s="133"/>
      <c r="C190" s="422"/>
      <c r="D190" s="4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21"/>
      <c r="B191" s="133"/>
      <c r="C191" s="422"/>
      <c r="D191" s="4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21"/>
      <c r="B192" s="133"/>
      <c r="C192" s="422"/>
      <c r="D192" s="4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21"/>
      <c r="B193" s="133"/>
      <c r="C193" s="422"/>
      <c r="D193" s="4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21"/>
      <c r="B194" s="133"/>
      <c r="C194" s="422"/>
      <c r="D194" s="4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21"/>
      <c r="B195" s="133"/>
      <c r="C195" s="422"/>
      <c r="D195" s="4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21"/>
      <c r="B196" s="133"/>
      <c r="C196" s="422"/>
      <c r="D196" s="4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21"/>
      <c r="B197" s="133"/>
      <c r="C197" s="422"/>
      <c r="D197" s="4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21"/>
      <c r="B198" s="133"/>
      <c r="C198" s="422"/>
      <c r="D198" s="4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21"/>
      <c r="B199" s="133"/>
      <c r="C199" s="422"/>
      <c r="D199" s="4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21"/>
      <c r="B200" s="133"/>
      <c r="C200" s="422"/>
      <c r="D200" s="4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21"/>
      <c r="B201" s="133"/>
      <c r="C201" s="422"/>
      <c r="D201" s="4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21"/>
      <c r="B202" s="133"/>
      <c r="C202" s="422"/>
      <c r="D202" s="4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21"/>
      <c r="B203" s="133"/>
      <c r="C203" s="422"/>
      <c r="D203" s="4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21"/>
      <c r="B204" s="133"/>
      <c r="C204" s="422"/>
      <c r="D204" s="4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21"/>
      <c r="B205" s="133"/>
      <c r="C205" s="422"/>
      <c r="D205" s="4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21"/>
      <c r="B206" s="133"/>
      <c r="C206" s="422"/>
      <c r="D206" s="4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21"/>
      <c r="B207" s="133"/>
      <c r="C207" s="422"/>
      <c r="D207" s="4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21"/>
      <c r="B208" s="133"/>
      <c r="C208" s="422"/>
      <c r="D208" s="4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21"/>
      <c r="B209" s="133"/>
      <c r="C209" s="422"/>
      <c r="D209" s="4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21"/>
      <c r="B210" s="133"/>
      <c r="C210" s="422"/>
      <c r="D210" s="4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21"/>
      <c r="B211" s="133"/>
      <c r="C211" s="422"/>
      <c r="D211" s="4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21"/>
      <c r="B212" s="133"/>
      <c r="C212" s="422"/>
      <c r="D212" s="4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21"/>
      <c r="B213" s="133"/>
      <c r="C213" s="422"/>
      <c r="D213" s="4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21"/>
      <c r="B214" s="133"/>
      <c r="C214" s="422"/>
      <c r="D214" s="4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21"/>
      <c r="B215" s="133"/>
      <c r="C215" s="422"/>
      <c r="D215" s="4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21"/>
      <c r="B216" s="133"/>
      <c r="C216" s="422"/>
      <c r="D216" s="4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21"/>
      <c r="B217" s="133"/>
      <c r="C217" s="422"/>
      <c r="D217" s="4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21"/>
      <c r="B218" s="133"/>
      <c r="C218" s="422"/>
      <c r="D218" s="4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21"/>
      <c r="B219" s="133"/>
      <c r="C219" s="422"/>
      <c r="D219" s="4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21"/>
      <c r="B220" s="133"/>
      <c r="C220" s="422"/>
      <c r="D220" s="4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21"/>
      <c r="B221" s="133"/>
      <c r="C221" s="422"/>
      <c r="D221" s="4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21"/>
      <c r="B222" s="133"/>
      <c r="C222" s="422"/>
      <c r="D222" s="4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21"/>
      <c r="B223" s="133"/>
      <c r="C223" s="422"/>
      <c r="D223" s="4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21"/>
      <c r="B224" s="133"/>
      <c r="C224" s="422"/>
      <c r="D224" s="4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21"/>
      <c r="B225" s="133"/>
      <c r="C225" s="422"/>
      <c r="D225" s="4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21"/>
      <c r="B226" s="133"/>
      <c r="C226" s="422"/>
      <c r="D226" s="4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21"/>
      <c r="B227" s="133"/>
      <c r="C227" s="422"/>
      <c r="D227" s="4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21"/>
      <c r="B228" s="133"/>
      <c r="C228" s="422"/>
      <c r="D228" s="4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21"/>
      <c r="B229" s="133"/>
      <c r="C229" s="422"/>
      <c r="D229" s="4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21"/>
      <c r="B230" s="133"/>
      <c r="C230" s="422"/>
      <c r="D230" s="4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21"/>
      <c r="B231" s="133"/>
      <c r="C231" s="422"/>
      <c r="D231" s="4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21"/>
      <c r="B232" s="133"/>
      <c r="C232" s="422"/>
      <c r="D232" s="4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21"/>
      <c r="B233" s="133"/>
      <c r="C233" s="422"/>
      <c r="D233" s="4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21"/>
      <c r="B234" s="133"/>
      <c r="C234" s="422"/>
      <c r="D234" s="4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21"/>
      <c r="B235" s="133"/>
      <c r="C235" s="422"/>
      <c r="D235" s="4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21"/>
      <c r="B236" s="133"/>
      <c r="C236" s="422"/>
      <c r="D236" s="4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21"/>
      <c r="B237" s="133"/>
      <c r="C237" s="422"/>
      <c r="D237" s="4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21"/>
      <c r="B238" s="133"/>
      <c r="C238" s="422"/>
      <c r="D238" s="4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21"/>
      <c r="B239" s="133"/>
      <c r="C239" s="422"/>
      <c r="D239" s="4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21"/>
      <c r="B240" s="133"/>
      <c r="C240" s="422"/>
      <c r="D240" s="4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21"/>
      <c r="B241" s="133"/>
      <c r="C241" s="422"/>
      <c r="D241" s="4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21"/>
      <c r="B242" s="133"/>
      <c r="C242" s="422"/>
      <c r="D242" s="4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21"/>
      <c r="B243" s="133"/>
      <c r="C243" s="422"/>
      <c r="D243" s="4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21"/>
      <c r="B244" s="133"/>
      <c r="C244" s="422"/>
      <c r="D244" s="4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21"/>
      <c r="B245" s="133"/>
      <c r="C245" s="422"/>
      <c r="D245" s="4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21"/>
      <c r="B246" s="133"/>
      <c r="C246" s="422"/>
      <c r="D246" s="4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21"/>
      <c r="B247" s="133"/>
      <c r="C247" s="422"/>
      <c r="D247" s="4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21"/>
      <c r="B248" s="133"/>
      <c r="C248" s="422"/>
      <c r="D248" s="4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21"/>
      <c r="B249" s="133"/>
      <c r="C249" s="422"/>
      <c r="D249" s="4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21"/>
      <c r="B250" s="133"/>
      <c r="C250" s="422"/>
      <c r="D250" s="4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21"/>
      <c r="B251" s="133"/>
      <c r="C251" s="422"/>
      <c r="D251" s="4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21"/>
      <c r="B252" s="133"/>
      <c r="C252" s="422"/>
      <c r="D252" s="4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21"/>
      <c r="B253" s="133"/>
      <c r="C253" s="422"/>
      <c r="D253" s="4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21"/>
      <c r="B254" s="133"/>
      <c r="C254" s="422"/>
      <c r="D254" s="4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21"/>
      <c r="B255" s="133"/>
      <c r="C255" s="422"/>
      <c r="D255" s="4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21"/>
      <c r="B256" s="133"/>
      <c r="C256" s="422"/>
      <c r="D256" s="4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21"/>
      <c r="B257" s="133"/>
      <c r="C257" s="422"/>
      <c r="D257" s="4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21"/>
      <c r="B258" s="133"/>
      <c r="C258" s="422"/>
      <c r="D258" s="4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21"/>
      <c r="B259" s="133"/>
      <c r="C259" s="422"/>
      <c r="D259" s="4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21"/>
      <c r="B260" s="133"/>
      <c r="C260" s="422"/>
      <c r="D260" s="4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21"/>
      <c r="B261" s="133"/>
      <c r="C261" s="422"/>
      <c r="D261" s="4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21"/>
      <c r="B262" s="133"/>
      <c r="C262" s="422"/>
      <c r="D262" s="4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21"/>
      <c r="B263" s="133"/>
      <c r="C263" s="422"/>
      <c r="D263" s="4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21"/>
      <c r="B264" s="133"/>
      <c r="C264" s="422"/>
      <c r="D264" s="4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21"/>
      <c r="B265" s="133"/>
      <c r="C265" s="422"/>
      <c r="D265" s="4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21"/>
      <c r="B266" s="133"/>
      <c r="C266" s="422"/>
      <c r="D266" s="4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21"/>
      <c r="B267" s="133"/>
      <c r="C267" s="422"/>
      <c r="D267" s="4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21"/>
      <c r="B268" s="133"/>
      <c r="C268" s="422"/>
      <c r="D268" s="4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21"/>
      <c r="B269" s="133"/>
      <c r="C269" s="422"/>
      <c r="D269" s="4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21"/>
      <c r="B270" s="133"/>
      <c r="C270" s="422"/>
      <c r="D270" s="4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21"/>
      <c r="B271" s="133"/>
      <c r="C271" s="422"/>
      <c r="D271" s="4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21"/>
      <c r="B272" s="133"/>
      <c r="C272" s="422"/>
      <c r="D272" s="4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21"/>
      <c r="B273" s="133"/>
      <c r="C273" s="422"/>
      <c r="D273" s="4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21"/>
      <c r="B274" s="133"/>
      <c r="C274" s="422"/>
      <c r="D274" s="4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21"/>
      <c r="B275" s="133"/>
      <c r="C275" s="422"/>
      <c r="D275" s="4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21"/>
      <c r="B276" s="133"/>
      <c r="C276" s="422"/>
      <c r="D276" s="4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21"/>
      <c r="B277" s="133"/>
      <c r="C277" s="422"/>
      <c r="D277" s="4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21"/>
      <c r="B278" s="133"/>
      <c r="C278" s="422"/>
      <c r="D278" s="4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21"/>
      <c r="B279" s="133"/>
      <c r="C279" s="422"/>
      <c r="D279" s="4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21"/>
      <c r="B280" s="133"/>
      <c r="C280" s="422"/>
      <c r="D280" s="4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21"/>
      <c r="B281" s="133"/>
      <c r="C281" s="422"/>
      <c r="D281" s="4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21"/>
      <c r="B282" s="133"/>
      <c r="C282" s="422"/>
      <c r="D282" s="4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21"/>
      <c r="B283" s="133"/>
      <c r="C283" s="422"/>
      <c r="D283" s="4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21"/>
      <c r="B284" s="133"/>
      <c r="C284" s="422"/>
      <c r="D284" s="4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21"/>
      <c r="B285" s="133"/>
      <c r="C285" s="422"/>
      <c r="D285" s="4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21"/>
      <c r="B286" s="133"/>
      <c r="C286" s="422"/>
      <c r="D286" s="4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21"/>
      <c r="B287" s="133"/>
      <c r="C287" s="422"/>
      <c r="D287" s="4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21"/>
      <c r="B288" s="133"/>
      <c r="C288" s="422"/>
      <c r="D288" s="4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21"/>
      <c r="B289" s="133"/>
      <c r="C289" s="422"/>
      <c r="D289" s="4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21"/>
      <c r="B290" s="133"/>
      <c r="C290" s="422"/>
      <c r="D290" s="4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21"/>
      <c r="B291" s="133"/>
      <c r="C291" s="422"/>
      <c r="D291" s="4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21"/>
      <c r="B292" s="133"/>
      <c r="C292" s="422"/>
      <c r="D292" s="4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21"/>
      <c r="B293" s="133"/>
      <c r="C293" s="422"/>
      <c r="D293" s="4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21"/>
      <c r="B294" s="133"/>
      <c r="C294" s="422"/>
      <c r="D294" s="4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21"/>
      <c r="B295" s="133"/>
      <c r="C295" s="422"/>
      <c r="D295" s="4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21"/>
      <c r="B296" s="133"/>
      <c r="C296" s="422"/>
      <c r="D296" s="4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21"/>
      <c r="B297" s="133"/>
      <c r="C297" s="422"/>
      <c r="D297" s="4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21"/>
      <c r="B298" s="133"/>
      <c r="C298" s="422"/>
      <c r="D298" s="4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21"/>
      <c r="B299" s="133"/>
      <c r="C299" s="422"/>
      <c r="D299" s="4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21"/>
      <c r="B300" s="133"/>
      <c r="C300" s="422"/>
      <c r="D300" s="4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21"/>
      <c r="B301" s="133"/>
      <c r="C301" s="422"/>
      <c r="D301" s="4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21"/>
      <c r="B302" s="133"/>
      <c r="C302" s="422"/>
      <c r="D302" s="4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21"/>
      <c r="B303" s="133"/>
      <c r="C303" s="422"/>
      <c r="D303" s="4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21"/>
      <c r="B304" s="133"/>
      <c r="C304" s="422"/>
      <c r="D304" s="4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21"/>
      <c r="B305" s="133"/>
      <c r="C305" s="422"/>
      <c r="D305" s="4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21"/>
      <c r="B306" s="133"/>
      <c r="C306" s="422"/>
      <c r="D306" s="4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21"/>
      <c r="B307" s="133"/>
      <c r="C307" s="422"/>
      <c r="D307" s="4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21"/>
      <c r="B308" s="133"/>
      <c r="C308" s="422"/>
      <c r="D308" s="4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21"/>
      <c r="B309" s="133"/>
      <c r="C309" s="422"/>
      <c r="D309" s="4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21"/>
      <c r="B310" s="133"/>
      <c r="C310" s="422"/>
      <c r="D310" s="4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21"/>
      <c r="B311" s="133"/>
      <c r="C311" s="422"/>
      <c r="D311" s="4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21"/>
      <c r="B312" s="133"/>
      <c r="C312" s="422"/>
      <c r="D312" s="4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21"/>
      <c r="B313" s="133"/>
      <c r="C313" s="422"/>
      <c r="D313" s="4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21"/>
      <c r="B314" s="133"/>
      <c r="C314" s="422"/>
      <c r="D314" s="4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21"/>
      <c r="B315" s="133"/>
      <c r="C315" s="422"/>
      <c r="D315" s="4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21"/>
      <c r="B316" s="133"/>
      <c r="C316" s="422"/>
      <c r="D316" s="4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21"/>
      <c r="B317" s="133"/>
      <c r="C317" s="422"/>
      <c r="D317" s="4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21"/>
      <c r="B318" s="133"/>
      <c r="C318" s="422"/>
      <c r="D318" s="4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21"/>
      <c r="B319" s="133"/>
      <c r="C319" s="422"/>
      <c r="D319" s="4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21"/>
      <c r="B320" s="133"/>
      <c r="C320" s="422"/>
      <c r="D320" s="4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21"/>
      <c r="B321" s="133"/>
      <c r="C321" s="422"/>
      <c r="D321" s="4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21"/>
      <c r="B322" s="133"/>
      <c r="C322" s="422"/>
      <c r="D322" s="4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21"/>
      <c r="B323" s="133"/>
      <c r="C323" s="422"/>
      <c r="D323" s="4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21"/>
      <c r="B324" s="133"/>
      <c r="C324" s="422"/>
      <c r="D324" s="4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21"/>
      <c r="B325" s="133"/>
      <c r="C325" s="422"/>
      <c r="D325" s="4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21"/>
      <c r="B326" s="133"/>
      <c r="C326" s="422"/>
      <c r="D326" s="4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21"/>
      <c r="B327" s="133"/>
      <c r="C327" s="422"/>
      <c r="D327" s="4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21"/>
      <c r="B328" s="133"/>
      <c r="C328" s="422"/>
      <c r="D328" s="4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21"/>
      <c r="B329" s="133"/>
      <c r="C329" s="422"/>
      <c r="D329" s="4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21"/>
      <c r="B330" s="133"/>
      <c r="C330" s="422"/>
      <c r="D330" s="4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21"/>
      <c r="B331" s="133"/>
      <c r="C331" s="422"/>
      <c r="D331" s="4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21"/>
      <c r="B332" s="133"/>
      <c r="C332" s="422"/>
      <c r="D332" s="4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21"/>
      <c r="B333" s="133"/>
      <c r="C333" s="422"/>
      <c r="D333" s="4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21"/>
      <c r="B334" s="133"/>
      <c r="C334" s="422"/>
      <c r="D334" s="4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21"/>
      <c r="B335" s="133"/>
      <c r="C335" s="422"/>
      <c r="D335" s="4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21"/>
      <c r="B336" s="133"/>
      <c r="C336" s="422"/>
      <c r="D336" s="4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21"/>
      <c r="B337" s="133"/>
      <c r="C337" s="422"/>
      <c r="D337" s="4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21"/>
      <c r="B338" s="133"/>
      <c r="C338" s="422"/>
      <c r="D338" s="4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21"/>
      <c r="B339" s="133"/>
      <c r="C339" s="422"/>
      <c r="D339" s="4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21"/>
      <c r="B340" s="133"/>
      <c r="C340" s="422"/>
      <c r="D340" s="4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21"/>
      <c r="B341" s="133"/>
      <c r="C341" s="422"/>
      <c r="D341" s="4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21"/>
      <c r="B342" s="133"/>
      <c r="C342" s="422"/>
      <c r="D342" s="4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21"/>
      <c r="B343" s="133"/>
      <c r="C343" s="422"/>
      <c r="D343" s="4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21"/>
      <c r="B344" s="133"/>
      <c r="C344" s="422"/>
      <c r="D344" s="4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21"/>
      <c r="B345" s="133"/>
      <c r="C345" s="422"/>
      <c r="D345" s="4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21"/>
      <c r="B346" s="133"/>
      <c r="C346" s="422"/>
      <c r="D346" s="4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21"/>
      <c r="B347" s="133"/>
      <c r="C347" s="422"/>
      <c r="D347" s="4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21"/>
      <c r="B348" s="133"/>
      <c r="C348" s="422"/>
      <c r="D348" s="4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21"/>
      <c r="B349" s="133"/>
      <c r="C349" s="422"/>
      <c r="D349" s="4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21"/>
      <c r="B350" s="133"/>
      <c r="C350" s="422"/>
      <c r="D350" s="4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21"/>
      <c r="B351" s="133"/>
      <c r="C351" s="422"/>
      <c r="D351" s="4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21"/>
      <c r="B352" s="133"/>
      <c r="C352" s="422"/>
      <c r="D352" s="4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21"/>
      <c r="B353" s="133"/>
      <c r="C353" s="422"/>
      <c r="D353" s="4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21"/>
      <c r="B354" s="133"/>
      <c r="C354" s="422"/>
      <c r="D354" s="4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21"/>
      <c r="B355" s="133"/>
      <c r="C355" s="422"/>
      <c r="D355" s="4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21"/>
      <c r="B356" s="133"/>
      <c r="C356" s="422"/>
      <c r="D356" s="4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21"/>
      <c r="B357" s="133"/>
      <c r="C357" s="422"/>
      <c r="D357" s="4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21"/>
      <c r="B358" s="133"/>
      <c r="C358" s="422"/>
      <c r="D358" s="4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21"/>
      <c r="B359" s="133"/>
      <c r="C359" s="422"/>
      <c r="D359" s="4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21"/>
      <c r="B360" s="133"/>
      <c r="C360" s="422"/>
      <c r="D360" s="4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21"/>
      <c r="B361" s="133"/>
      <c r="C361" s="422"/>
      <c r="D361" s="4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21"/>
      <c r="B362" s="133"/>
      <c r="C362" s="422"/>
      <c r="D362" s="4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21"/>
      <c r="B363" s="133"/>
      <c r="C363" s="422"/>
      <c r="D363" s="4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21"/>
      <c r="B364" s="133"/>
      <c r="C364" s="422"/>
      <c r="D364" s="4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21"/>
      <c r="B365" s="133"/>
      <c r="C365" s="422"/>
      <c r="D365" s="4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21"/>
      <c r="B366" s="133"/>
      <c r="C366" s="422"/>
      <c r="D366" s="4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21"/>
      <c r="B367" s="133"/>
      <c r="C367" s="422"/>
      <c r="D367" s="4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21"/>
      <c r="B368" s="133"/>
      <c r="C368" s="422"/>
      <c r="D368" s="4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21"/>
      <c r="B369" s="133"/>
      <c r="C369" s="422"/>
      <c r="D369" s="4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21"/>
      <c r="B370" s="133"/>
      <c r="C370" s="422"/>
      <c r="D370" s="4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21"/>
      <c r="B371" s="133"/>
      <c r="C371" s="422"/>
      <c r="D371" s="4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21"/>
      <c r="B372" s="133"/>
      <c r="C372" s="422"/>
      <c r="D372" s="4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21"/>
      <c r="B373" s="133"/>
      <c r="C373" s="422"/>
      <c r="D373" s="4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21"/>
      <c r="B374" s="133"/>
      <c r="C374" s="422"/>
      <c r="D374" s="4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21"/>
      <c r="B375" s="133"/>
      <c r="C375" s="422"/>
      <c r="D375" s="4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21"/>
      <c r="B376" s="133"/>
      <c r="C376" s="422"/>
      <c r="D376" s="4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21"/>
      <c r="B377" s="133"/>
      <c r="C377" s="422"/>
      <c r="D377" s="4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21"/>
      <c r="B378" s="133"/>
      <c r="C378" s="422"/>
      <c r="D378" s="4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21"/>
      <c r="B379" s="133"/>
      <c r="C379" s="422"/>
      <c r="D379" s="4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21"/>
      <c r="B380" s="133"/>
      <c r="C380" s="422"/>
      <c r="D380" s="4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21"/>
      <c r="B381" s="133"/>
      <c r="C381" s="422"/>
      <c r="D381" s="4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21"/>
      <c r="B382" s="133"/>
      <c r="C382" s="422"/>
      <c r="D382" s="4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21"/>
      <c r="B383" s="133"/>
      <c r="C383" s="422"/>
      <c r="D383" s="4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21"/>
      <c r="B384" s="133"/>
      <c r="C384" s="422"/>
      <c r="D384" s="4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21"/>
      <c r="B385" s="133"/>
      <c r="C385" s="422"/>
      <c r="D385" s="4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21"/>
      <c r="B386" s="133"/>
      <c r="C386" s="422"/>
      <c r="D386" s="4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21"/>
      <c r="B387" s="133"/>
      <c r="C387" s="422"/>
      <c r="D387" s="4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21"/>
      <c r="B388" s="133"/>
      <c r="C388" s="422"/>
      <c r="D388" s="4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21"/>
      <c r="B389" s="133"/>
      <c r="C389" s="422"/>
      <c r="D389" s="4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21"/>
      <c r="B390" s="133"/>
      <c r="C390" s="422"/>
      <c r="D390" s="4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21"/>
      <c r="B391" s="133"/>
      <c r="C391" s="422"/>
      <c r="D391" s="4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21"/>
      <c r="B392" s="133"/>
      <c r="C392" s="422"/>
      <c r="D392" s="4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21"/>
      <c r="B393" s="133"/>
      <c r="C393" s="422"/>
      <c r="D393" s="4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21"/>
      <c r="B394" s="133"/>
      <c r="C394" s="422"/>
      <c r="D394" s="4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21"/>
      <c r="B395" s="133"/>
      <c r="C395" s="422"/>
      <c r="D395" s="4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21"/>
      <c r="B396" s="133"/>
      <c r="C396" s="422"/>
      <c r="D396" s="4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21"/>
      <c r="B397" s="133"/>
      <c r="C397" s="422"/>
      <c r="D397" s="4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21"/>
      <c r="B398" s="133"/>
      <c r="C398" s="422"/>
      <c r="D398" s="4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21"/>
      <c r="B399" s="133"/>
      <c r="C399" s="422"/>
      <c r="D399" s="4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21"/>
      <c r="B400" s="133"/>
      <c r="C400" s="422"/>
      <c r="D400" s="4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21"/>
      <c r="B401" s="133"/>
      <c r="C401" s="422"/>
      <c r="D401" s="4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21"/>
      <c r="B402" s="133"/>
      <c r="C402" s="422"/>
      <c r="D402" s="4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21"/>
      <c r="B403" s="133"/>
      <c r="C403" s="422"/>
      <c r="D403" s="4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21"/>
      <c r="B404" s="133"/>
      <c r="C404" s="422"/>
      <c r="D404" s="4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21"/>
      <c r="B405" s="133"/>
      <c r="C405" s="422"/>
      <c r="D405" s="4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21"/>
      <c r="B406" s="133"/>
      <c r="C406" s="422"/>
      <c r="D406" s="4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21"/>
      <c r="B407" s="133"/>
      <c r="C407" s="422"/>
      <c r="D407" s="4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21"/>
      <c r="B408" s="133"/>
      <c r="C408" s="422"/>
      <c r="D408" s="4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21"/>
      <c r="B409" s="133"/>
      <c r="C409" s="422"/>
      <c r="D409" s="4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21"/>
      <c r="B410" s="133"/>
      <c r="C410" s="422"/>
      <c r="D410" s="4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21"/>
      <c r="B411" s="133"/>
      <c r="C411" s="422"/>
      <c r="D411" s="4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21"/>
      <c r="B412" s="133"/>
      <c r="C412" s="422"/>
      <c r="D412" s="4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21"/>
      <c r="B413" s="133"/>
      <c r="C413" s="422"/>
      <c r="D413" s="4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21"/>
      <c r="B414" s="133"/>
      <c r="C414" s="422"/>
      <c r="D414" s="4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21"/>
      <c r="B415" s="133"/>
      <c r="C415" s="422"/>
      <c r="D415" s="4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21"/>
      <c r="B416" s="133"/>
      <c r="C416" s="422"/>
      <c r="D416" s="4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21"/>
      <c r="B417" s="133"/>
      <c r="C417" s="422"/>
      <c r="D417" s="4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21"/>
      <c r="B418" s="133"/>
      <c r="C418" s="422"/>
      <c r="D418" s="4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21"/>
      <c r="B419" s="133"/>
      <c r="C419" s="422"/>
      <c r="D419" s="4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21"/>
      <c r="B420" s="133"/>
      <c r="C420" s="422"/>
      <c r="D420" s="4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21"/>
      <c r="B421" s="133"/>
      <c r="C421" s="422"/>
      <c r="D421" s="4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21"/>
      <c r="B422" s="133"/>
      <c r="C422" s="422"/>
      <c r="D422" s="4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21"/>
      <c r="B423" s="133"/>
      <c r="C423" s="422"/>
      <c r="D423" s="4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21"/>
      <c r="B424" s="133"/>
      <c r="C424" s="422"/>
      <c r="D424" s="4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21"/>
      <c r="B425" s="133"/>
      <c r="C425" s="422"/>
      <c r="D425" s="4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21"/>
      <c r="B426" s="133"/>
      <c r="C426" s="422"/>
      <c r="D426" s="4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21"/>
      <c r="B427" s="133"/>
      <c r="C427" s="422"/>
      <c r="D427" s="4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21"/>
      <c r="B428" s="133"/>
      <c r="C428" s="422"/>
      <c r="D428" s="4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21"/>
      <c r="B429" s="133"/>
      <c r="C429" s="422"/>
      <c r="D429" s="4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21"/>
      <c r="B430" s="133"/>
      <c r="C430" s="422"/>
      <c r="D430" s="4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21"/>
      <c r="B431" s="133"/>
      <c r="C431" s="422"/>
      <c r="D431" s="4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21"/>
      <c r="B432" s="133"/>
      <c r="C432" s="422"/>
      <c r="D432" s="4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21"/>
      <c r="B433" s="133"/>
      <c r="C433" s="422"/>
      <c r="D433" s="4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21"/>
      <c r="B434" s="133"/>
      <c r="C434" s="422"/>
      <c r="D434" s="4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21"/>
      <c r="B435" s="133"/>
      <c r="C435" s="422"/>
      <c r="D435" s="4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21"/>
      <c r="B436" s="133"/>
      <c r="C436" s="422"/>
      <c r="D436" s="4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21"/>
      <c r="B437" s="133"/>
      <c r="C437" s="422"/>
      <c r="D437" s="4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21"/>
      <c r="B438" s="133"/>
      <c r="C438" s="422"/>
      <c r="D438" s="4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21"/>
      <c r="B439" s="133"/>
      <c r="C439" s="422"/>
      <c r="D439" s="4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21"/>
      <c r="B440" s="133"/>
      <c r="C440" s="422"/>
      <c r="D440" s="4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21"/>
      <c r="B441" s="133"/>
      <c r="C441" s="422"/>
      <c r="D441" s="4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21"/>
      <c r="B442" s="133"/>
      <c r="C442" s="422"/>
      <c r="D442" s="4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21"/>
      <c r="B443" s="133"/>
      <c r="C443" s="422"/>
      <c r="D443" s="4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21"/>
      <c r="B444" s="133"/>
      <c r="C444" s="422"/>
      <c r="D444" s="4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21"/>
      <c r="B445" s="133"/>
      <c r="C445" s="422"/>
      <c r="D445" s="4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21"/>
      <c r="B446" s="133"/>
      <c r="C446" s="422"/>
      <c r="D446" s="4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21"/>
      <c r="B447" s="133"/>
      <c r="C447" s="422"/>
      <c r="D447" s="4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21"/>
      <c r="B448" s="133"/>
      <c r="C448" s="422"/>
      <c r="D448" s="4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21"/>
      <c r="B449" s="133"/>
      <c r="C449" s="422"/>
      <c r="D449" s="4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21"/>
      <c r="B450" s="133"/>
      <c r="C450" s="422"/>
      <c r="D450" s="4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21"/>
      <c r="B451" s="133"/>
      <c r="C451" s="422"/>
      <c r="D451" s="4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21"/>
      <c r="B452" s="133"/>
      <c r="C452" s="422"/>
      <c r="D452" s="4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21"/>
      <c r="B453" s="133"/>
      <c r="C453" s="422"/>
      <c r="D453" s="4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21"/>
      <c r="B454" s="133"/>
      <c r="C454" s="422"/>
      <c r="D454" s="4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21"/>
      <c r="B455" s="133"/>
      <c r="C455" s="422"/>
      <c r="D455" s="4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21"/>
      <c r="B456" s="133"/>
      <c r="C456" s="422"/>
      <c r="D456" s="4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21"/>
      <c r="B457" s="133"/>
      <c r="C457" s="422"/>
      <c r="D457" s="4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21"/>
      <c r="B458" s="133"/>
      <c r="C458" s="422"/>
      <c r="D458" s="4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21"/>
      <c r="B459" s="133"/>
      <c r="C459" s="422"/>
      <c r="D459" s="4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21"/>
      <c r="B460" s="133"/>
      <c r="C460" s="422"/>
      <c r="D460" s="4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21"/>
      <c r="B461" s="133"/>
      <c r="C461" s="422"/>
      <c r="D461" s="4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21"/>
      <c r="B462" s="133"/>
      <c r="C462" s="422"/>
      <c r="D462" s="4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21"/>
      <c r="B463" s="133"/>
      <c r="C463" s="422"/>
      <c r="D463" s="4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21"/>
      <c r="B464" s="133"/>
      <c r="C464" s="422"/>
      <c r="D464" s="4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21"/>
      <c r="B465" s="133"/>
      <c r="C465" s="422"/>
      <c r="D465" s="4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21"/>
      <c r="B466" s="133"/>
      <c r="C466" s="422"/>
      <c r="D466" s="4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21"/>
      <c r="B467" s="133"/>
      <c r="C467" s="422"/>
      <c r="D467" s="4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21"/>
      <c r="B468" s="133"/>
      <c r="C468" s="422"/>
      <c r="D468" s="4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21"/>
      <c r="B469" s="133"/>
      <c r="C469" s="422"/>
      <c r="D469" s="4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21"/>
      <c r="B470" s="133"/>
      <c r="C470" s="422"/>
      <c r="D470" s="4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21"/>
      <c r="B471" s="133"/>
      <c r="C471" s="422"/>
      <c r="D471" s="4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21"/>
      <c r="B472" s="133"/>
      <c r="C472" s="422"/>
      <c r="D472" s="4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21"/>
      <c r="B473" s="133"/>
      <c r="C473" s="422"/>
      <c r="D473" s="4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21"/>
      <c r="B474" s="133"/>
      <c r="C474" s="422"/>
      <c r="D474" s="4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21"/>
      <c r="B475" s="133"/>
      <c r="C475" s="422"/>
      <c r="D475" s="4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21"/>
      <c r="B476" s="133"/>
      <c r="C476" s="422"/>
      <c r="D476" s="4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21"/>
      <c r="B477" s="133"/>
      <c r="C477" s="422"/>
      <c r="D477" s="4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21"/>
      <c r="B478" s="133"/>
      <c r="C478" s="422"/>
      <c r="D478" s="4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21"/>
      <c r="B479" s="133"/>
      <c r="C479" s="422"/>
      <c r="D479" s="4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21"/>
      <c r="B480" s="133"/>
      <c r="C480" s="422"/>
      <c r="D480" s="4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21"/>
      <c r="B481" s="133"/>
      <c r="C481" s="422"/>
      <c r="D481" s="4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21"/>
      <c r="B482" s="133"/>
      <c r="C482" s="422"/>
      <c r="D482" s="4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21"/>
      <c r="B483" s="133"/>
      <c r="C483" s="422"/>
      <c r="D483" s="4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21"/>
      <c r="B484" s="133"/>
      <c r="C484" s="422"/>
      <c r="D484" s="4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21"/>
      <c r="B485" s="133"/>
      <c r="C485" s="422"/>
      <c r="D485" s="4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21"/>
      <c r="B486" s="133"/>
      <c r="C486" s="422"/>
      <c r="D486" s="4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21"/>
      <c r="B487" s="133"/>
      <c r="C487" s="422"/>
      <c r="D487" s="4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21"/>
      <c r="B488" s="133"/>
      <c r="C488" s="422"/>
      <c r="D488" s="4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21"/>
      <c r="B489" s="133"/>
      <c r="C489" s="422"/>
      <c r="D489" s="4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21"/>
      <c r="B490" s="133"/>
      <c r="C490" s="422"/>
      <c r="D490" s="4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21"/>
      <c r="B491" s="133"/>
      <c r="C491" s="422"/>
      <c r="D491" s="4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21"/>
      <c r="B492" s="133"/>
      <c r="C492" s="422"/>
      <c r="D492" s="4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21"/>
      <c r="B493" s="133"/>
      <c r="C493" s="422"/>
      <c r="D493" s="4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21"/>
      <c r="B494" s="133"/>
      <c r="C494" s="422"/>
      <c r="D494" s="4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21"/>
      <c r="B495" s="133"/>
      <c r="C495" s="422"/>
      <c r="D495" s="4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21"/>
      <c r="B496" s="133"/>
      <c r="C496" s="422"/>
      <c r="D496" s="4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21"/>
      <c r="B497" s="133"/>
      <c r="C497" s="422"/>
      <c r="D497" s="4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21"/>
      <c r="B498" s="133"/>
      <c r="C498" s="422"/>
      <c r="D498" s="4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21"/>
      <c r="B499" s="133"/>
      <c r="C499" s="422"/>
      <c r="D499" s="4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21"/>
      <c r="B500" s="133"/>
      <c r="C500" s="422"/>
      <c r="D500" s="4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21"/>
      <c r="B501" s="133"/>
      <c r="C501" s="422"/>
      <c r="D501" s="4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21"/>
      <c r="B502" s="133"/>
      <c r="C502" s="422"/>
      <c r="D502" s="4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21"/>
      <c r="B503" s="133"/>
      <c r="C503" s="422"/>
      <c r="D503" s="4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21"/>
      <c r="B504" s="133"/>
      <c r="C504" s="422"/>
      <c r="D504" s="4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21"/>
      <c r="B505" s="133"/>
      <c r="C505" s="422"/>
      <c r="D505" s="4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21"/>
      <c r="B506" s="133"/>
      <c r="C506" s="422"/>
      <c r="D506" s="4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21"/>
      <c r="B507" s="133"/>
      <c r="C507" s="422"/>
      <c r="D507" s="4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21"/>
      <c r="B508" s="133"/>
      <c r="C508" s="422"/>
      <c r="D508" s="4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21"/>
      <c r="B509" s="133"/>
      <c r="C509" s="422"/>
      <c r="D509" s="4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21"/>
      <c r="B510" s="133"/>
      <c r="C510" s="422"/>
      <c r="D510" s="4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21"/>
      <c r="B511" s="133"/>
      <c r="C511" s="422"/>
      <c r="D511" s="4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21"/>
      <c r="B512" s="133"/>
      <c r="C512" s="422"/>
      <c r="D512" s="4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21"/>
      <c r="B513" s="133"/>
      <c r="C513" s="422"/>
      <c r="D513" s="4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21"/>
      <c r="B514" s="133"/>
      <c r="C514" s="422"/>
      <c r="D514" s="4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21"/>
      <c r="B515" s="133"/>
      <c r="C515" s="422"/>
      <c r="D515" s="4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21"/>
      <c r="B516" s="133"/>
      <c r="C516" s="422"/>
      <c r="D516" s="4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21"/>
      <c r="B517" s="133"/>
      <c r="C517" s="422"/>
      <c r="D517" s="4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21"/>
      <c r="B518" s="133"/>
      <c r="C518" s="422"/>
      <c r="D518" s="4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21"/>
      <c r="B519" s="133"/>
      <c r="C519" s="422"/>
      <c r="D519" s="4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21"/>
      <c r="B520" s="133"/>
      <c r="C520" s="422"/>
      <c r="D520" s="4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21"/>
      <c r="B521" s="133"/>
      <c r="C521" s="422"/>
      <c r="D521" s="4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21"/>
      <c r="B522" s="133"/>
      <c r="C522" s="422"/>
      <c r="D522" s="4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21"/>
      <c r="B523" s="133"/>
      <c r="C523" s="422"/>
      <c r="D523" s="4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21"/>
      <c r="B524" s="133"/>
      <c r="C524" s="422"/>
      <c r="D524" s="4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21"/>
      <c r="B525" s="133"/>
      <c r="C525" s="422"/>
      <c r="D525" s="4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21"/>
      <c r="B526" s="133"/>
      <c r="C526" s="422"/>
      <c r="D526" s="4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21"/>
      <c r="B527" s="133"/>
      <c r="C527" s="422"/>
      <c r="D527" s="4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21"/>
      <c r="B528" s="133"/>
      <c r="C528" s="422"/>
      <c r="D528" s="4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21"/>
      <c r="B529" s="133"/>
      <c r="C529" s="422"/>
      <c r="D529" s="4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21"/>
      <c r="B530" s="133"/>
      <c r="C530" s="422"/>
      <c r="D530" s="4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21"/>
      <c r="B531" s="133"/>
      <c r="C531" s="422"/>
      <c r="D531" s="4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21"/>
      <c r="B532" s="133"/>
      <c r="C532" s="422"/>
      <c r="D532" s="4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21"/>
      <c r="B533" s="133"/>
      <c r="C533" s="422"/>
      <c r="D533" s="4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21"/>
      <c r="B534" s="133"/>
      <c r="C534" s="422"/>
      <c r="D534" s="4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21"/>
      <c r="B535" s="133"/>
      <c r="C535" s="422"/>
      <c r="D535" s="4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21"/>
      <c r="B536" s="133"/>
      <c r="C536" s="422"/>
      <c r="D536" s="4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21"/>
      <c r="B537" s="133"/>
      <c r="C537" s="422"/>
      <c r="D537" s="4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21"/>
      <c r="B538" s="133"/>
      <c r="C538" s="422"/>
      <c r="D538" s="4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21"/>
      <c r="B539" s="133"/>
      <c r="C539" s="422"/>
      <c r="D539" s="4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21"/>
      <c r="B540" s="133"/>
      <c r="C540" s="422"/>
      <c r="D540" s="4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21"/>
      <c r="B541" s="133"/>
      <c r="C541" s="422"/>
      <c r="D541" s="4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21"/>
      <c r="B542" s="133"/>
      <c r="C542" s="422"/>
      <c r="D542" s="4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21"/>
      <c r="B543" s="133"/>
      <c r="C543" s="422"/>
      <c r="D543" s="4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21"/>
      <c r="B544" s="133"/>
      <c r="C544" s="422"/>
      <c r="D544" s="4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21"/>
      <c r="B545" s="133"/>
      <c r="C545" s="422"/>
      <c r="D545" s="4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21"/>
      <c r="B546" s="133"/>
      <c r="C546" s="422"/>
      <c r="D546" s="4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21"/>
      <c r="B547" s="133"/>
      <c r="C547" s="422"/>
      <c r="D547" s="4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21"/>
      <c r="B548" s="133"/>
      <c r="C548" s="422"/>
      <c r="D548" s="4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21"/>
      <c r="B549" s="133"/>
      <c r="C549" s="422"/>
      <c r="D549" s="4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21"/>
      <c r="B550" s="133"/>
      <c r="C550" s="422"/>
      <c r="D550" s="4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21"/>
      <c r="B551" s="133"/>
      <c r="C551" s="422"/>
      <c r="D551" s="4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21"/>
      <c r="B552" s="133"/>
      <c r="C552" s="422"/>
      <c r="D552" s="4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21"/>
      <c r="B553" s="133"/>
      <c r="C553" s="422"/>
      <c r="D553" s="4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21"/>
      <c r="B554" s="133"/>
      <c r="C554" s="422"/>
      <c r="D554" s="4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21"/>
      <c r="B555" s="133"/>
      <c r="C555" s="422"/>
      <c r="D555" s="4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21"/>
      <c r="B556" s="133"/>
      <c r="C556" s="422"/>
      <c r="D556" s="4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21"/>
      <c r="B557" s="133"/>
      <c r="C557" s="422"/>
      <c r="D557" s="4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21"/>
      <c r="B558" s="133"/>
      <c r="C558" s="422"/>
      <c r="D558" s="4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21"/>
      <c r="B559" s="133"/>
      <c r="C559" s="422"/>
      <c r="D559" s="4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21"/>
      <c r="B560" s="133"/>
      <c r="C560" s="422"/>
      <c r="D560" s="4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21"/>
      <c r="B561" s="133"/>
      <c r="C561" s="422"/>
      <c r="D561" s="4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21"/>
      <c r="B562" s="133"/>
      <c r="C562" s="422"/>
      <c r="D562" s="4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21"/>
      <c r="B563" s="133"/>
      <c r="C563" s="422"/>
      <c r="D563" s="4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21"/>
      <c r="B564" s="133"/>
      <c r="C564" s="422"/>
      <c r="D564" s="4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21"/>
      <c r="B565" s="133"/>
      <c r="C565" s="422"/>
      <c r="D565" s="4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21"/>
      <c r="B566" s="133"/>
      <c r="C566" s="422"/>
      <c r="D566" s="4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21"/>
      <c r="B567" s="133"/>
      <c r="C567" s="422"/>
      <c r="D567" s="4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21"/>
      <c r="B568" s="133"/>
      <c r="C568" s="422"/>
      <c r="D568" s="4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21"/>
      <c r="B569" s="133"/>
      <c r="C569" s="422"/>
      <c r="D569" s="4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21"/>
      <c r="B570" s="133"/>
      <c r="C570" s="422"/>
      <c r="D570" s="4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21"/>
      <c r="B571" s="133"/>
      <c r="C571" s="422"/>
      <c r="D571" s="4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21"/>
      <c r="B572" s="133"/>
      <c r="C572" s="422"/>
      <c r="D572" s="4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21"/>
      <c r="B573" s="133"/>
      <c r="C573" s="422"/>
      <c r="D573" s="4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21"/>
      <c r="B574" s="133"/>
      <c r="C574" s="422"/>
      <c r="D574" s="4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21"/>
      <c r="B575" s="133"/>
      <c r="C575" s="422"/>
      <c r="D575" s="4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21"/>
      <c r="B576" s="133"/>
      <c r="C576" s="422"/>
      <c r="D576" s="4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21"/>
      <c r="B577" s="133"/>
      <c r="C577" s="422"/>
      <c r="D577" s="4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21"/>
      <c r="B578" s="133"/>
      <c r="C578" s="422"/>
      <c r="D578" s="4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21"/>
      <c r="B579" s="133"/>
      <c r="C579" s="422"/>
      <c r="D579" s="4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21"/>
      <c r="B580" s="133"/>
      <c r="C580" s="422"/>
      <c r="D580" s="4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21"/>
      <c r="B581" s="133"/>
      <c r="C581" s="422"/>
      <c r="D581" s="4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21"/>
      <c r="B582" s="133"/>
      <c r="C582" s="422"/>
      <c r="D582" s="4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21"/>
      <c r="B583" s="133"/>
      <c r="C583" s="422"/>
      <c r="D583" s="4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21"/>
      <c r="B584" s="133"/>
      <c r="C584" s="422"/>
      <c r="D584" s="4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21"/>
      <c r="B585" s="133"/>
      <c r="C585" s="422"/>
      <c r="D585" s="4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21"/>
      <c r="B586" s="133"/>
      <c r="C586" s="422"/>
      <c r="D586" s="4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21"/>
      <c r="B587" s="133"/>
      <c r="C587" s="422"/>
      <c r="D587" s="4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21"/>
      <c r="B588" s="133"/>
      <c r="C588" s="422"/>
      <c r="D588" s="4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21"/>
      <c r="B589" s="133"/>
      <c r="C589" s="422"/>
      <c r="D589" s="4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21"/>
      <c r="B590" s="133"/>
      <c r="C590" s="422"/>
      <c r="D590" s="4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21"/>
      <c r="B591" s="133"/>
      <c r="C591" s="422"/>
      <c r="D591" s="4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21"/>
      <c r="B592" s="133"/>
      <c r="C592" s="422"/>
      <c r="D592" s="4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21"/>
      <c r="B593" s="133"/>
      <c r="C593" s="422"/>
      <c r="D593" s="4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21"/>
      <c r="B594" s="133"/>
      <c r="C594" s="422"/>
      <c r="D594" s="4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21"/>
      <c r="B595" s="133"/>
      <c r="C595" s="422"/>
      <c r="D595" s="4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21"/>
      <c r="B596" s="133"/>
      <c r="C596" s="422"/>
      <c r="D596" s="4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21"/>
      <c r="B597" s="133"/>
      <c r="C597" s="422"/>
      <c r="D597" s="4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21"/>
      <c r="B598" s="133"/>
      <c r="C598" s="422"/>
      <c r="D598" s="4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21"/>
      <c r="B599" s="133"/>
      <c r="C599" s="422"/>
      <c r="D599" s="4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21"/>
      <c r="B600" s="133"/>
      <c r="C600" s="422"/>
      <c r="D600" s="4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21"/>
      <c r="B601" s="133"/>
      <c r="C601" s="422"/>
      <c r="D601" s="4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21"/>
      <c r="B602" s="133"/>
      <c r="C602" s="422"/>
      <c r="D602" s="4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21"/>
      <c r="B603" s="133"/>
      <c r="C603" s="422"/>
      <c r="D603" s="4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21"/>
      <c r="B604" s="133"/>
      <c r="C604" s="422"/>
      <c r="D604" s="4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21"/>
      <c r="B605" s="133"/>
      <c r="C605" s="422"/>
      <c r="D605" s="4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21"/>
      <c r="B606" s="133"/>
      <c r="C606" s="422"/>
      <c r="D606" s="4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21"/>
      <c r="B607" s="133"/>
      <c r="C607" s="422"/>
      <c r="D607" s="4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21"/>
      <c r="B608" s="133"/>
      <c r="C608" s="422"/>
      <c r="D608" s="4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21"/>
      <c r="B609" s="133"/>
      <c r="C609" s="422"/>
      <c r="D609" s="4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21"/>
      <c r="B610" s="133"/>
      <c r="C610" s="422"/>
      <c r="D610" s="4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21"/>
      <c r="B611" s="133"/>
      <c r="C611" s="422"/>
      <c r="D611" s="4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21"/>
      <c r="B612" s="133"/>
      <c r="C612" s="422"/>
      <c r="D612" s="4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21"/>
      <c r="B613" s="133"/>
      <c r="C613" s="422"/>
      <c r="D613" s="4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21"/>
      <c r="B614" s="133"/>
      <c r="C614" s="422"/>
      <c r="D614" s="4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21"/>
      <c r="B615" s="133"/>
      <c r="C615" s="422"/>
      <c r="D615" s="4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21"/>
      <c r="B616" s="133"/>
      <c r="C616" s="422"/>
      <c r="D616" s="4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21"/>
      <c r="B617" s="133"/>
      <c r="C617" s="422"/>
      <c r="D617" s="4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21"/>
      <c r="B618" s="133"/>
      <c r="C618" s="422"/>
      <c r="D618" s="4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21"/>
      <c r="B619" s="133"/>
      <c r="C619" s="422"/>
      <c r="D619" s="4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21"/>
      <c r="B620" s="133"/>
      <c r="C620" s="422"/>
      <c r="D620" s="4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21"/>
      <c r="B621" s="133"/>
      <c r="C621" s="422"/>
      <c r="D621" s="4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21"/>
      <c r="B622" s="133"/>
      <c r="C622" s="422"/>
      <c r="D622" s="4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21"/>
      <c r="B623" s="133"/>
      <c r="C623" s="422"/>
      <c r="D623" s="4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21"/>
      <c r="B624" s="133"/>
      <c r="C624" s="422"/>
      <c r="D624" s="4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21"/>
      <c r="B625" s="133"/>
      <c r="C625" s="422"/>
      <c r="D625" s="4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21"/>
      <c r="B626" s="133"/>
      <c r="C626" s="422"/>
      <c r="D626" s="4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21"/>
      <c r="B627" s="133"/>
      <c r="C627" s="422"/>
      <c r="D627" s="4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21"/>
      <c r="B628" s="133"/>
      <c r="C628" s="422"/>
      <c r="D628" s="4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21"/>
      <c r="B629" s="133"/>
      <c r="C629" s="422"/>
      <c r="D629" s="4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21"/>
      <c r="B630" s="133"/>
      <c r="C630" s="422"/>
      <c r="D630" s="4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21"/>
      <c r="B631" s="133"/>
      <c r="C631" s="422"/>
      <c r="D631" s="4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21"/>
      <c r="B632" s="133"/>
      <c r="C632" s="422"/>
      <c r="D632" s="4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21"/>
      <c r="B633" s="133"/>
      <c r="C633" s="422"/>
      <c r="D633" s="4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21"/>
      <c r="B634" s="133"/>
      <c r="C634" s="422"/>
      <c r="D634" s="4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21"/>
      <c r="B635" s="133"/>
      <c r="C635" s="422"/>
      <c r="D635" s="4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21"/>
      <c r="B636" s="133"/>
      <c r="C636" s="422"/>
      <c r="D636" s="4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21"/>
      <c r="B637" s="133"/>
      <c r="C637" s="422"/>
      <c r="D637" s="4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21"/>
      <c r="B638" s="133"/>
      <c r="C638" s="422"/>
      <c r="D638" s="4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21"/>
      <c r="B639" s="133"/>
      <c r="C639" s="422"/>
      <c r="D639" s="4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21"/>
      <c r="B640" s="133"/>
      <c r="C640" s="422"/>
      <c r="D640" s="4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21"/>
      <c r="B641" s="133"/>
      <c r="C641" s="422"/>
      <c r="D641" s="4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21"/>
      <c r="B642" s="133"/>
      <c r="C642" s="422"/>
      <c r="D642" s="4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21"/>
      <c r="B643" s="133"/>
      <c r="C643" s="422"/>
      <c r="D643" s="4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21"/>
      <c r="B644" s="133"/>
      <c r="C644" s="422"/>
      <c r="D644" s="4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21"/>
      <c r="B645" s="133"/>
      <c r="C645" s="422"/>
      <c r="D645" s="4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21"/>
      <c r="B646" s="133"/>
      <c r="C646" s="422"/>
      <c r="D646" s="4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21"/>
      <c r="B647" s="133"/>
      <c r="C647" s="422"/>
      <c r="D647" s="4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21"/>
      <c r="B648" s="133"/>
      <c r="C648" s="422"/>
      <c r="D648" s="4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21"/>
      <c r="B649" s="133"/>
      <c r="C649" s="422"/>
      <c r="D649" s="4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21"/>
      <c r="B650" s="133"/>
      <c r="C650" s="422"/>
      <c r="D650" s="4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21"/>
      <c r="B651" s="133"/>
      <c r="C651" s="422"/>
      <c r="D651" s="4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21"/>
      <c r="B652" s="133"/>
      <c r="C652" s="422"/>
      <c r="D652" s="4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21"/>
      <c r="B653" s="133"/>
      <c r="C653" s="422"/>
      <c r="D653" s="4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21"/>
      <c r="B654" s="133"/>
      <c r="C654" s="422"/>
      <c r="D654" s="4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21"/>
      <c r="B655" s="133"/>
      <c r="C655" s="422"/>
      <c r="D655" s="4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21"/>
      <c r="B656" s="133"/>
      <c r="C656" s="422"/>
      <c r="D656" s="4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21"/>
      <c r="B657" s="133"/>
      <c r="C657" s="422"/>
      <c r="D657" s="4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21"/>
      <c r="B658" s="133"/>
      <c r="C658" s="422"/>
      <c r="D658" s="4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21"/>
      <c r="B659" s="133"/>
      <c r="C659" s="422"/>
      <c r="D659" s="4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21"/>
      <c r="B660" s="133"/>
      <c r="C660" s="422"/>
      <c r="D660" s="4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21"/>
      <c r="B661" s="133"/>
      <c r="C661" s="422"/>
      <c r="D661" s="4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21"/>
      <c r="B662" s="133"/>
      <c r="C662" s="422"/>
      <c r="D662" s="4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21"/>
      <c r="B663" s="133"/>
      <c r="C663" s="422"/>
      <c r="D663" s="4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21"/>
      <c r="B664" s="133"/>
      <c r="C664" s="422"/>
      <c r="D664" s="4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21"/>
      <c r="B665" s="133"/>
      <c r="C665" s="422"/>
      <c r="D665" s="4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21"/>
      <c r="B666" s="133"/>
      <c r="C666" s="422"/>
      <c r="D666" s="4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21"/>
      <c r="B667" s="133"/>
      <c r="C667" s="422"/>
      <c r="D667" s="4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21"/>
      <c r="B668" s="133"/>
      <c r="C668" s="422"/>
      <c r="D668" s="4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21"/>
      <c r="B669" s="133"/>
      <c r="C669" s="422"/>
      <c r="D669" s="4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21"/>
      <c r="B670" s="133"/>
      <c r="C670" s="422"/>
      <c r="D670" s="4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21"/>
      <c r="B671" s="133"/>
      <c r="C671" s="422"/>
      <c r="D671" s="4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21"/>
      <c r="B672" s="133"/>
      <c r="C672" s="422"/>
      <c r="D672" s="4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21"/>
      <c r="B673" s="133"/>
      <c r="C673" s="422"/>
      <c r="D673" s="4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21"/>
      <c r="B674" s="133"/>
      <c r="C674" s="422"/>
      <c r="D674" s="4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21"/>
      <c r="B675" s="133"/>
      <c r="C675" s="422"/>
      <c r="D675" s="4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21"/>
      <c r="B676" s="133"/>
      <c r="C676" s="422"/>
      <c r="D676" s="4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21"/>
      <c r="B677" s="133"/>
      <c r="C677" s="422"/>
      <c r="D677" s="4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21"/>
      <c r="B678" s="133"/>
      <c r="C678" s="422"/>
      <c r="D678" s="4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21"/>
      <c r="B679" s="133"/>
      <c r="C679" s="422"/>
      <c r="D679" s="4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21"/>
      <c r="B680" s="133"/>
      <c r="C680" s="422"/>
      <c r="D680" s="4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21"/>
      <c r="B681" s="133"/>
      <c r="C681" s="422"/>
      <c r="D681" s="4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21"/>
      <c r="B682" s="133"/>
      <c r="C682" s="422"/>
      <c r="D682" s="4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21"/>
      <c r="B683" s="133"/>
      <c r="C683" s="422"/>
      <c r="D683" s="4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21"/>
      <c r="B684" s="133"/>
      <c r="C684" s="422"/>
      <c r="D684" s="4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21"/>
      <c r="B685" s="133"/>
      <c r="C685" s="422"/>
      <c r="D685" s="4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21"/>
      <c r="B686" s="133"/>
      <c r="C686" s="422"/>
      <c r="D686" s="4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21"/>
      <c r="B687" s="133"/>
      <c r="C687" s="422"/>
      <c r="D687" s="4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21"/>
      <c r="B688" s="133"/>
      <c r="C688" s="422"/>
      <c r="D688" s="4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21"/>
      <c r="B689" s="133"/>
      <c r="C689" s="422"/>
      <c r="D689" s="4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21"/>
      <c r="B690" s="133"/>
      <c r="C690" s="422"/>
      <c r="D690" s="4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21"/>
      <c r="B691" s="133"/>
      <c r="C691" s="422"/>
      <c r="D691" s="4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21"/>
      <c r="B692" s="133"/>
      <c r="C692" s="422"/>
      <c r="D692" s="4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21"/>
      <c r="B693" s="133"/>
      <c r="C693" s="422"/>
      <c r="D693" s="4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21"/>
      <c r="B694" s="133"/>
      <c r="C694" s="422"/>
      <c r="D694" s="4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21"/>
      <c r="B695" s="133"/>
      <c r="C695" s="422"/>
      <c r="D695" s="4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21"/>
      <c r="B696" s="133"/>
      <c r="C696" s="422"/>
      <c r="D696" s="4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21"/>
      <c r="B697" s="133"/>
      <c r="C697" s="422"/>
      <c r="D697" s="4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21"/>
      <c r="B698" s="133"/>
      <c r="C698" s="422"/>
      <c r="D698" s="4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21"/>
      <c r="B699" s="133"/>
      <c r="C699" s="422"/>
      <c r="D699" s="4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21"/>
      <c r="B700" s="133"/>
      <c r="C700" s="422"/>
      <c r="D700" s="4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21"/>
      <c r="B701" s="133"/>
      <c r="C701" s="422"/>
      <c r="D701" s="4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21"/>
      <c r="B702" s="133"/>
      <c r="C702" s="422"/>
      <c r="D702" s="4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21"/>
      <c r="B703" s="133"/>
      <c r="C703" s="422"/>
      <c r="D703" s="4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21"/>
      <c r="B704" s="133"/>
      <c r="C704" s="422"/>
      <c r="D704" s="4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21"/>
      <c r="B705" s="133"/>
      <c r="C705" s="422"/>
      <c r="D705" s="4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21"/>
      <c r="B706" s="133"/>
      <c r="C706" s="422"/>
      <c r="D706" s="4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21"/>
      <c r="B707" s="133"/>
      <c r="C707" s="422"/>
      <c r="D707" s="4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21"/>
      <c r="B708" s="133"/>
      <c r="C708" s="422"/>
      <c r="D708" s="4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21"/>
      <c r="B709" s="133"/>
      <c r="C709" s="422"/>
      <c r="D709" s="4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21"/>
      <c r="B710" s="133"/>
      <c r="C710" s="422"/>
      <c r="D710" s="4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21"/>
      <c r="B711" s="133"/>
      <c r="C711" s="422"/>
      <c r="D711" s="4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21"/>
      <c r="B712" s="133"/>
      <c r="C712" s="422"/>
      <c r="D712" s="4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21"/>
      <c r="B713" s="133"/>
      <c r="C713" s="422"/>
      <c r="D713" s="4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21"/>
      <c r="B714" s="133"/>
      <c r="C714" s="422"/>
      <c r="D714" s="4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21"/>
      <c r="B715" s="133"/>
      <c r="C715" s="422"/>
      <c r="D715" s="4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21"/>
      <c r="B716" s="133"/>
      <c r="C716" s="422"/>
      <c r="D716" s="4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21"/>
      <c r="B717" s="133"/>
      <c r="C717" s="422"/>
      <c r="D717" s="4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21"/>
      <c r="B718" s="133"/>
      <c r="C718" s="422"/>
      <c r="D718" s="4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21"/>
      <c r="B719" s="133"/>
      <c r="C719" s="422"/>
      <c r="D719" s="4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21"/>
      <c r="B720" s="133"/>
      <c r="C720" s="422"/>
      <c r="D720" s="4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21"/>
      <c r="B721" s="133"/>
      <c r="C721" s="422"/>
      <c r="D721" s="4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21"/>
      <c r="B722" s="133"/>
      <c r="C722" s="422"/>
      <c r="D722" s="4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21"/>
      <c r="B723" s="133"/>
      <c r="C723" s="422"/>
      <c r="D723" s="4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21"/>
      <c r="B724" s="133"/>
      <c r="C724" s="422"/>
      <c r="D724" s="4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21"/>
      <c r="B725" s="133"/>
      <c r="C725" s="422"/>
      <c r="D725" s="4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21"/>
      <c r="B726" s="133"/>
      <c r="C726" s="422"/>
      <c r="D726" s="4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21"/>
      <c r="B727" s="133"/>
      <c r="C727" s="422"/>
      <c r="D727" s="4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21"/>
      <c r="B728" s="133"/>
      <c r="C728" s="422"/>
      <c r="D728" s="4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21"/>
      <c r="B729" s="133"/>
      <c r="C729" s="422"/>
      <c r="D729" s="4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21"/>
      <c r="B730" s="133"/>
      <c r="C730" s="422"/>
      <c r="D730" s="4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21"/>
      <c r="B731" s="133"/>
      <c r="C731" s="422"/>
      <c r="D731" s="4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21"/>
      <c r="B732" s="133"/>
      <c r="C732" s="422"/>
      <c r="D732" s="4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21"/>
      <c r="B733" s="133"/>
      <c r="C733" s="422"/>
      <c r="D733" s="4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21"/>
      <c r="B734" s="133"/>
      <c r="C734" s="422"/>
      <c r="D734" s="4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21"/>
      <c r="B735" s="133"/>
      <c r="C735" s="422"/>
      <c r="D735" s="4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21"/>
      <c r="B736" s="133"/>
      <c r="C736" s="422"/>
      <c r="D736" s="4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21"/>
      <c r="B737" s="133"/>
      <c r="C737" s="422"/>
      <c r="D737" s="4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21"/>
      <c r="B738" s="133"/>
      <c r="C738" s="422"/>
      <c r="D738" s="4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21"/>
      <c r="B739" s="133"/>
      <c r="C739" s="422"/>
      <c r="D739" s="4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21"/>
      <c r="B740" s="133"/>
      <c r="C740" s="422"/>
      <c r="D740" s="4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21"/>
      <c r="B741" s="133"/>
      <c r="C741" s="422"/>
      <c r="D741" s="4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21"/>
      <c r="B742" s="133"/>
      <c r="C742" s="422"/>
      <c r="D742" s="4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21"/>
      <c r="B743" s="133"/>
      <c r="C743" s="422"/>
      <c r="D743" s="4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21"/>
      <c r="B744" s="133"/>
      <c r="C744" s="422"/>
      <c r="D744" s="4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21"/>
      <c r="B745" s="133"/>
      <c r="C745" s="422"/>
      <c r="D745" s="4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21"/>
      <c r="B746" s="133"/>
      <c r="C746" s="422"/>
      <c r="D746" s="4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21"/>
      <c r="B747" s="133"/>
      <c r="C747" s="422"/>
      <c r="D747" s="4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21"/>
      <c r="B748" s="133"/>
      <c r="C748" s="422"/>
      <c r="D748" s="4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21"/>
      <c r="B749" s="133"/>
      <c r="C749" s="422"/>
      <c r="D749" s="4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21"/>
      <c r="B750" s="133"/>
      <c r="C750" s="422"/>
      <c r="D750" s="4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21"/>
      <c r="B751" s="133"/>
      <c r="C751" s="422"/>
      <c r="D751" s="4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21"/>
      <c r="B752" s="133"/>
      <c r="C752" s="422"/>
      <c r="D752" s="4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21"/>
      <c r="B753" s="133"/>
      <c r="C753" s="422"/>
      <c r="D753" s="4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21"/>
      <c r="B754" s="133"/>
      <c r="C754" s="422"/>
      <c r="D754" s="4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21"/>
      <c r="B755" s="133"/>
      <c r="C755" s="422"/>
      <c r="D755" s="4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21"/>
      <c r="B756" s="133"/>
      <c r="C756" s="422"/>
      <c r="D756" s="4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21"/>
      <c r="B757" s="133"/>
      <c r="C757" s="422"/>
      <c r="D757" s="4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21"/>
      <c r="B758" s="133"/>
      <c r="C758" s="422"/>
      <c r="D758" s="4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21"/>
      <c r="B759" s="133"/>
      <c r="C759" s="422"/>
      <c r="D759" s="4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21"/>
      <c r="B760" s="133"/>
      <c r="C760" s="422"/>
      <c r="D760" s="4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21"/>
      <c r="B761" s="133"/>
      <c r="C761" s="422"/>
      <c r="D761" s="4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21"/>
      <c r="B762" s="133"/>
      <c r="C762" s="422"/>
      <c r="D762" s="4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21"/>
      <c r="B763" s="133"/>
      <c r="C763" s="422"/>
      <c r="D763" s="4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21"/>
      <c r="B764" s="133"/>
      <c r="C764" s="422"/>
      <c r="D764" s="4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21"/>
      <c r="B765" s="133"/>
      <c r="C765" s="422"/>
      <c r="D765" s="4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21"/>
      <c r="B766" s="133"/>
      <c r="C766" s="422"/>
      <c r="D766" s="4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21"/>
      <c r="B767" s="133"/>
      <c r="C767" s="422"/>
      <c r="D767" s="4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21"/>
      <c r="B768" s="133"/>
      <c r="C768" s="422"/>
      <c r="D768" s="4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21"/>
      <c r="B769" s="133"/>
      <c r="C769" s="422"/>
      <c r="D769" s="4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21"/>
      <c r="B770" s="133"/>
      <c r="C770" s="422"/>
      <c r="D770" s="4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21"/>
      <c r="B771" s="133"/>
      <c r="C771" s="422"/>
      <c r="D771" s="4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21"/>
      <c r="B772" s="133"/>
      <c r="C772" s="422"/>
      <c r="D772" s="4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21"/>
      <c r="B773" s="133"/>
      <c r="C773" s="422"/>
      <c r="D773" s="4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21"/>
      <c r="B774" s="133"/>
      <c r="C774" s="422"/>
      <c r="D774" s="4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21"/>
      <c r="B775" s="133"/>
      <c r="C775" s="422"/>
      <c r="D775" s="4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21"/>
      <c r="B776" s="133"/>
      <c r="C776" s="422"/>
      <c r="D776" s="4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21"/>
      <c r="B777" s="133"/>
      <c r="C777" s="422"/>
      <c r="D777" s="4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21"/>
      <c r="B778" s="133"/>
      <c r="C778" s="422"/>
      <c r="D778" s="4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21"/>
      <c r="B779" s="133"/>
      <c r="C779" s="422"/>
      <c r="D779" s="4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21"/>
      <c r="B780" s="133"/>
      <c r="C780" s="422"/>
      <c r="D780" s="4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21"/>
      <c r="B781" s="133"/>
      <c r="C781" s="422"/>
      <c r="D781" s="4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21"/>
      <c r="B782" s="133"/>
      <c r="C782" s="422"/>
      <c r="D782" s="4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21"/>
      <c r="B783" s="133"/>
      <c r="C783" s="422"/>
      <c r="D783" s="4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21"/>
      <c r="B784" s="133"/>
      <c r="C784" s="422"/>
      <c r="D784" s="4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21"/>
      <c r="B785" s="133"/>
      <c r="C785" s="422"/>
      <c r="D785" s="4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21"/>
      <c r="B786" s="133"/>
      <c r="C786" s="422"/>
      <c r="D786" s="4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21"/>
      <c r="B787" s="133"/>
      <c r="C787" s="422"/>
      <c r="D787" s="4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21"/>
      <c r="B788" s="133"/>
      <c r="C788" s="422"/>
      <c r="D788" s="4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21"/>
      <c r="B789" s="133"/>
      <c r="C789" s="422"/>
      <c r="D789" s="4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21"/>
      <c r="B790" s="133"/>
      <c r="C790" s="422"/>
      <c r="D790" s="4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21"/>
      <c r="B791" s="133"/>
      <c r="C791" s="422"/>
      <c r="D791" s="4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21"/>
      <c r="B792" s="133"/>
      <c r="C792" s="422"/>
      <c r="D792" s="4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21"/>
      <c r="B793" s="133"/>
      <c r="C793" s="422"/>
      <c r="D793" s="4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21"/>
      <c r="B794" s="133"/>
      <c r="C794" s="422"/>
      <c r="D794" s="4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21"/>
      <c r="B795" s="133"/>
      <c r="C795" s="422"/>
      <c r="D795" s="4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21"/>
      <c r="B796" s="133"/>
      <c r="C796" s="422"/>
      <c r="D796" s="4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21"/>
      <c r="B797" s="133"/>
      <c r="C797" s="422"/>
      <c r="D797" s="4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21"/>
      <c r="B798" s="133"/>
      <c r="C798" s="422"/>
      <c r="D798" s="4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21"/>
      <c r="B799" s="133"/>
      <c r="C799" s="422"/>
      <c r="D799" s="4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21"/>
      <c r="B800" s="133"/>
      <c r="C800" s="422"/>
      <c r="D800" s="4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21"/>
      <c r="B801" s="133"/>
      <c r="C801" s="422"/>
      <c r="D801" s="4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21"/>
      <c r="B802" s="133"/>
      <c r="C802" s="422"/>
      <c r="D802" s="4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21"/>
      <c r="B803" s="133"/>
      <c r="C803" s="422"/>
      <c r="D803" s="4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21"/>
      <c r="B804" s="133"/>
      <c r="C804" s="422"/>
      <c r="D804" s="4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21"/>
      <c r="B805" s="133"/>
      <c r="C805" s="422"/>
      <c r="D805" s="4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21"/>
      <c r="B806" s="133"/>
      <c r="C806" s="422"/>
      <c r="D806" s="4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21"/>
      <c r="B807" s="133"/>
      <c r="C807" s="422"/>
      <c r="D807" s="4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21"/>
      <c r="B808" s="133"/>
      <c r="C808" s="422"/>
      <c r="D808" s="4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21"/>
      <c r="B809" s="133"/>
      <c r="C809" s="422"/>
      <c r="D809" s="4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21"/>
      <c r="B810" s="133"/>
      <c r="C810" s="422"/>
      <c r="D810" s="4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21"/>
      <c r="B811" s="133"/>
      <c r="C811" s="422"/>
      <c r="D811" s="4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21"/>
      <c r="B812" s="133"/>
      <c r="C812" s="422"/>
      <c r="D812" s="4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21"/>
      <c r="B813" s="133"/>
      <c r="C813" s="422"/>
      <c r="D813" s="4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21"/>
      <c r="B814" s="133"/>
      <c r="C814" s="422"/>
      <c r="D814" s="4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21"/>
      <c r="B815" s="133"/>
      <c r="C815" s="422"/>
      <c r="D815" s="4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21"/>
      <c r="B816" s="133"/>
      <c r="C816" s="422"/>
      <c r="D816" s="4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21"/>
      <c r="B817" s="133"/>
      <c r="C817" s="422"/>
      <c r="D817" s="4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21"/>
      <c r="B818" s="133"/>
      <c r="C818" s="422"/>
      <c r="D818" s="4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21"/>
      <c r="B819" s="133"/>
      <c r="C819" s="422"/>
      <c r="D819" s="4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21"/>
      <c r="B820" s="133"/>
      <c r="C820" s="422"/>
      <c r="D820" s="4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21"/>
      <c r="B821" s="133"/>
      <c r="C821" s="422"/>
      <c r="D821" s="4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21"/>
      <c r="B822" s="133"/>
      <c r="C822" s="422"/>
      <c r="D822" s="4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21"/>
      <c r="B823" s="133"/>
      <c r="C823" s="422"/>
      <c r="D823" s="4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21"/>
      <c r="B824" s="133"/>
      <c r="C824" s="422"/>
      <c r="D824" s="4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21"/>
      <c r="B825" s="133"/>
      <c r="C825" s="422"/>
      <c r="D825" s="4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21"/>
      <c r="B826" s="133"/>
      <c r="C826" s="422"/>
      <c r="D826" s="4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21"/>
      <c r="B827" s="133"/>
      <c r="C827" s="422"/>
      <c r="D827" s="4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21"/>
      <c r="B828" s="133"/>
      <c r="C828" s="422"/>
      <c r="D828" s="4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21"/>
      <c r="B829" s="133"/>
      <c r="C829" s="422"/>
      <c r="D829" s="4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21"/>
      <c r="B830" s="133"/>
      <c r="C830" s="422"/>
      <c r="D830" s="4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21"/>
      <c r="B831" s="133"/>
      <c r="C831" s="422"/>
      <c r="D831" s="4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21"/>
      <c r="B832" s="133"/>
      <c r="C832" s="422"/>
      <c r="D832" s="4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21"/>
      <c r="B833" s="133"/>
      <c r="C833" s="422"/>
      <c r="D833" s="4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21"/>
      <c r="B834" s="133"/>
      <c r="C834" s="422"/>
      <c r="D834" s="4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21"/>
      <c r="B835" s="133"/>
      <c r="C835" s="422"/>
      <c r="D835" s="4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21"/>
      <c r="B836" s="133"/>
      <c r="C836" s="422"/>
      <c r="D836" s="4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21"/>
      <c r="B837" s="133"/>
      <c r="C837" s="422"/>
      <c r="D837" s="4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21"/>
      <c r="B838" s="133"/>
      <c r="C838" s="422"/>
      <c r="D838" s="4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21"/>
      <c r="B839" s="133"/>
      <c r="C839" s="422"/>
      <c r="D839" s="4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21"/>
      <c r="B840" s="133"/>
      <c r="C840" s="422"/>
      <c r="D840" s="4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21"/>
      <c r="B841" s="133"/>
      <c r="C841" s="422"/>
      <c r="D841" s="4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21"/>
      <c r="B842" s="133"/>
      <c r="C842" s="422"/>
      <c r="D842" s="4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21"/>
      <c r="B843" s="133"/>
      <c r="C843" s="422"/>
      <c r="D843" s="4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21"/>
      <c r="B844" s="133"/>
      <c r="C844" s="422"/>
      <c r="D844" s="4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21"/>
      <c r="B845" s="133"/>
      <c r="C845" s="422"/>
      <c r="D845" s="4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21"/>
      <c r="B846" s="133"/>
      <c r="C846" s="422"/>
      <c r="D846" s="4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21"/>
      <c r="B847" s="133"/>
      <c r="C847" s="422"/>
      <c r="D847" s="4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21"/>
      <c r="B848" s="133"/>
      <c r="C848" s="422"/>
      <c r="D848" s="4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21"/>
      <c r="B849" s="133"/>
      <c r="C849" s="422"/>
      <c r="D849" s="4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21"/>
      <c r="B850" s="133"/>
      <c r="C850" s="422"/>
      <c r="D850" s="4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21"/>
      <c r="B851" s="133"/>
      <c r="C851" s="422"/>
      <c r="D851" s="4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21"/>
      <c r="B852" s="133"/>
      <c r="C852" s="422"/>
      <c r="D852" s="4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21"/>
      <c r="B853" s="133"/>
      <c r="C853" s="422"/>
      <c r="D853" s="4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21"/>
      <c r="B854" s="133"/>
      <c r="C854" s="422"/>
      <c r="D854" s="4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21"/>
      <c r="B855" s="133"/>
      <c r="C855" s="422"/>
      <c r="D855" s="4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21"/>
      <c r="B856" s="133"/>
      <c r="C856" s="422"/>
      <c r="D856" s="4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21"/>
      <c r="B857" s="133"/>
      <c r="C857" s="422"/>
      <c r="D857" s="4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21"/>
      <c r="B858" s="133"/>
      <c r="C858" s="422"/>
      <c r="D858" s="4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21"/>
      <c r="B859" s="133"/>
      <c r="C859" s="422"/>
      <c r="D859" s="4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21"/>
      <c r="B860" s="133"/>
      <c r="C860" s="422"/>
      <c r="D860" s="4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21"/>
      <c r="B861" s="133"/>
      <c r="C861" s="422"/>
      <c r="D861" s="4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21"/>
      <c r="B862" s="133"/>
      <c r="C862" s="422"/>
      <c r="D862" s="4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21"/>
      <c r="B863" s="133"/>
      <c r="C863" s="422"/>
      <c r="D863" s="4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21"/>
      <c r="B864" s="133"/>
      <c r="C864" s="422"/>
      <c r="D864" s="4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21"/>
      <c r="B865" s="133"/>
      <c r="C865" s="422"/>
      <c r="D865" s="4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21"/>
      <c r="B866" s="133"/>
      <c r="C866" s="422"/>
      <c r="D866" s="4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21"/>
      <c r="B867" s="133"/>
      <c r="C867" s="422"/>
      <c r="D867" s="4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21"/>
      <c r="B868" s="133"/>
      <c r="C868" s="422"/>
      <c r="D868" s="4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21"/>
      <c r="B869" s="133"/>
      <c r="C869" s="422"/>
      <c r="D869" s="4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21"/>
      <c r="B870" s="133"/>
      <c r="C870" s="422"/>
      <c r="D870" s="4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21"/>
      <c r="B871" s="133"/>
      <c r="C871" s="422"/>
      <c r="D871" s="4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21"/>
      <c r="B872" s="133"/>
      <c r="C872" s="422"/>
      <c r="D872" s="4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21"/>
      <c r="B873" s="133"/>
      <c r="C873" s="422"/>
      <c r="D873" s="4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21"/>
      <c r="B874" s="133"/>
      <c r="C874" s="422"/>
      <c r="D874" s="4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21"/>
      <c r="B875" s="133"/>
      <c r="C875" s="422"/>
      <c r="D875" s="4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21"/>
      <c r="B876" s="133"/>
      <c r="C876" s="422"/>
      <c r="D876" s="4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21"/>
      <c r="B877" s="133"/>
      <c r="C877" s="422"/>
      <c r="D877" s="4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21"/>
      <c r="B878" s="133"/>
      <c r="C878" s="422"/>
      <c r="D878" s="4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21"/>
      <c r="B879" s="133"/>
      <c r="C879" s="422"/>
      <c r="D879" s="4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21"/>
      <c r="B880" s="133"/>
      <c r="C880" s="422"/>
      <c r="D880" s="4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21"/>
      <c r="B881" s="133"/>
      <c r="C881" s="422"/>
      <c r="D881" s="4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21"/>
      <c r="B882" s="133"/>
      <c r="C882" s="422"/>
      <c r="D882" s="4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21"/>
      <c r="B883" s="133"/>
      <c r="C883" s="422"/>
      <c r="D883" s="4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21"/>
      <c r="B884" s="133"/>
      <c r="C884" s="422"/>
      <c r="D884" s="4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21"/>
      <c r="B885" s="133"/>
      <c r="C885" s="422"/>
      <c r="D885" s="4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21"/>
      <c r="B886" s="133"/>
      <c r="C886" s="422"/>
      <c r="D886" s="4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21"/>
      <c r="B887" s="133"/>
      <c r="C887" s="422"/>
      <c r="D887" s="4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21"/>
      <c r="B888" s="133"/>
      <c r="C888" s="422"/>
      <c r="D888" s="4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21"/>
      <c r="B889" s="133"/>
      <c r="C889" s="422"/>
      <c r="D889" s="4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21"/>
      <c r="B890" s="133"/>
      <c r="C890" s="422"/>
      <c r="D890" s="4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21"/>
      <c r="B891" s="133"/>
      <c r="C891" s="422"/>
      <c r="D891" s="4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21"/>
      <c r="B892" s="133"/>
      <c r="C892" s="422"/>
      <c r="D892" s="4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21"/>
      <c r="B893" s="133"/>
      <c r="C893" s="422"/>
      <c r="D893" s="4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21"/>
      <c r="B894" s="133"/>
      <c r="C894" s="422"/>
      <c r="D894" s="4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21"/>
      <c r="B895" s="133"/>
      <c r="C895" s="422"/>
      <c r="D895" s="4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21"/>
      <c r="B896" s="133"/>
      <c r="C896" s="422"/>
      <c r="D896" s="4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21"/>
      <c r="B897" s="133"/>
      <c r="C897" s="422"/>
      <c r="D897" s="4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21"/>
      <c r="B898" s="133"/>
      <c r="C898" s="422"/>
      <c r="D898" s="4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21"/>
      <c r="B899" s="133"/>
      <c r="C899" s="422"/>
      <c r="D899" s="4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21"/>
      <c r="B900" s="133"/>
      <c r="C900" s="422"/>
      <c r="D900" s="4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21"/>
      <c r="B901" s="133"/>
      <c r="C901" s="422"/>
      <c r="D901" s="4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21"/>
      <c r="B902" s="133"/>
      <c r="C902" s="422"/>
      <c r="D902" s="4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21"/>
      <c r="B903" s="133"/>
      <c r="C903" s="422"/>
      <c r="D903" s="4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21"/>
      <c r="B904" s="133"/>
      <c r="C904" s="422"/>
      <c r="D904" s="4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21"/>
      <c r="B905" s="133"/>
      <c r="C905" s="422"/>
      <c r="D905" s="4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21"/>
      <c r="B906" s="133"/>
      <c r="C906" s="422"/>
      <c r="D906" s="4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21"/>
      <c r="B907" s="133"/>
      <c r="C907" s="422"/>
      <c r="D907" s="4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21"/>
      <c r="B908" s="133"/>
      <c r="C908" s="422"/>
      <c r="D908" s="4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21"/>
      <c r="B909" s="133"/>
      <c r="C909" s="422"/>
      <c r="D909" s="4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21"/>
      <c r="B910" s="133"/>
      <c r="C910" s="422"/>
      <c r="D910" s="4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21"/>
      <c r="B911" s="133"/>
      <c r="C911" s="422"/>
      <c r="D911" s="4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21"/>
      <c r="B912" s="133"/>
      <c r="C912" s="422"/>
      <c r="D912" s="4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21"/>
      <c r="B913" s="133"/>
      <c r="C913" s="422"/>
      <c r="D913" s="4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21"/>
      <c r="B914" s="133"/>
      <c r="C914" s="422"/>
      <c r="D914" s="4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21"/>
      <c r="B915" s="133"/>
      <c r="C915" s="422"/>
      <c r="D915" s="4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21"/>
      <c r="B916" s="133"/>
      <c r="C916" s="422"/>
      <c r="D916" s="4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21"/>
      <c r="B917" s="133"/>
      <c r="C917" s="422"/>
      <c r="D917" s="4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21"/>
      <c r="B918" s="133"/>
      <c r="C918" s="422"/>
      <c r="D918" s="4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21"/>
      <c r="B919" s="133"/>
      <c r="C919" s="422"/>
      <c r="D919" s="4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21"/>
      <c r="B920" s="133"/>
      <c r="C920" s="422"/>
      <c r="D920" s="4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21"/>
      <c r="B921" s="133"/>
      <c r="C921" s="422"/>
      <c r="D921" s="4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21"/>
      <c r="B922" s="133"/>
      <c r="C922" s="422"/>
      <c r="D922" s="4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21"/>
      <c r="B923" s="133"/>
      <c r="C923" s="422"/>
      <c r="D923" s="4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21"/>
      <c r="B924" s="133"/>
      <c r="C924" s="422"/>
      <c r="D924" s="4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21"/>
      <c r="B925" s="133"/>
      <c r="C925" s="422"/>
      <c r="D925" s="4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21"/>
      <c r="B926" s="133"/>
      <c r="C926" s="422"/>
      <c r="D926" s="4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21"/>
      <c r="B927" s="133"/>
      <c r="C927" s="422"/>
      <c r="D927" s="4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21"/>
      <c r="B928" s="133"/>
      <c r="C928" s="422"/>
      <c r="D928" s="4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21"/>
      <c r="B929" s="133"/>
      <c r="C929" s="422"/>
      <c r="D929" s="4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21"/>
      <c r="B930" s="133"/>
      <c r="C930" s="422"/>
      <c r="D930" s="4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21"/>
      <c r="B931" s="133"/>
      <c r="C931" s="422"/>
      <c r="D931" s="4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21"/>
      <c r="B932" s="133"/>
      <c r="C932" s="422"/>
      <c r="D932" s="4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21"/>
      <c r="B933" s="133"/>
      <c r="C933" s="422"/>
      <c r="D933" s="4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21"/>
      <c r="B934" s="133"/>
      <c r="C934" s="422"/>
      <c r="D934" s="4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21"/>
      <c r="B935" s="133"/>
      <c r="C935" s="422"/>
      <c r="D935" s="4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21"/>
      <c r="B936" s="133"/>
      <c r="C936" s="422"/>
      <c r="D936" s="4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21"/>
      <c r="B937" s="133"/>
      <c r="C937" s="422"/>
      <c r="D937" s="4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21"/>
      <c r="B938" s="133"/>
      <c r="C938" s="422"/>
      <c r="D938" s="4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21"/>
      <c r="B939" s="133"/>
      <c r="C939" s="422"/>
      <c r="D939" s="4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21"/>
      <c r="B940" s="133"/>
      <c r="C940" s="422"/>
      <c r="D940" s="4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21"/>
      <c r="B941" s="133"/>
      <c r="C941" s="422"/>
      <c r="D941" s="4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21"/>
      <c r="B942" s="133"/>
      <c r="C942" s="422"/>
      <c r="D942" s="4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21"/>
      <c r="B943" s="133"/>
      <c r="C943" s="422"/>
      <c r="D943" s="4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21"/>
      <c r="B944" s="133"/>
      <c r="C944" s="422"/>
      <c r="D944" s="4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21"/>
      <c r="B945" s="133"/>
      <c r="C945" s="422"/>
      <c r="D945" s="4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21"/>
      <c r="B946" s="133"/>
      <c r="C946" s="422"/>
      <c r="D946" s="4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21"/>
      <c r="B947" s="133"/>
      <c r="C947" s="422"/>
      <c r="D947" s="4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21"/>
      <c r="B948" s="133"/>
      <c r="C948" s="422"/>
      <c r="D948" s="4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21"/>
      <c r="B949" s="133"/>
      <c r="C949" s="422"/>
      <c r="D949" s="4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21"/>
      <c r="B950" s="133"/>
      <c r="C950" s="422"/>
      <c r="D950" s="4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21"/>
      <c r="B951" s="133"/>
      <c r="C951" s="422"/>
      <c r="D951" s="4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21"/>
      <c r="B952" s="133"/>
      <c r="C952" s="422"/>
      <c r="D952" s="4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21"/>
      <c r="B953" s="133"/>
      <c r="C953" s="422"/>
      <c r="D953" s="4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21"/>
      <c r="B954" s="133"/>
      <c r="C954" s="422"/>
      <c r="D954" s="4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21"/>
      <c r="B955" s="133"/>
      <c r="C955" s="422"/>
      <c r="D955" s="4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21"/>
      <c r="B956" s="133"/>
      <c r="C956" s="422"/>
      <c r="D956" s="4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21"/>
      <c r="B957" s="133"/>
      <c r="C957" s="422"/>
      <c r="D957" s="4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21"/>
      <c r="B958" s="133"/>
      <c r="C958" s="422"/>
      <c r="D958" s="4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21"/>
      <c r="B959" s="133"/>
      <c r="C959" s="422"/>
      <c r="D959" s="4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21"/>
      <c r="B960" s="133"/>
      <c r="C960" s="422"/>
      <c r="D960" s="4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21"/>
      <c r="B961" s="133"/>
      <c r="C961" s="422"/>
      <c r="D961" s="4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21"/>
      <c r="B962" s="133"/>
      <c r="C962" s="422"/>
      <c r="D962" s="4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21"/>
      <c r="B963" s="133"/>
      <c r="C963" s="422"/>
      <c r="D963" s="4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21"/>
      <c r="B964" s="133"/>
      <c r="C964" s="422"/>
      <c r="D964" s="4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21"/>
      <c r="B965" s="133"/>
      <c r="C965" s="422"/>
      <c r="D965" s="4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21"/>
      <c r="B966" s="133"/>
      <c r="C966" s="422"/>
      <c r="D966" s="4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21"/>
      <c r="B967" s="133"/>
      <c r="C967" s="422"/>
      <c r="D967" s="4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21"/>
      <c r="B968" s="133"/>
      <c r="C968" s="422"/>
      <c r="D968" s="4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21"/>
      <c r="B969" s="133"/>
      <c r="C969" s="422"/>
      <c r="D969" s="4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21"/>
      <c r="B970" s="133"/>
      <c r="C970" s="422"/>
      <c r="D970" s="4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21"/>
      <c r="B971" s="133"/>
      <c r="C971" s="422"/>
      <c r="D971" s="4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21"/>
      <c r="B972" s="133"/>
      <c r="C972" s="422"/>
      <c r="D972" s="4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21"/>
      <c r="B973" s="133"/>
      <c r="C973" s="422"/>
      <c r="D973" s="4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21"/>
      <c r="B974" s="133"/>
      <c r="C974" s="422"/>
      <c r="D974" s="4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21"/>
      <c r="B975" s="133"/>
      <c r="C975" s="422"/>
      <c r="D975" s="4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21"/>
      <c r="B976" s="133"/>
      <c r="C976" s="422"/>
      <c r="D976" s="4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21"/>
      <c r="B977" s="133"/>
      <c r="C977" s="422"/>
      <c r="D977" s="4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21"/>
      <c r="B978" s="133"/>
      <c r="C978" s="422"/>
      <c r="D978" s="4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21"/>
      <c r="B979" s="133"/>
      <c r="C979" s="422"/>
      <c r="D979" s="4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21"/>
      <c r="B980" s="133"/>
      <c r="C980" s="422"/>
      <c r="D980" s="4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21"/>
      <c r="B981" s="133"/>
      <c r="C981" s="422"/>
      <c r="D981" s="4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21"/>
      <c r="B982" s="133"/>
      <c r="C982" s="422"/>
      <c r="D982" s="4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21"/>
      <c r="B983" s="133"/>
      <c r="C983" s="422"/>
      <c r="D983" s="4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21"/>
      <c r="B984" s="133"/>
      <c r="C984" s="422"/>
      <c r="D984" s="4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21"/>
      <c r="B985" s="133"/>
      <c r="C985" s="422"/>
      <c r="D985" s="4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21"/>
      <c r="B986" s="133"/>
      <c r="C986" s="422"/>
      <c r="D986" s="4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21"/>
      <c r="B987" s="133"/>
      <c r="C987" s="422"/>
      <c r="D987" s="4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21"/>
      <c r="B988" s="133"/>
      <c r="C988" s="422"/>
      <c r="D988" s="4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21"/>
      <c r="B989" s="133"/>
      <c r="C989" s="422"/>
      <c r="D989" s="4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21"/>
      <c r="B990" s="133"/>
      <c r="C990" s="422"/>
      <c r="D990" s="4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21"/>
      <c r="B991" s="133"/>
      <c r="C991" s="422"/>
      <c r="D991" s="4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21"/>
      <c r="B992" s="133"/>
      <c r="C992" s="422"/>
      <c r="D992" s="4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21"/>
      <c r="B993" s="133"/>
      <c r="C993" s="422"/>
      <c r="D993" s="4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21"/>
      <c r="B994" s="133"/>
      <c r="C994" s="422"/>
      <c r="D994" s="4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21"/>
      <c r="B995" s="133"/>
      <c r="C995" s="422"/>
      <c r="D995" s="4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21"/>
      <c r="B996" s="133"/>
      <c r="C996" s="422"/>
      <c r="D996" s="4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21"/>
      <c r="B997" s="133"/>
      <c r="C997" s="422"/>
      <c r="D997" s="4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21"/>
      <c r="B998" s="133"/>
      <c r="C998" s="422"/>
      <c r="D998" s="4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21"/>
      <c r="B999" s="133"/>
      <c r="C999" s="422"/>
      <c r="D999" s="4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21"/>
      <c r="B1000" s="133"/>
      <c r="C1000" s="422"/>
      <c r="D1000" s="4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21"/>
      <c r="B1001" s="133"/>
      <c r="C1001" s="422"/>
      <c r="D1001" s="4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21"/>
      <c r="B1002" s="133"/>
      <c r="C1002" s="422"/>
      <c r="D1002" s="4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4" t="s">
        <v>7018</v>
      </c>
      <c r="B1" s="30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7"/>
      <c r="F1" s="428" t="s">
        <v>7019</v>
      </c>
      <c r="G1" s="429"/>
      <c r="H1" s="429"/>
      <c r="I1" s="429"/>
      <c r="J1" s="429"/>
      <c r="K1" s="429"/>
      <c r="L1" s="429"/>
      <c r="M1" s="429"/>
      <c r="N1" s="429"/>
      <c r="O1" s="429"/>
      <c r="P1" s="429"/>
      <c r="Q1" s="429"/>
      <c r="R1" s="429"/>
    </row>
    <row r="2">
      <c r="A2" s="430" t="s">
        <v>7020</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31" t="str">
        <f>IFERROR(__xludf.DUMMYFUNCTION("GOOGLETRANSLATE(A2,""zh-tw"",""zh"")"),"1 - 在google play上搜寻 档案管理员 安装。")</f>
        <v>1 - 在google play上搜寻 档案管理员 安装。</v>
      </c>
      <c r="E2" s="432" t="s">
        <v>7021</v>
      </c>
      <c r="F2" s="433" t="s">
        <v>7022</v>
      </c>
      <c r="G2" s="135"/>
      <c r="H2" s="135"/>
      <c r="I2" s="135"/>
      <c r="J2" s="135"/>
      <c r="K2" s="135"/>
      <c r="L2" s="135"/>
      <c r="M2" s="135"/>
      <c r="N2" s="135"/>
      <c r="O2" s="135"/>
      <c r="P2" s="135"/>
      <c r="Q2" s="135"/>
      <c r="R2" s="135"/>
    </row>
    <row r="3">
      <c r="A3" s="430" t="s">
        <v>7023</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2" t="s">
        <v>7024</v>
      </c>
      <c r="F3" s="433" t="s">
        <v>7025</v>
      </c>
      <c r="G3" s="135"/>
      <c r="H3" s="135"/>
      <c r="I3" s="135"/>
      <c r="J3" s="135"/>
      <c r="K3" s="135"/>
      <c r="L3" s="135"/>
      <c r="M3" s="135"/>
      <c r="N3" s="135"/>
      <c r="O3" s="135"/>
      <c r="P3" s="135"/>
      <c r="Q3" s="135"/>
      <c r="R3" s="135"/>
    </row>
    <row r="4">
      <c r="A4" s="430" t="s">
        <v>7026</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2" t="s">
        <v>7027</v>
      </c>
      <c r="F4" s="433" t="s">
        <v>7028</v>
      </c>
      <c r="G4" s="135"/>
      <c r="H4" s="135"/>
      <c r="I4" s="135"/>
      <c r="J4" s="135"/>
      <c r="K4" s="135"/>
      <c r="L4" s="135"/>
      <c r="M4" s="135"/>
      <c r="N4" s="135"/>
      <c r="O4" s="135"/>
      <c r="P4" s="135"/>
      <c r="Q4" s="135"/>
      <c r="R4" s="135"/>
    </row>
    <row r="5">
      <c r="A5" s="430" t="s">
        <v>7029</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2" t="s">
        <v>7030</v>
      </c>
      <c r="F5" s="433" t="s">
        <v>7031</v>
      </c>
      <c r="G5" s="135"/>
      <c r="H5" s="135"/>
      <c r="I5" s="135"/>
      <c r="J5" s="135"/>
      <c r="K5" s="135"/>
      <c r="L5" s="135"/>
      <c r="M5" s="135"/>
      <c r="N5" s="135"/>
      <c r="O5" s="135"/>
      <c r="P5" s="135"/>
      <c r="Q5" s="135"/>
      <c r="R5" s="135"/>
    </row>
    <row r="6">
      <c r="A6" s="434" t="s">
        <v>7032</v>
      </c>
      <c r="B6" s="435" t="s">
        <v>7033</v>
      </c>
      <c r="C6" s="436" t="s">
        <v>7034</v>
      </c>
      <c r="D6" s="437" t="s">
        <v>7035</v>
      </c>
      <c r="E6" s="438" t="s">
        <v>7036</v>
      </c>
      <c r="F6" s="439" t="s">
        <v>7037</v>
      </c>
      <c r="G6" s="135"/>
      <c r="H6" s="135"/>
      <c r="I6" s="135"/>
      <c r="J6" s="135"/>
      <c r="K6" s="135"/>
      <c r="L6" s="135"/>
      <c r="M6" s="135"/>
      <c r="N6" s="135"/>
      <c r="O6" s="135"/>
      <c r="P6" s="135"/>
      <c r="Q6" s="135"/>
      <c r="R6" s="135"/>
    </row>
    <row r="7">
      <c r="A7" s="440"/>
      <c r="B7" s="135"/>
      <c r="C7" s="440"/>
      <c r="D7" s="135"/>
      <c r="E7" s="441"/>
      <c r="F7" s="200"/>
      <c r="G7" s="135"/>
      <c r="H7" s="135"/>
      <c r="I7" s="135"/>
      <c r="J7" s="135"/>
      <c r="K7" s="135"/>
      <c r="L7" s="135"/>
      <c r="M7" s="135"/>
      <c r="N7" s="135"/>
      <c r="O7" s="135"/>
      <c r="P7" s="135"/>
      <c r="Q7" s="135"/>
      <c r="R7" s="135"/>
    </row>
    <row r="8">
      <c r="A8" s="440"/>
      <c r="B8" s="135"/>
      <c r="C8" s="135"/>
      <c r="D8" s="135"/>
      <c r="E8" s="135"/>
      <c r="F8" s="200"/>
      <c r="G8" s="135"/>
      <c r="H8" s="135"/>
      <c r="I8" s="135"/>
      <c r="J8" s="135"/>
      <c r="K8" s="135"/>
      <c r="L8" s="135"/>
      <c r="M8" s="135"/>
      <c r="N8" s="135"/>
      <c r="O8" s="135"/>
      <c r="P8" s="135"/>
      <c r="Q8" s="135"/>
      <c r="R8" s="135"/>
    </row>
    <row r="9">
      <c r="A9" s="440"/>
      <c r="B9" s="135"/>
      <c r="C9" s="135"/>
      <c r="D9" s="135"/>
      <c r="E9" s="135"/>
      <c r="F9" s="200"/>
      <c r="G9" s="135"/>
      <c r="H9" s="135"/>
      <c r="I9" s="135"/>
      <c r="J9" s="135"/>
      <c r="K9" s="135"/>
      <c r="L9" s="135"/>
      <c r="M9" s="135"/>
      <c r="N9" s="135"/>
      <c r="O9" s="135"/>
      <c r="P9" s="135"/>
      <c r="Q9" s="135"/>
      <c r="R9" s="135"/>
    </row>
    <row r="10">
      <c r="A10" s="440"/>
      <c r="B10" s="135"/>
      <c r="C10" s="135"/>
      <c r="D10" s="135"/>
      <c r="E10" s="135"/>
      <c r="F10" s="200"/>
      <c r="G10" s="135"/>
      <c r="H10" s="135"/>
      <c r="I10" s="135"/>
      <c r="J10" s="135"/>
      <c r="K10" s="135"/>
      <c r="L10" s="135"/>
      <c r="M10" s="135"/>
      <c r="N10" s="135"/>
      <c r="O10" s="135"/>
      <c r="P10" s="135"/>
      <c r="Q10" s="135"/>
      <c r="R10" s="135"/>
    </row>
    <row r="11">
      <c r="A11" s="440"/>
      <c r="B11" s="135"/>
      <c r="C11" s="135"/>
      <c r="D11" s="135"/>
      <c r="E11" s="135"/>
      <c r="F11" s="200"/>
      <c r="G11" s="135"/>
      <c r="H11" s="135"/>
      <c r="I11" s="135"/>
      <c r="J11" s="135"/>
      <c r="K11" s="135"/>
      <c r="L11" s="135"/>
      <c r="M11" s="135"/>
      <c r="N11" s="135"/>
      <c r="O11" s="135"/>
      <c r="P11" s="135"/>
      <c r="Q11" s="135"/>
      <c r="R11" s="135"/>
    </row>
    <row r="12">
      <c r="A12" s="440"/>
      <c r="B12" s="135"/>
      <c r="C12" s="135"/>
      <c r="D12" s="135"/>
      <c r="E12" s="135"/>
      <c r="F12" s="200"/>
      <c r="G12" s="135"/>
      <c r="H12" s="135"/>
      <c r="I12" s="135"/>
      <c r="J12" s="135"/>
      <c r="K12" s="135"/>
      <c r="L12" s="135"/>
      <c r="M12" s="135"/>
      <c r="N12" s="135"/>
      <c r="O12" s="135"/>
      <c r="P12" s="135"/>
      <c r="Q12" s="135"/>
      <c r="R12" s="135"/>
    </row>
    <row r="13">
      <c r="A13" s="440"/>
      <c r="B13" s="135"/>
      <c r="C13" s="135"/>
      <c r="D13" s="135"/>
      <c r="E13" s="135"/>
      <c r="F13" s="200"/>
      <c r="G13" s="135"/>
      <c r="H13" s="135"/>
      <c r="I13" s="135"/>
      <c r="J13" s="135"/>
      <c r="K13" s="135"/>
      <c r="L13" s="135"/>
      <c r="M13" s="135"/>
      <c r="N13" s="135"/>
      <c r="O13" s="135"/>
      <c r="P13" s="135"/>
      <c r="Q13" s="135"/>
      <c r="R13" s="135"/>
    </row>
    <row r="14">
      <c r="A14" s="440"/>
      <c r="B14" s="135"/>
      <c r="C14" s="135"/>
      <c r="D14" s="135"/>
      <c r="E14" s="135"/>
      <c r="F14" s="200"/>
      <c r="G14" s="135"/>
      <c r="H14" s="135"/>
      <c r="I14" s="135"/>
      <c r="J14" s="135"/>
      <c r="K14" s="135"/>
      <c r="L14" s="135"/>
      <c r="M14" s="135"/>
      <c r="N14" s="135"/>
      <c r="O14" s="135"/>
      <c r="P14" s="135"/>
      <c r="Q14" s="135"/>
      <c r="R14" s="135"/>
    </row>
    <row r="15">
      <c r="A15" s="440"/>
      <c r="B15" s="135"/>
      <c r="C15" s="135"/>
      <c r="D15" s="135"/>
      <c r="E15" s="135"/>
      <c r="F15" s="200"/>
      <c r="G15" s="135"/>
      <c r="H15" s="135"/>
      <c r="I15" s="135"/>
      <c r="J15" s="135"/>
      <c r="K15" s="135"/>
      <c r="L15" s="135"/>
      <c r="M15" s="135"/>
      <c r="N15" s="135"/>
      <c r="O15" s="135"/>
      <c r="P15" s="135"/>
      <c r="Q15" s="135"/>
      <c r="R15" s="135"/>
    </row>
    <row r="16">
      <c r="A16" s="440"/>
      <c r="B16" s="135"/>
      <c r="C16" s="135"/>
      <c r="D16" s="135"/>
      <c r="E16" s="135"/>
      <c r="F16" s="200"/>
      <c r="G16" s="135"/>
      <c r="H16" s="135"/>
      <c r="I16" s="135"/>
      <c r="J16" s="135"/>
      <c r="K16" s="135"/>
      <c r="L16" s="135"/>
      <c r="M16" s="135"/>
      <c r="N16" s="135"/>
      <c r="O16" s="135"/>
      <c r="P16" s="135"/>
      <c r="Q16" s="135"/>
      <c r="R16" s="135"/>
    </row>
    <row r="17">
      <c r="A17" s="440"/>
      <c r="B17" s="135"/>
      <c r="C17" s="135"/>
      <c r="D17" s="135"/>
      <c r="E17" s="135"/>
      <c r="F17" s="200"/>
      <c r="G17" s="135"/>
      <c r="H17" s="135"/>
      <c r="I17" s="135"/>
      <c r="J17" s="135"/>
      <c r="K17" s="135"/>
      <c r="L17" s="135"/>
      <c r="M17" s="135"/>
      <c r="N17" s="135"/>
      <c r="O17" s="135"/>
      <c r="P17" s="135"/>
      <c r="Q17" s="135"/>
      <c r="R17" s="135"/>
    </row>
    <row r="18">
      <c r="A18" s="440"/>
      <c r="B18" s="135"/>
      <c r="C18" s="135"/>
      <c r="D18" s="135"/>
      <c r="E18" s="135"/>
      <c r="F18" s="200"/>
      <c r="G18" s="135"/>
      <c r="H18" s="135"/>
      <c r="I18" s="135"/>
      <c r="J18" s="135"/>
      <c r="K18" s="135"/>
      <c r="L18" s="135"/>
      <c r="M18" s="135"/>
      <c r="N18" s="135"/>
      <c r="O18" s="135"/>
      <c r="P18" s="135"/>
      <c r="Q18" s="135"/>
      <c r="R18" s="135"/>
    </row>
    <row r="19">
      <c r="A19" s="440"/>
      <c r="B19" s="135"/>
      <c r="C19" s="135"/>
      <c r="D19" s="135"/>
      <c r="E19" s="135"/>
      <c r="F19" s="200"/>
      <c r="G19" s="135"/>
      <c r="H19" s="135"/>
      <c r="I19" s="135"/>
      <c r="J19" s="135"/>
      <c r="K19" s="135"/>
      <c r="L19" s="135"/>
      <c r="M19" s="135"/>
      <c r="N19" s="135"/>
      <c r="O19" s="135"/>
      <c r="P19" s="135"/>
      <c r="Q19" s="135"/>
      <c r="R19" s="135"/>
    </row>
    <row r="20">
      <c r="A20" s="440"/>
      <c r="B20" s="135"/>
      <c r="C20" s="135"/>
      <c r="D20" s="135"/>
      <c r="E20" s="135"/>
      <c r="F20" s="200"/>
      <c r="G20" s="135"/>
      <c r="H20" s="135"/>
      <c r="I20" s="135"/>
      <c r="J20" s="135"/>
      <c r="K20" s="135"/>
      <c r="L20" s="135"/>
      <c r="M20" s="135"/>
      <c r="N20" s="135"/>
      <c r="O20" s="135"/>
      <c r="P20" s="135"/>
      <c r="Q20" s="135"/>
      <c r="R20" s="135"/>
    </row>
    <row r="21">
      <c r="A21" s="440"/>
      <c r="B21" s="135"/>
      <c r="C21" s="135"/>
      <c r="D21" s="135"/>
      <c r="E21" s="135"/>
      <c r="F21" s="200"/>
      <c r="G21" s="135"/>
      <c r="H21" s="135"/>
      <c r="I21" s="135"/>
      <c r="J21" s="135"/>
      <c r="K21" s="135"/>
      <c r="L21" s="135"/>
      <c r="M21" s="135"/>
      <c r="N21" s="135"/>
      <c r="O21" s="135"/>
      <c r="P21" s="135"/>
      <c r="Q21" s="135"/>
      <c r="R21" s="135"/>
    </row>
    <row r="22">
      <c r="A22" s="440"/>
      <c r="B22" s="135"/>
      <c r="C22" s="135"/>
      <c r="D22" s="135"/>
      <c r="E22" s="135"/>
      <c r="F22" s="200"/>
      <c r="G22" s="135"/>
      <c r="H22" s="135"/>
      <c r="I22" s="135"/>
      <c r="J22" s="135"/>
      <c r="K22" s="135"/>
      <c r="L22" s="135"/>
      <c r="M22" s="135"/>
      <c r="N22" s="135"/>
      <c r="O22" s="135"/>
      <c r="P22" s="135"/>
      <c r="Q22" s="135"/>
      <c r="R22" s="135"/>
    </row>
    <row r="23">
      <c r="A23" s="440"/>
      <c r="B23" s="135"/>
      <c r="C23" s="135"/>
      <c r="D23" s="135"/>
      <c r="E23" s="135"/>
      <c r="F23" s="200"/>
      <c r="G23" s="135"/>
      <c r="H23" s="135"/>
      <c r="I23" s="135"/>
      <c r="J23" s="135"/>
      <c r="K23" s="135"/>
      <c r="L23" s="135"/>
      <c r="M23" s="135"/>
      <c r="N23" s="135"/>
      <c r="O23" s="135"/>
      <c r="P23" s="135"/>
      <c r="Q23" s="135"/>
      <c r="R23" s="135"/>
    </row>
    <row r="24">
      <c r="A24" s="440"/>
      <c r="B24" s="135"/>
      <c r="C24" s="135"/>
      <c r="D24" s="135"/>
      <c r="E24" s="135"/>
      <c r="F24" s="200"/>
      <c r="G24" s="135"/>
      <c r="H24" s="135"/>
      <c r="I24" s="135"/>
      <c r="J24" s="135"/>
      <c r="K24" s="135"/>
      <c r="L24" s="135"/>
      <c r="M24" s="135"/>
      <c r="N24" s="135"/>
      <c r="O24" s="135"/>
      <c r="P24" s="135"/>
      <c r="Q24" s="135"/>
      <c r="R24" s="135"/>
    </row>
    <row r="25">
      <c r="A25" s="440"/>
      <c r="B25" s="135"/>
      <c r="C25" s="135"/>
      <c r="D25" s="135"/>
      <c r="E25" s="135"/>
      <c r="F25" s="200"/>
      <c r="G25" s="135"/>
      <c r="H25" s="135"/>
      <c r="I25" s="135"/>
      <c r="J25" s="135"/>
      <c r="K25" s="135"/>
      <c r="L25" s="135"/>
      <c r="M25" s="135"/>
      <c r="N25" s="135"/>
      <c r="O25" s="135"/>
      <c r="P25" s="135"/>
      <c r="Q25" s="135"/>
      <c r="R25" s="135"/>
    </row>
    <row r="26">
      <c r="A26" s="440"/>
      <c r="B26" s="135"/>
      <c r="C26" s="135"/>
      <c r="D26" s="135"/>
      <c r="E26" s="135"/>
      <c r="F26" s="200"/>
      <c r="G26" s="135"/>
      <c r="H26" s="135"/>
      <c r="I26" s="135"/>
      <c r="J26" s="135"/>
      <c r="K26" s="135"/>
      <c r="L26" s="135"/>
      <c r="M26" s="135"/>
      <c r="N26" s="135"/>
      <c r="O26" s="135"/>
      <c r="P26" s="135"/>
      <c r="Q26" s="135"/>
      <c r="R26" s="135"/>
    </row>
    <row r="27">
      <c r="A27" s="440"/>
      <c r="B27" s="135"/>
      <c r="C27" s="135"/>
      <c r="D27" s="135"/>
      <c r="E27" s="135"/>
      <c r="F27" s="200"/>
      <c r="G27" s="135"/>
      <c r="H27" s="135"/>
      <c r="I27" s="135"/>
      <c r="J27" s="135"/>
      <c r="K27" s="135"/>
      <c r="L27" s="135"/>
      <c r="M27" s="135"/>
      <c r="N27" s="135"/>
      <c r="O27" s="135"/>
      <c r="P27" s="135"/>
      <c r="Q27" s="135"/>
      <c r="R27" s="135"/>
    </row>
    <row r="28">
      <c r="A28" s="440"/>
      <c r="B28" s="135"/>
      <c r="C28" s="135"/>
      <c r="D28" s="135"/>
      <c r="E28" s="135"/>
      <c r="F28" s="200"/>
      <c r="G28" s="135"/>
      <c r="H28" s="135"/>
      <c r="I28" s="135"/>
      <c r="J28" s="135"/>
      <c r="K28" s="135"/>
      <c r="L28" s="135"/>
      <c r="M28" s="135"/>
      <c r="N28" s="135"/>
      <c r="O28" s="135"/>
      <c r="P28" s="135"/>
      <c r="Q28" s="135"/>
      <c r="R28" s="135"/>
    </row>
    <row r="29">
      <c r="A29" s="440"/>
      <c r="B29" s="135"/>
      <c r="C29" s="135"/>
      <c r="D29" s="135"/>
      <c r="E29" s="135"/>
      <c r="F29" s="200"/>
      <c r="G29" s="135"/>
      <c r="H29" s="135"/>
      <c r="I29" s="135"/>
      <c r="J29" s="135"/>
      <c r="K29" s="135"/>
      <c r="L29" s="135"/>
      <c r="M29" s="135"/>
      <c r="N29" s="135"/>
      <c r="O29" s="135"/>
      <c r="P29" s="135"/>
      <c r="Q29" s="135"/>
      <c r="R29" s="135"/>
    </row>
    <row r="30">
      <c r="A30" s="440"/>
      <c r="B30" s="135"/>
      <c r="C30" s="135"/>
      <c r="D30" s="135"/>
      <c r="E30" s="135"/>
      <c r="F30" s="200"/>
      <c r="G30" s="135"/>
      <c r="H30" s="135"/>
      <c r="I30" s="135"/>
      <c r="J30" s="135"/>
      <c r="K30" s="135"/>
      <c r="L30" s="135"/>
      <c r="M30" s="135"/>
      <c r="N30" s="135"/>
      <c r="O30" s="135"/>
      <c r="P30" s="135"/>
      <c r="Q30" s="135"/>
      <c r="R30" s="135"/>
    </row>
    <row r="31">
      <c r="A31" s="440"/>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4" t="s">
        <v>7038</v>
      </c>
      <c r="B1" s="424" t="s">
        <v>7039</v>
      </c>
      <c r="C1" s="301" t="s">
        <v>7040</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2" t="s">
        <v>7041</v>
      </c>
      <c r="F1" s="42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3" t="s">
        <v>7042</v>
      </c>
      <c r="H1" s="42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7" t="s">
        <v>7043</v>
      </c>
      <c r="J1" s="427" t="s">
        <v>7044</v>
      </c>
      <c r="K1" s="444" t="s">
        <v>7045</v>
      </c>
      <c r="L1" s="444" t="s">
        <v>7046</v>
      </c>
      <c r="M1" s="429"/>
      <c r="N1" s="429"/>
      <c r="O1" s="429"/>
      <c r="P1" s="429"/>
      <c r="Q1" s="429"/>
      <c r="R1" s="429"/>
      <c r="S1" s="429"/>
      <c r="T1" s="429"/>
      <c r="U1" s="429"/>
      <c r="V1" s="429"/>
      <c r="W1" s="429"/>
    </row>
    <row r="2">
      <c r="A2" s="430" t="s">
        <v>7047</v>
      </c>
      <c r="B2" s="430" t="s">
        <v>7048</v>
      </c>
      <c r="C2" s="106" t="s">
        <v>7049</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5" t="s">
        <v>7050</v>
      </c>
      <c r="F2" s="214" t="str">
        <f>IFERROR(__xludf.DUMMYFUNCTION("GOOGLETRANSLATE(B2,""zh-tw"",""en"")"),"1 - Search for ""NVIDIA APP install"" on Google and launch the NVIDIA application.")</f>
        <v>1 - Search for "NVIDIA APP install" on Google and launch the NVIDIA application.</v>
      </c>
      <c r="G2" s="446" t="s">
        <v>7051</v>
      </c>
      <c r="H2" s="431" t="str">
        <f>IFERROR(__xludf.DUMMYFUNCTION("GOOGLETRANSLATE(B2,""zh-tw"",""zh"")"),"1 - 在google上搜寻 NVIDIA APP安装，并启动 NVIDIA 应用程式。")</f>
        <v>1 - 在google上搜寻 NVIDIA APP安装，并启动 NVIDIA 应用程式。</v>
      </c>
      <c r="I2" s="432" t="s">
        <v>7052</v>
      </c>
      <c r="J2" s="432" t="s">
        <v>7053</v>
      </c>
      <c r="K2" s="433" t="s">
        <v>7054</v>
      </c>
      <c r="L2" s="433" t="s">
        <v>7055</v>
      </c>
      <c r="M2" s="135"/>
      <c r="N2" s="135"/>
      <c r="O2" s="135"/>
      <c r="P2" s="135"/>
      <c r="Q2" s="135"/>
      <c r="R2" s="135"/>
      <c r="S2" s="135"/>
      <c r="T2" s="135"/>
      <c r="U2" s="135"/>
      <c r="V2" s="135"/>
      <c r="W2" s="135"/>
    </row>
    <row r="3">
      <c r="A3" s="430" t="s">
        <v>7056</v>
      </c>
      <c r="B3" s="430" t="s">
        <v>7057</v>
      </c>
      <c r="C3" s="106" t="s">
        <v>7058</v>
      </c>
      <c r="D3" s="106" t="str">
        <f>IFERROR(__xludf.DUMMYFUNCTION("GOOGLETRANSLATE(B3,""zh-tw"",""ja"")"),"2 - 最新バージョンに更新した後、NVIDIA アプリケーションを再起動します。")</f>
        <v>2 - 最新バージョンに更新した後、NVIDIA アプリケーションを再起動します。</v>
      </c>
      <c r="E3" s="445" t="s">
        <v>7059</v>
      </c>
      <c r="F3" s="214" t="str">
        <f>IFERROR(__xludf.DUMMYFUNCTION("GOOGLETRANSLATE(B3,""zh-tw"",""en"")"),"2 - Restart the NVIDIA application after updating to the latest version.")</f>
        <v>2 - Restart the NVIDIA application after updating to the latest version.</v>
      </c>
      <c r="G3" s="446" t="s">
        <v>7060</v>
      </c>
      <c r="H3" s="431" t="str">
        <f>IFERROR(__xludf.DUMMYFUNCTION("GOOGLETRANSLATE(B3,""zh-tw"",""zh"")"),"2 - 在更新至最新版本后重新启动 NVIDIA 应用程式。")</f>
        <v>2 - 在更新至最新版本后重新启动 NVIDIA 应用程式。</v>
      </c>
      <c r="I3" s="432" t="s">
        <v>7061</v>
      </c>
      <c r="J3" s="432" t="s">
        <v>7062</v>
      </c>
      <c r="K3" s="433" t="s">
        <v>7063</v>
      </c>
      <c r="L3" s="433" t="s">
        <v>7064</v>
      </c>
      <c r="M3" s="135"/>
      <c r="N3" s="135"/>
      <c r="O3" s="135"/>
      <c r="P3" s="135"/>
      <c r="Q3" s="135"/>
      <c r="R3" s="135"/>
      <c r="S3" s="135"/>
      <c r="T3" s="135"/>
      <c r="U3" s="135"/>
      <c r="V3" s="135"/>
      <c r="W3" s="135"/>
    </row>
    <row r="4">
      <c r="A4" s="430" t="s">
        <v>7065</v>
      </c>
      <c r="B4" s="430" t="s">
        <v>7066</v>
      </c>
      <c r="C4" s="106" t="s">
        <v>7067</v>
      </c>
      <c r="D4" s="106" t="str">
        <f>IFERROR(__xludf.DUMMYFUNCTION("GOOGLETRANSLATE(B4,""zh-tw"",""ja"")"),"3 - NVIDIA アプリケーションで、グラフィック設定領域に移動します。")</f>
        <v>3 - NVIDIA アプリケーションで、グラフィック設定領域に移動します。</v>
      </c>
      <c r="E4" s="445" t="s">
        <v>7068</v>
      </c>
      <c r="F4" s="214" t="str">
        <f>IFERROR(__xludf.DUMMYFUNCTION("GOOGLETRANSLATE(B4,""zh-tw"",""en"")"),"3 - In the NVIDIA application, go to the graphics settings area.")</f>
        <v>3 - In the NVIDIA application, go to the graphics settings area.</v>
      </c>
      <c r="G4" s="446" t="s">
        <v>7069</v>
      </c>
      <c r="H4" s="431" t="str">
        <f>IFERROR(__xludf.DUMMYFUNCTION("GOOGLETRANSLATE(B4,""zh-tw"",""zh"")"),"3 - 在NVIDIA应用程式中，进入图形设置区域。")</f>
        <v>3 - 在NVIDIA应用程式中，进入图形设置区域。</v>
      </c>
      <c r="I4" s="432" t="s">
        <v>7070</v>
      </c>
      <c r="J4" s="432" t="s">
        <v>7071</v>
      </c>
      <c r="K4" s="433" t="s">
        <v>7072</v>
      </c>
      <c r="L4" s="433" t="s">
        <v>7073</v>
      </c>
      <c r="M4" s="135"/>
      <c r="N4" s="135"/>
      <c r="O4" s="135"/>
      <c r="P4" s="135"/>
      <c r="Q4" s="135"/>
      <c r="R4" s="135"/>
      <c r="S4" s="135"/>
      <c r="T4" s="135"/>
      <c r="U4" s="135"/>
      <c r="V4" s="135"/>
      <c r="W4" s="135"/>
    </row>
    <row r="5">
      <c r="A5" s="430" t="s">
        <v>7074</v>
      </c>
      <c r="B5" s="430" t="s">
        <v>7075</v>
      </c>
      <c r="C5" s="106" t="s">
        <v>7076</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5" t="s">
        <v>7077</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6" t="s">
        <v>7078</v>
      </c>
      <c r="H5" s="431" t="str">
        <f>IFERROR(__xludf.DUMMYFUNCTION("GOOGLETRANSLATE(B5,""zh-tw"",""zh"")"),"4 - 在「程式设定」中点击三个点，选择「新增程式」，然后寻找游戏的执行档。")</f>
        <v>4 - 在「程式设定」中点击三个点，选择「新增程式」，然后寻找游戏的执行档。</v>
      </c>
      <c r="I5" s="432" t="s">
        <v>7079</v>
      </c>
      <c r="J5" s="432" t="s">
        <v>7080</v>
      </c>
      <c r="K5" s="433" t="s">
        <v>7081</v>
      </c>
      <c r="L5" s="433" t="s">
        <v>7082</v>
      </c>
      <c r="M5" s="135"/>
      <c r="N5" s="135"/>
      <c r="O5" s="135"/>
      <c r="P5" s="135"/>
      <c r="Q5" s="135"/>
      <c r="R5" s="135"/>
      <c r="S5" s="135"/>
      <c r="T5" s="135"/>
      <c r="U5" s="135"/>
      <c r="V5" s="135"/>
      <c r="W5" s="135"/>
    </row>
    <row r="6">
      <c r="A6" s="430" t="s">
        <v>7083</v>
      </c>
      <c r="B6" s="430" t="s">
        <v>7084</v>
      </c>
      <c r="C6" s="106" t="s">
        <v>7085</v>
      </c>
      <c r="D6" s="106" t="str">
        <f>IFERROR(__xludf.DUMMYFUNCTION("GOOGLETRANSLATE(B6,""zh-tw"",""ja"")"),"5 - 「低遅延モード」を「超高」に、「電源管理モード」を「最適電力」に設定します。")</f>
        <v>5 - 「低遅延モード」を「超高」に、「電源管理モード」を「最適電力」に設定します。</v>
      </c>
      <c r="E6" s="445" t="s">
        <v>7086</v>
      </c>
      <c r="F6" s="214" t="str">
        <f>IFERROR(__xludf.DUMMYFUNCTION("GOOGLETRANSLATE(B6,""zh-tw"",""en"")"),"5 - Set ""Low Latency Mode"" to ""Ultra High"" and ""Power Management Mode"" to ""Optimal Power"".")</f>
        <v>5 - Set "Low Latency Mode" to "Ultra High" and "Power Management Mode" to "Optimal Power".</v>
      </c>
      <c r="G6" s="446" t="s">
        <v>7087</v>
      </c>
      <c r="H6" s="431" t="str">
        <f>IFERROR(__xludf.DUMMYFUNCTION("GOOGLETRANSLATE(B6,""zh-tw"",""zh"")"),"5 - 将「低延迟模式」设为「超高」，电源管理模式设为「最佳电源」。")</f>
        <v>5 - 将「低延迟模式」设为「超高」，电源管理模式设为「最佳电源」。</v>
      </c>
      <c r="I6" s="432" t="s">
        <v>7088</v>
      </c>
      <c r="J6" s="432" t="s">
        <v>7089</v>
      </c>
      <c r="K6" s="433" t="s">
        <v>7090</v>
      </c>
      <c r="L6" s="433" t="s">
        <v>7091</v>
      </c>
      <c r="M6" s="135"/>
      <c r="N6" s="135"/>
      <c r="O6" s="135"/>
      <c r="P6" s="135"/>
      <c r="Q6" s="135"/>
      <c r="R6" s="135"/>
      <c r="S6" s="135"/>
      <c r="T6" s="135"/>
      <c r="U6" s="135"/>
      <c r="V6" s="135"/>
      <c r="W6" s="135"/>
    </row>
    <row r="7">
      <c r="A7" s="430" t="s">
        <v>7092</v>
      </c>
      <c r="B7" s="430" t="s">
        <v>7093</v>
      </c>
      <c r="C7" s="106" t="s">
        <v>7094</v>
      </c>
      <c r="D7" s="106" t="str">
        <f>IFERROR(__xludf.DUMMYFUNCTION("GOOGLETRANSLATE(B7,""zh-tw"",""ja"")"),"6-「垂直同期」を「高速」に設定します。")</f>
        <v>6-「垂直同期」を「高速」に設定します。</v>
      </c>
      <c r="E7" s="445" t="s">
        <v>7095</v>
      </c>
      <c r="F7" s="214" t="str">
        <f>IFERROR(__xludf.DUMMYFUNCTION("GOOGLETRANSLATE(B7,""zh-tw"",""en"")"),"6- Set ""Vertical Sync"" to ""Fast"".")</f>
        <v>6- Set "Vertical Sync" to "Fast".</v>
      </c>
      <c r="G7" s="446" t="s">
        <v>7096</v>
      </c>
      <c r="H7" s="431" t="str">
        <f>IFERROR(__xludf.DUMMYFUNCTION("GOOGLETRANSLATE(B7,""zh-tw"",""zh"")"),"6- 将「垂直同步」设为「快速」。")</f>
        <v>6- 将「垂直同步」设为「快速」。</v>
      </c>
      <c r="I7" s="432" t="s">
        <v>7097</v>
      </c>
      <c r="J7" s="432" t="s">
        <v>7098</v>
      </c>
      <c r="K7" s="433" t="s">
        <v>7099</v>
      </c>
      <c r="L7" s="433" t="s">
        <v>7100</v>
      </c>
      <c r="M7" s="135"/>
      <c r="N7" s="135"/>
      <c r="O7" s="135"/>
      <c r="P7" s="135"/>
      <c r="Q7" s="135"/>
      <c r="R7" s="135"/>
      <c r="S7" s="135"/>
      <c r="T7" s="135"/>
      <c r="U7" s="135"/>
      <c r="V7" s="135"/>
      <c r="W7" s="135"/>
    </row>
    <row r="8">
      <c r="A8" s="430" t="s">
        <v>7101</v>
      </c>
      <c r="B8" s="430" t="s">
        <v>7102</v>
      </c>
      <c r="C8" s="106" t="s">
        <v>7103</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5" t="s">
        <v>7104</v>
      </c>
      <c r="F8" s="214" t="str">
        <f>IFERROR(__xludf.DUMMYFUNCTION("GOOGLETRANSLATE(B8,""zh-tw"",""en"")"),"7 - If your computer cannot handle these options, please choose the best option.")</f>
        <v>7 - If your computer cannot handle these options, please choose the best option.</v>
      </c>
      <c r="G8" s="446" t="s">
        <v>7105</v>
      </c>
      <c r="H8" s="431" t="str">
        <f>IFERROR(__xludf.DUMMYFUNCTION("GOOGLETRANSLATE(B8,""zh-tw"",""zh"")"),"7 - 如果你的电脑无法负荷这些选项，请依照最佳的选项即可。")</f>
        <v>7 - 如果你的电脑无法负荷这些选项，请依照最佳的选项即可。</v>
      </c>
      <c r="I8" s="432" t="s">
        <v>7106</v>
      </c>
      <c r="J8" s="432" t="s">
        <v>7107</v>
      </c>
      <c r="K8" s="433" t="s">
        <v>7108</v>
      </c>
      <c r="L8" s="433" t="s">
        <v>7109</v>
      </c>
      <c r="M8" s="135"/>
      <c r="N8" s="135"/>
      <c r="O8" s="135"/>
      <c r="P8" s="135"/>
      <c r="Q8" s="135"/>
      <c r="R8" s="135"/>
      <c r="S8" s="135"/>
      <c r="T8" s="135"/>
      <c r="U8" s="135"/>
      <c r="V8" s="135"/>
      <c r="W8" s="135"/>
    </row>
    <row r="9">
      <c r="A9" s="430" t="s">
        <v>7110</v>
      </c>
      <c r="B9" s="430" t="s">
        <v>7111</v>
      </c>
      <c r="C9" s="106" t="s">
        <v>7112</v>
      </c>
      <c r="D9" s="106" t="str">
        <f>IFERROR(__xludf.DUMMYFUNCTION("GOOGLETRANSLATE(B9,""zh-tw"",""ja"")"),"8- ゲームを起動すると、その優れた安定性を体験できます。")</f>
        <v>8- ゲームを起動すると、その優れた安定性を体験できます。</v>
      </c>
      <c r="E9" s="445" t="s">
        <v>7113</v>
      </c>
      <c r="F9" s="214" t="str">
        <f>IFERROR(__xludf.DUMMYFUNCTION("GOOGLETRANSLATE(B9,""zh-tw"",""en"")"),"8- Now, launch the game and you will experience its excellent stability.")</f>
        <v>8- Now, launch the game and you will experience its excellent stability.</v>
      </c>
      <c r="G9" s="446" t="s">
        <v>7114</v>
      </c>
      <c r="H9" s="431" t="str">
        <f>IFERROR(__xludf.DUMMYFUNCTION("GOOGLETRANSLATE(B9,""zh-tw"",""zh"")"),"8- 现在，将游戏启动，你能体验到良好的稳定性能。")</f>
        <v>8- 现在，将游戏启动，你能体验到良好的稳定性能。</v>
      </c>
      <c r="I9" s="432" t="s">
        <v>7115</v>
      </c>
      <c r="J9" s="432" t="s">
        <v>7116</v>
      </c>
      <c r="K9" s="433" t="s">
        <v>7117</v>
      </c>
      <c r="L9" s="433" t="s">
        <v>7118</v>
      </c>
      <c r="M9" s="135"/>
      <c r="N9" s="135"/>
      <c r="O9" s="135"/>
      <c r="P9" s="135"/>
      <c r="Q9" s="135"/>
      <c r="R9" s="135"/>
      <c r="S9" s="135"/>
      <c r="T9" s="135"/>
      <c r="U9" s="135"/>
      <c r="V9" s="135"/>
      <c r="W9" s="135"/>
    </row>
    <row r="10">
      <c r="A10" s="430"/>
      <c r="B10" s="447" t="s">
        <v>7119</v>
      </c>
      <c r="C10" s="448"/>
      <c r="D10" s="449" t="s">
        <v>7120</v>
      </c>
      <c r="E10" s="450"/>
      <c r="F10" s="451" t="s">
        <v>7034</v>
      </c>
      <c r="G10" s="431"/>
      <c r="H10" s="452" t="s">
        <v>7121</v>
      </c>
      <c r="I10" s="453"/>
      <c r="J10" s="454" t="s">
        <v>7036</v>
      </c>
      <c r="K10" s="455"/>
      <c r="L10" s="439"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40"/>
      <c r="B11" s="440"/>
      <c r="C11" s="135"/>
      <c r="D11" s="135"/>
      <c r="E11" s="135"/>
      <c r="F11" s="440"/>
      <c r="G11" s="135"/>
      <c r="H11" s="135"/>
      <c r="I11" s="135"/>
      <c r="J11" s="441"/>
      <c r="K11" s="456"/>
      <c r="L11" s="456"/>
      <c r="M11" s="135"/>
      <c r="N11" s="135"/>
      <c r="O11" s="135"/>
      <c r="P11" s="135"/>
      <c r="Q11" s="135"/>
      <c r="R11" s="135"/>
      <c r="S11" s="135"/>
      <c r="T11" s="135"/>
      <c r="U11" s="135"/>
      <c r="V11" s="135"/>
      <c r="W11" s="135"/>
    </row>
    <row r="12">
      <c r="A12" s="440"/>
      <c r="B12" s="440"/>
      <c r="C12" s="135"/>
      <c r="D12" s="135"/>
      <c r="E12" s="135"/>
      <c r="F12" s="135"/>
      <c r="G12" s="135"/>
      <c r="H12" s="135"/>
      <c r="I12" s="135"/>
      <c r="J12" s="135"/>
      <c r="K12" s="456"/>
      <c r="L12" s="456"/>
      <c r="M12" s="135"/>
      <c r="N12" s="135"/>
      <c r="O12" s="135"/>
      <c r="P12" s="135"/>
      <c r="Q12" s="135"/>
      <c r="R12" s="135"/>
      <c r="S12" s="135"/>
      <c r="T12" s="135"/>
      <c r="U12" s="135"/>
      <c r="V12" s="135"/>
      <c r="W12" s="135"/>
    </row>
    <row r="13">
      <c r="A13" s="440"/>
      <c r="B13" s="440"/>
      <c r="C13" s="135"/>
      <c r="D13" s="135"/>
      <c r="E13" s="135"/>
      <c r="F13" s="135"/>
      <c r="G13" s="135"/>
      <c r="H13" s="135"/>
      <c r="I13" s="135"/>
      <c r="J13" s="135"/>
      <c r="K13" s="456"/>
      <c r="L13" s="456"/>
      <c r="M13" s="135"/>
      <c r="N13" s="135"/>
      <c r="O13" s="135"/>
      <c r="P13" s="135"/>
      <c r="Q13" s="135"/>
      <c r="R13" s="135"/>
      <c r="S13" s="135"/>
      <c r="T13" s="135"/>
      <c r="U13" s="135"/>
      <c r="V13" s="135"/>
      <c r="W13" s="135"/>
    </row>
    <row r="14">
      <c r="A14" s="440"/>
      <c r="B14" s="440"/>
      <c r="C14" s="135"/>
      <c r="D14" s="135"/>
      <c r="E14" s="135"/>
      <c r="F14" s="135"/>
      <c r="G14" s="135"/>
      <c r="H14" s="135"/>
      <c r="I14" s="135"/>
      <c r="J14" s="135"/>
      <c r="K14" s="456"/>
      <c r="L14" s="456"/>
      <c r="M14" s="135"/>
      <c r="N14" s="135"/>
      <c r="O14" s="135"/>
      <c r="P14" s="135"/>
      <c r="Q14" s="135"/>
      <c r="R14" s="135"/>
      <c r="S14" s="135"/>
      <c r="T14" s="135"/>
      <c r="U14" s="135"/>
      <c r="V14" s="135"/>
      <c r="W14" s="135"/>
    </row>
    <row r="15">
      <c r="A15" s="440"/>
      <c r="B15" s="440"/>
      <c r="C15" s="135"/>
      <c r="D15" s="135"/>
      <c r="E15" s="135"/>
      <c r="F15" s="135"/>
      <c r="G15" s="135"/>
      <c r="H15" s="135"/>
      <c r="I15" s="135"/>
      <c r="J15" s="135"/>
      <c r="K15" s="456"/>
      <c r="L15" s="456"/>
      <c r="M15" s="135"/>
      <c r="N15" s="135"/>
      <c r="O15" s="135"/>
      <c r="P15" s="135"/>
      <c r="Q15" s="135"/>
      <c r="R15" s="135"/>
      <c r="S15" s="135"/>
      <c r="T15" s="135"/>
      <c r="U15" s="135"/>
      <c r="V15" s="135"/>
      <c r="W15" s="135"/>
    </row>
    <row r="16">
      <c r="A16" s="440"/>
      <c r="B16" s="440"/>
      <c r="C16" s="135"/>
      <c r="D16" s="135"/>
      <c r="E16" s="135"/>
      <c r="F16" s="135"/>
      <c r="G16" s="135"/>
      <c r="H16" s="135"/>
      <c r="I16" s="135"/>
      <c r="J16" s="135"/>
      <c r="K16" s="456"/>
      <c r="L16" s="456"/>
      <c r="M16" s="135"/>
      <c r="N16" s="135"/>
      <c r="O16" s="135"/>
      <c r="P16" s="135"/>
      <c r="Q16" s="135"/>
      <c r="R16" s="135"/>
      <c r="S16" s="135"/>
      <c r="T16" s="135"/>
      <c r="U16" s="135"/>
      <c r="V16" s="135"/>
      <c r="W16" s="135"/>
    </row>
    <row r="17">
      <c r="A17" s="440"/>
      <c r="B17" s="440"/>
      <c r="C17" s="135"/>
      <c r="D17" s="135"/>
      <c r="E17" s="135"/>
      <c r="F17" s="135"/>
      <c r="G17" s="135"/>
      <c r="H17" s="135"/>
      <c r="I17" s="135"/>
      <c r="J17" s="135"/>
      <c r="K17" s="456"/>
      <c r="L17" s="456"/>
      <c r="M17" s="135"/>
      <c r="N17" s="135"/>
      <c r="O17" s="135"/>
      <c r="P17" s="135"/>
      <c r="Q17" s="135"/>
      <c r="R17" s="135"/>
      <c r="S17" s="135"/>
      <c r="T17" s="135"/>
      <c r="U17" s="135"/>
      <c r="V17" s="135"/>
      <c r="W17" s="135"/>
    </row>
    <row r="18">
      <c r="A18" s="440"/>
      <c r="B18" s="440"/>
      <c r="C18" s="135"/>
      <c r="D18" s="135"/>
      <c r="E18" s="135"/>
      <c r="F18" s="135"/>
      <c r="G18" s="135"/>
      <c r="H18" s="135"/>
      <c r="I18" s="135"/>
      <c r="J18" s="135"/>
      <c r="K18" s="456"/>
      <c r="L18" s="456"/>
      <c r="M18" s="135"/>
      <c r="N18" s="135"/>
      <c r="O18" s="135"/>
      <c r="P18" s="135"/>
      <c r="Q18" s="135"/>
      <c r="R18" s="135"/>
      <c r="S18" s="135"/>
      <c r="T18" s="135"/>
      <c r="U18" s="135"/>
      <c r="V18" s="135"/>
      <c r="W18" s="135"/>
    </row>
    <row r="19">
      <c r="A19" s="440"/>
      <c r="B19" s="440"/>
      <c r="C19" s="135"/>
      <c r="D19" s="135"/>
      <c r="E19" s="135"/>
      <c r="F19" s="135"/>
      <c r="G19" s="135"/>
      <c r="H19" s="135"/>
      <c r="I19" s="135"/>
      <c r="J19" s="135"/>
      <c r="K19" s="456"/>
      <c r="L19" s="456"/>
      <c r="M19" s="135"/>
      <c r="N19" s="135"/>
      <c r="O19" s="135"/>
      <c r="P19" s="135"/>
      <c r="Q19" s="135"/>
      <c r="R19" s="135"/>
      <c r="S19" s="135"/>
      <c r="T19" s="135"/>
      <c r="U19" s="135"/>
      <c r="V19" s="135"/>
      <c r="W19" s="135"/>
    </row>
    <row r="20">
      <c r="A20" s="440"/>
      <c r="B20" s="440"/>
      <c r="C20" s="135"/>
      <c r="D20" s="135"/>
      <c r="E20" s="135"/>
      <c r="F20" s="135"/>
      <c r="G20" s="135"/>
      <c r="H20" s="135"/>
      <c r="I20" s="135"/>
      <c r="J20" s="135"/>
      <c r="K20" s="456"/>
      <c r="L20" s="456"/>
      <c r="M20" s="135"/>
      <c r="N20" s="135"/>
      <c r="O20" s="135"/>
      <c r="P20" s="135"/>
      <c r="Q20" s="135"/>
      <c r="R20" s="135"/>
      <c r="S20" s="135"/>
      <c r="T20" s="135"/>
      <c r="U20" s="135"/>
      <c r="V20" s="135"/>
      <c r="W20" s="135"/>
    </row>
    <row r="21">
      <c r="A21" s="440"/>
      <c r="B21" s="440"/>
      <c r="C21" s="135"/>
      <c r="D21" s="135"/>
      <c r="E21" s="135"/>
      <c r="F21" s="135"/>
      <c r="G21" s="135"/>
      <c r="H21" s="135"/>
      <c r="I21" s="135"/>
      <c r="J21" s="135"/>
      <c r="K21" s="456"/>
      <c r="L21" s="456"/>
      <c r="M21" s="135"/>
      <c r="N21" s="135"/>
      <c r="O21" s="135"/>
      <c r="P21" s="135"/>
      <c r="Q21" s="135"/>
      <c r="R21" s="135"/>
      <c r="S21" s="135"/>
      <c r="T21" s="135"/>
      <c r="U21" s="135"/>
      <c r="V21" s="135"/>
      <c r="W21" s="135"/>
    </row>
    <row r="22">
      <c r="A22" s="457"/>
      <c r="B22" s="440"/>
      <c r="C22" s="135"/>
      <c r="D22" s="135"/>
      <c r="E22" s="135"/>
      <c r="F22" s="135"/>
      <c r="G22" s="135"/>
      <c r="H22" s="135"/>
      <c r="I22" s="135"/>
      <c r="J22" s="135"/>
      <c r="K22" s="456"/>
      <c r="L22" s="456"/>
      <c r="M22" s="135"/>
      <c r="N22" s="135"/>
      <c r="O22" s="135"/>
      <c r="P22" s="135"/>
      <c r="Q22" s="135"/>
      <c r="R22" s="135"/>
      <c r="S22" s="135"/>
      <c r="T22" s="135"/>
      <c r="U22" s="135"/>
      <c r="V22" s="135"/>
      <c r="W22" s="135"/>
    </row>
    <row r="23">
      <c r="A23" s="440"/>
      <c r="B23" s="440"/>
      <c r="C23" s="135"/>
      <c r="D23" s="135"/>
      <c r="E23" s="135"/>
      <c r="F23" s="135"/>
      <c r="G23" s="135"/>
      <c r="H23" s="135"/>
      <c r="I23" s="135"/>
      <c r="J23" s="135"/>
      <c r="K23" s="456"/>
      <c r="L23" s="456"/>
      <c r="M23" s="135"/>
      <c r="N23" s="135"/>
      <c r="O23" s="135"/>
      <c r="P23" s="135"/>
      <c r="Q23" s="135"/>
      <c r="R23" s="135"/>
      <c r="S23" s="135"/>
      <c r="T23" s="135"/>
      <c r="U23" s="135"/>
      <c r="V23" s="135"/>
      <c r="W23" s="135"/>
    </row>
    <row r="24">
      <c r="A24" s="440"/>
      <c r="B24" s="440"/>
      <c r="C24" s="135"/>
      <c r="D24" s="135"/>
      <c r="E24" s="135"/>
      <c r="F24" s="135"/>
      <c r="G24" s="135"/>
      <c r="H24" s="135"/>
      <c r="I24" s="135"/>
      <c r="J24" s="135"/>
      <c r="K24" s="456"/>
      <c r="L24" s="456"/>
      <c r="M24" s="135"/>
      <c r="N24" s="135"/>
      <c r="O24" s="135"/>
      <c r="P24" s="135"/>
      <c r="Q24" s="135"/>
      <c r="R24" s="135"/>
      <c r="S24" s="135"/>
      <c r="T24" s="135"/>
      <c r="U24" s="135"/>
      <c r="V24" s="135"/>
      <c r="W24" s="135"/>
    </row>
    <row r="25">
      <c r="A25" s="440"/>
      <c r="B25" s="440"/>
      <c r="C25" s="135"/>
      <c r="D25" s="135"/>
      <c r="E25" s="135"/>
      <c r="F25" s="135"/>
      <c r="G25" s="135"/>
      <c r="H25" s="135"/>
      <c r="I25" s="135"/>
      <c r="J25" s="135"/>
      <c r="K25" s="456"/>
      <c r="L25" s="456"/>
      <c r="M25" s="135"/>
      <c r="N25" s="135"/>
      <c r="O25" s="135"/>
      <c r="P25" s="135"/>
      <c r="Q25" s="135"/>
      <c r="R25" s="135"/>
      <c r="S25" s="135"/>
      <c r="T25" s="135"/>
      <c r="U25" s="135"/>
      <c r="V25" s="135"/>
      <c r="W25" s="135"/>
    </row>
    <row r="26">
      <c r="A26" s="440"/>
      <c r="B26" s="440"/>
      <c r="C26" s="135"/>
      <c r="D26" s="135"/>
      <c r="E26" s="135"/>
      <c r="F26" s="135"/>
      <c r="G26" s="135"/>
      <c r="H26" s="135"/>
      <c r="I26" s="135"/>
      <c r="J26" s="135"/>
      <c r="K26" s="456"/>
      <c r="L26" s="456"/>
      <c r="M26" s="135"/>
      <c r="N26" s="135"/>
      <c r="O26" s="135"/>
      <c r="P26" s="135"/>
      <c r="Q26" s="135"/>
      <c r="R26" s="135"/>
      <c r="S26" s="135"/>
      <c r="T26" s="135"/>
      <c r="U26" s="135"/>
      <c r="V26" s="135"/>
      <c r="W26" s="135"/>
    </row>
    <row r="27">
      <c r="A27" s="440"/>
      <c r="B27" s="440"/>
      <c r="C27" s="135"/>
      <c r="D27" s="135"/>
      <c r="E27" s="135"/>
      <c r="F27" s="135"/>
      <c r="G27" s="135"/>
      <c r="H27" s="135"/>
      <c r="I27" s="135"/>
      <c r="J27" s="135"/>
      <c r="K27" s="456"/>
      <c r="L27" s="456"/>
      <c r="M27" s="135"/>
      <c r="N27" s="135"/>
      <c r="O27" s="135"/>
      <c r="P27" s="135"/>
      <c r="Q27" s="135"/>
      <c r="R27" s="135"/>
      <c r="S27" s="135"/>
      <c r="T27" s="135"/>
      <c r="U27" s="135"/>
      <c r="V27" s="135"/>
      <c r="W27" s="135"/>
    </row>
    <row r="28">
      <c r="A28" s="440"/>
      <c r="B28" s="440"/>
      <c r="C28" s="135"/>
      <c r="D28" s="135"/>
      <c r="E28" s="135"/>
      <c r="F28" s="135"/>
      <c r="G28" s="135"/>
      <c r="H28" s="135"/>
      <c r="I28" s="135"/>
      <c r="J28" s="135"/>
      <c r="K28" s="456"/>
      <c r="L28" s="456"/>
      <c r="M28" s="135"/>
      <c r="N28" s="135"/>
      <c r="O28" s="135"/>
      <c r="P28" s="135"/>
      <c r="Q28" s="135"/>
      <c r="R28" s="135"/>
      <c r="S28" s="135"/>
      <c r="T28" s="135"/>
      <c r="U28" s="135"/>
      <c r="V28" s="135"/>
      <c r="W28" s="135"/>
    </row>
    <row r="29">
      <c r="A29" s="440"/>
      <c r="B29" s="440"/>
      <c r="C29" s="135"/>
      <c r="D29" s="135"/>
      <c r="E29" s="135"/>
      <c r="F29" s="135"/>
      <c r="G29" s="135"/>
      <c r="H29" s="135"/>
      <c r="I29" s="135"/>
      <c r="J29" s="135"/>
      <c r="K29" s="456"/>
      <c r="L29" s="456"/>
      <c r="M29" s="135"/>
      <c r="N29" s="135"/>
      <c r="O29" s="135"/>
      <c r="P29" s="135"/>
      <c r="Q29" s="135"/>
      <c r="R29" s="135"/>
      <c r="S29" s="135"/>
      <c r="T29" s="135"/>
      <c r="U29" s="135"/>
      <c r="V29" s="135"/>
      <c r="W29" s="135"/>
    </row>
    <row r="30">
      <c r="A30" s="440"/>
      <c r="B30" s="440"/>
      <c r="C30" s="135"/>
      <c r="D30" s="135"/>
      <c r="E30" s="135"/>
      <c r="F30" s="135"/>
      <c r="G30" s="135"/>
      <c r="H30" s="135"/>
      <c r="I30" s="135"/>
      <c r="J30" s="135"/>
      <c r="K30" s="456"/>
      <c r="L30" s="456"/>
      <c r="M30" s="135"/>
      <c r="N30" s="135"/>
      <c r="O30" s="135"/>
      <c r="P30" s="135"/>
      <c r="Q30" s="135"/>
      <c r="R30" s="135"/>
      <c r="S30" s="135"/>
      <c r="T30" s="135"/>
      <c r="U30" s="135"/>
      <c r="V30" s="135"/>
      <c r="W30" s="135"/>
    </row>
    <row r="31">
      <c r="A31" s="440"/>
      <c r="B31" s="440"/>
      <c r="C31" s="135"/>
      <c r="D31" s="135"/>
      <c r="E31" s="135"/>
      <c r="F31" s="135"/>
      <c r="G31" s="135"/>
      <c r="H31" s="135"/>
      <c r="I31" s="135"/>
      <c r="J31" s="135"/>
      <c r="K31" s="456"/>
      <c r="L31" s="456"/>
      <c r="M31" s="135"/>
      <c r="N31" s="135"/>
      <c r="O31" s="135"/>
      <c r="P31" s="135"/>
      <c r="Q31" s="135"/>
      <c r="R31" s="135"/>
      <c r="S31" s="135"/>
      <c r="T31" s="135"/>
      <c r="U31" s="135"/>
      <c r="V31" s="135"/>
      <c r="W31" s="135"/>
    </row>
    <row r="32">
      <c r="A32" s="440"/>
      <c r="B32" s="440"/>
      <c r="C32" s="135"/>
      <c r="D32" s="135"/>
      <c r="E32" s="135"/>
      <c r="F32" s="135"/>
      <c r="G32" s="135"/>
      <c r="H32" s="135"/>
      <c r="I32" s="135"/>
      <c r="J32" s="135"/>
      <c r="K32" s="456"/>
      <c r="L32" s="456"/>
      <c r="M32" s="135"/>
      <c r="N32" s="135"/>
      <c r="O32" s="135"/>
      <c r="P32" s="135"/>
      <c r="Q32" s="135"/>
      <c r="R32" s="135"/>
      <c r="S32" s="135"/>
      <c r="T32" s="135"/>
      <c r="U32" s="135"/>
      <c r="V32" s="135"/>
      <c r="W32" s="135"/>
    </row>
    <row r="33">
      <c r="A33" s="440"/>
      <c r="B33" s="440"/>
      <c r="C33" s="135"/>
      <c r="D33" s="135"/>
      <c r="E33" s="135"/>
      <c r="F33" s="135"/>
      <c r="G33" s="135"/>
      <c r="H33" s="135"/>
      <c r="I33" s="135"/>
      <c r="J33" s="135"/>
      <c r="K33" s="456"/>
      <c r="L33" s="456"/>
      <c r="M33" s="135"/>
      <c r="N33" s="135"/>
      <c r="O33" s="135"/>
      <c r="P33" s="135"/>
      <c r="Q33" s="135"/>
      <c r="R33" s="135"/>
      <c r="S33" s="135"/>
      <c r="T33" s="135"/>
      <c r="U33" s="135"/>
      <c r="V33" s="135"/>
      <c r="W33" s="135"/>
    </row>
    <row r="34">
      <c r="A34" s="440"/>
      <c r="B34" s="440"/>
      <c r="C34" s="135"/>
      <c r="D34" s="135"/>
      <c r="E34" s="135"/>
      <c r="F34" s="135"/>
      <c r="G34" s="135"/>
      <c r="H34" s="135"/>
      <c r="I34" s="135"/>
      <c r="J34" s="135"/>
      <c r="K34" s="456"/>
      <c r="L34" s="456"/>
      <c r="M34" s="135"/>
      <c r="N34" s="135"/>
      <c r="O34" s="135"/>
      <c r="P34" s="135"/>
      <c r="Q34" s="135"/>
      <c r="R34" s="135"/>
      <c r="S34" s="135"/>
      <c r="T34" s="135"/>
      <c r="U34" s="135"/>
      <c r="V34" s="135"/>
      <c r="W34" s="135"/>
    </row>
    <row r="35">
      <c r="A35" s="440"/>
      <c r="B35" s="440"/>
      <c r="C35" s="135"/>
      <c r="D35" s="135"/>
      <c r="E35" s="135"/>
      <c r="F35" s="135"/>
      <c r="G35" s="135"/>
      <c r="H35" s="135"/>
      <c r="I35" s="135"/>
      <c r="J35" s="135"/>
      <c r="K35" s="456"/>
      <c r="L35" s="456"/>
      <c r="M35" s="135"/>
      <c r="N35" s="135"/>
      <c r="O35" s="135"/>
      <c r="P35" s="135"/>
      <c r="Q35" s="135"/>
      <c r="R35" s="135"/>
      <c r="S35" s="135"/>
      <c r="T35" s="135"/>
      <c r="U35" s="135"/>
      <c r="V35" s="135"/>
      <c r="W35" s="135"/>
    </row>
    <row r="36">
      <c r="A36" s="135"/>
      <c r="B36" s="135"/>
      <c r="C36" s="135"/>
      <c r="D36" s="135"/>
      <c r="E36" s="135"/>
      <c r="F36" s="135"/>
      <c r="G36" s="135"/>
      <c r="H36" s="135"/>
      <c r="I36" s="135"/>
      <c r="J36" s="135"/>
      <c r="K36" s="456"/>
      <c r="L36" s="456"/>
      <c r="M36" s="135"/>
      <c r="N36" s="135"/>
      <c r="O36" s="135"/>
      <c r="P36" s="135"/>
      <c r="Q36" s="135"/>
      <c r="R36" s="135"/>
      <c r="S36" s="135"/>
      <c r="T36" s="135"/>
      <c r="U36" s="135"/>
      <c r="V36" s="135"/>
      <c r="W36" s="135"/>
    </row>
    <row r="37">
      <c r="A37" s="135"/>
      <c r="B37" s="135"/>
      <c r="C37" s="135"/>
      <c r="D37" s="135"/>
      <c r="E37" s="135"/>
      <c r="F37" s="135"/>
      <c r="G37" s="135"/>
      <c r="H37" s="135"/>
      <c r="I37" s="135"/>
      <c r="J37" s="135"/>
      <c r="K37" s="456"/>
      <c r="L37" s="456"/>
      <c r="M37" s="135"/>
      <c r="N37" s="135"/>
      <c r="O37" s="135"/>
      <c r="P37" s="135"/>
      <c r="Q37" s="135"/>
      <c r="R37" s="135"/>
      <c r="S37" s="135"/>
      <c r="T37" s="135"/>
      <c r="U37" s="135"/>
      <c r="V37" s="135"/>
      <c r="W37" s="135"/>
    </row>
    <row r="38">
      <c r="A38" s="135"/>
      <c r="B38" s="135"/>
      <c r="C38" s="135"/>
      <c r="D38" s="135"/>
      <c r="E38" s="135"/>
      <c r="F38" s="135"/>
      <c r="G38" s="135"/>
      <c r="H38" s="135"/>
      <c r="I38" s="135"/>
      <c r="J38" s="135"/>
      <c r="K38" s="456"/>
      <c r="L38" s="456"/>
      <c r="M38" s="135"/>
      <c r="N38" s="135"/>
      <c r="O38" s="135"/>
      <c r="P38" s="135"/>
      <c r="Q38" s="135"/>
      <c r="R38" s="135"/>
      <c r="S38" s="135"/>
      <c r="T38" s="135"/>
      <c r="U38" s="135"/>
      <c r="V38" s="135"/>
      <c r="W38" s="135"/>
    </row>
    <row r="39">
      <c r="A39" s="135"/>
      <c r="B39" s="135"/>
      <c r="C39" s="135"/>
      <c r="D39" s="135"/>
      <c r="E39" s="135"/>
      <c r="F39" s="135"/>
      <c r="G39" s="135"/>
      <c r="H39" s="135"/>
      <c r="I39" s="135"/>
      <c r="J39" s="135"/>
      <c r="K39" s="456"/>
      <c r="L39" s="456"/>
      <c r="M39" s="135"/>
      <c r="N39" s="135"/>
      <c r="O39" s="135"/>
      <c r="P39" s="135"/>
      <c r="Q39" s="135"/>
      <c r="R39" s="135"/>
      <c r="S39" s="135"/>
      <c r="T39" s="135"/>
      <c r="U39" s="135"/>
      <c r="V39" s="135"/>
      <c r="W39" s="135"/>
    </row>
    <row r="40">
      <c r="A40" s="135"/>
      <c r="B40" s="135"/>
      <c r="C40" s="135"/>
      <c r="D40" s="135"/>
      <c r="E40" s="135"/>
      <c r="F40" s="135"/>
      <c r="G40" s="135"/>
      <c r="H40" s="135"/>
      <c r="I40" s="135"/>
      <c r="J40" s="135"/>
      <c r="K40" s="456"/>
      <c r="L40" s="456"/>
      <c r="M40" s="135"/>
      <c r="N40" s="135"/>
      <c r="O40" s="135"/>
      <c r="P40" s="135"/>
      <c r="Q40" s="135"/>
      <c r="R40" s="135"/>
      <c r="S40" s="135"/>
      <c r="T40" s="135"/>
      <c r="U40" s="135"/>
      <c r="V40" s="135"/>
      <c r="W40" s="135"/>
    </row>
    <row r="41">
      <c r="A41" s="135"/>
      <c r="B41" s="135"/>
      <c r="C41" s="135"/>
      <c r="D41" s="135"/>
      <c r="E41" s="135"/>
      <c r="F41" s="135"/>
      <c r="G41" s="135"/>
      <c r="H41" s="135"/>
      <c r="I41" s="135"/>
      <c r="J41" s="135"/>
      <c r="K41" s="456"/>
      <c r="L41" s="456"/>
      <c r="M41" s="135"/>
      <c r="N41" s="135"/>
      <c r="O41" s="135"/>
      <c r="P41" s="135"/>
      <c r="Q41" s="135"/>
      <c r="R41" s="135"/>
      <c r="S41" s="135"/>
      <c r="T41" s="135"/>
      <c r="U41" s="135"/>
      <c r="V41" s="135"/>
      <c r="W41" s="135"/>
    </row>
    <row r="42">
      <c r="A42" s="135"/>
      <c r="B42" s="135"/>
      <c r="C42" s="135"/>
      <c r="D42" s="135"/>
      <c r="E42" s="135"/>
      <c r="F42" s="135"/>
      <c r="G42" s="135"/>
      <c r="H42" s="135"/>
      <c r="I42" s="135"/>
      <c r="J42" s="135"/>
      <c r="K42" s="456"/>
      <c r="L42" s="456"/>
      <c r="M42" s="135"/>
      <c r="N42" s="135"/>
      <c r="O42" s="135"/>
      <c r="P42" s="135"/>
      <c r="Q42" s="135"/>
      <c r="R42" s="135"/>
      <c r="S42" s="135"/>
      <c r="T42" s="135"/>
      <c r="U42" s="135"/>
      <c r="V42" s="135"/>
      <c r="W42" s="135"/>
    </row>
    <row r="43">
      <c r="A43" s="135"/>
      <c r="B43" s="135"/>
      <c r="C43" s="135"/>
      <c r="D43" s="135"/>
      <c r="E43" s="135"/>
      <c r="F43" s="135"/>
      <c r="G43" s="135"/>
      <c r="H43" s="135"/>
      <c r="I43" s="135"/>
      <c r="J43" s="135"/>
      <c r="K43" s="456"/>
      <c r="L43" s="456"/>
      <c r="M43" s="135"/>
      <c r="N43" s="135"/>
      <c r="O43" s="135"/>
      <c r="P43" s="135"/>
      <c r="Q43" s="135"/>
      <c r="R43" s="135"/>
      <c r="S43" s="135"/>
      <c r="T43" s="135"/>
      <c r="U43" s="135"/>
      <c r="V43" s="135"/>
      <c r="W43" s="135"/>
    </row>
    <row r="44">
      <c r="A44" s="135"/>
      <c r="B44" s="135"/>
      <c r="C44" s="135"/>
      <c r="D44" s="135"/>
      <c r="E44" s="135"/>
      <c r="F44" s="135"/>
      <c r="G44" s="135"/>
      <c r="H44" s="135"/>
      <c r="I44" s="135"/>
      <c r="J44" s="135"/>
      <c r="K44" s="456"/>
      <c r="L44" s="456"/>
      <c r="M44" s="135"/>
      <c r="N44" s="135"/>
      <c r="O44" s="135"/>
      <c r="P44" s="135"/>
      <c r="Q44" s="135"/>
      <c r="R44" s="135"/>
      <c r="S44" s="135"/>
      <c r="T44" s="135"/>
      <c r="U44" s="135"/>
      <c r="V44" s="135"/>
      <c r="W44" s="135"/>
    </row>
    <row r="45">
      <c r="A45" s="135"/>
      <c r="B45" s="135"/>
      <c r="C45" s="135"/>
      <c r="D45" s="135"/>
      <c r="E45" s="135"/>
      <c r="F45" s="135"/>
      <c r="G45" s="135"/>
      <c r="H45" s="135"/>
      <c r="I45" s="135"/>
      <c r="J45" s="135"/>
      <c r="K45" s="456"/>
      <c r="L45" s="456"/>
      <c r="M45" s="135"/>
      <c r="N45" s="135"/>
      <c r="O45" s="135"/>
      <c r="P45" s="135"/>
      <c r="Q45" s="135"/>
      <c r="R45" s="135"/>
      <c r="S45" s="135"/>
      <c r="T45" s="135"/>
      <c r="U45" s="135"/>
      <c r="V45" s="135"/>
      <c r="W45" s="135"/>
    </row>
    <row r="46">
      <c r="A46" s="135"/>
      <c r="B46" s="135"/>
      <c r="C46" s="135"/>
      <c r="D46" s="135"/>
      <c r="E46" s="135"/>
      <c r="F46" s="135"/>
      <c r="G46" s="135"/>
      <c r="H46" s="135"/>
      <c r="I46" s="135"/>
      <c r="J46" s="135"/>
      <c r="K46" s="456"/>
      <c r="L46" s="456"/>
      <c r="M46" s="135"/>
      <c r="N46" s="135"/>
      <c r="O46" s="135"/>
      <c r="P46" s="135"/>
      <c r="Q46" s="135"/>
      <c r="R46" s="135"/>
      <c r="S46" s="135"/>
      <c r="T46" s="135"/>
      <c r="U46" s="135"/>
      <c r="V46" s="135"/>
      <c r="W46" s="135"/>
    </row>
    <row r="47">
      <c r="A47" s="135"/>
      <c r="B47" s="135"/>
      <c r="C47" s="135"/>
      <c r="D47" s="135"/>
      <c r="E47" s="135"/>
      <c r="F47" s="135"/>
      <c r="G47" s="135"/>
      <c r="H47" s="135"/>
      <c r="I47" s="135"/>
      <c r="J47" s="135"/>
      <c r="K47" s="456"/>
      <c r="L47" s="456"/>
      <c r="M47" s="135"/>
      <c r="N47" s="135"/>
      <c r="O47" s="135"/>
      <c r="P47" s="135"/>
      <c r="Q47" s="135"/>
      <c r="R47" s="135"/>
      <c r="S47" s="135"/>
      <c r="T47" s="135"/>
      <c r="U47" s="135"/>
      <c r="V47" s="135"/>
      <c r="W47" s="135"/>
    </row>
    <row r="48">
      <c r="A48" s="135"/>
      <c r="B48" s="135"/>
      <c r="C48" s="135"/>
      <c r="D48" s="135"/>
      <c r="E48" s="135"/>
      <c r="F48" s="135"/>
      <c r="G48" s="135"/>
      <c r="H48" s="135"/>
      <c r="I48" s="135"/>
      <c r="J48" s="135"/>
      <c r="K48" s="456"/>
      <c r="L48" s="456"/>
      <c r="M48" s="135"/>
      <c r="N48" s="135"/>
      <c r="O48" s="135"/>
      <c r="P48" s="135"/>
      <c r="Q48" s="135"/>
      <c r="R48" s="135"/>
      <c r="S48" s="135"/>
      <c r="T48" s="135"/>
      <c r="U48" s="135"/>
      <c r="V48" s="135"/>
      <c r="W48" s="135"/>
    </row>
    <row r="49">
      <c r="A49" s="135"/>
      <c r="B49" s="135"/>
      <c r="C49" s="135"/>
      <c r="D49" s="135"/>
      <c r="E49" s="135"/>
      <c r="F49" s="135"/>
      <c r="G49" s="135"/>
      <c r="H49" s="135"/>
      <c r="I49" s="135"/>
      <c r="J49" s="135"/>
      <c r="K49" s="456"/>
      <c r="L49" s="456"/>
      <c r="M49" s="135"/>
      <c r="N49" s="135"/>
      <c r="O49" s="135"/>
      <c r="P49" s="135"/>
      <c r="Q49" s="135"/>
      <c r="R49" s="135"/>
      <c r="S49" s="135"/>
      <c r="T49" s="135"/>
      <c r="U49" s="135"/>
      <c r="V49" s="135"/>
      <c r="W49" s="135"/>
    </row>
    <row r="50">
      <c r="A50" s="135"/>
      <c r="B50" s="135"/>
      <c r="C50" s="135"/>
      <c r="D50" s="135"/>
      <c r="E50" s="135"/>
      <c r="F50" s="135"/>
      <c r="G50" s="135"/>
      <c r="H50" s="135"/>
      <c r="I50" s="135"/>
      <c r="J50" s="135"/>
      <c r="K50" s="456"/>
      <c r="L50" s="456"/>
      <c r="M50" s="135"/>
      <c r="N50" s="135"/>
      <c r="O50" s="135"/>
      <c r="P50" s="135"/>
      <c r="Q50" s="135"/>
      <c r="R50" s="135"/>
      <c r="S50" s="135"/>
      <c r="T50" s="135"/>
      <c r="U50" s="135"/>
      <c r="V50" s="135"/>
      <c r="W50" s="135"/>
    </row>
    <row r="51">
      <c r="A51" s="135"/>
      <c r="B51" s="135"/>
      <c r="C51" s="135"/>
      <c r="D51" s="135"/>
      <c r="E51" s="135"/>
      <c r="F51" s="135"/>
      <c r="G51" s="135"/>
      <c r="H51" s="135"/>
      <c r="I51" s="135"/>
      <c r="J51" s="135"/>
      <c r="K51" s="456"/>
      <c r="L51" s="456"/>
      <c r="M51" s="135"/>
      <c r="N51" s="135"/>
      <c r="O51" s="135"/>
      <c r="P51" s="135"/>
      <c r="Q51" s="135"/>
      <c r="R51" s="135"/>
      <c r="S51" s="135"/>
      <c r="T51" s="135"/>
      <c r="U51" s="135"/>
      <c r="V51" s="135"/>
      <c r="W51" s="135"/>
    </row>
    <row r="52">
      <c r="A52" s="135"/>
      <c r="B52" s="135"/>
      <c r="C52" s="135"/>
      <c r="D52" s="135"/>
      <c r="E52" s="135"/>
      <c r="F52" s="135"/>
      <c r="G52" s="135"/>
      <c r="H52" s="135"/>
      <c r="I52" s="135"/>
      <c r="J52" s="135"/>
      <c r="K52" s="456"/>
      <c r="L52" s="456"/>
      <c r="M52" s="135"/>
      <c r="N52" s="135"/>
      <c r="O52" s="135"/>
      <c r="P52" s="135"/>
      <c r="Q52" s="135"/>
      <c r="R52" s="135"/>
      <c r="S52" s="135"/>
      <c r="T52" s="135"/>
      <c r="U52" s="135"/>
      <c r="V52" s="135"/>
      <c r="W52" s="135"/>
    </row>
    <row r="53">
      <c r="A53" s="135"/>
      <c r="B53" s="135"/>
      <c r="C53" s="135"/>
      <c r="D53" s="135"/>
      <c r="E53" s="135"/>
      <c r="F53" s="135"/>
      <c r="G53" s="135"/>
      <c r="H53" s="135"/>
      <c r="I53" s="135"/>
      <c r="J53" s="135"/>
      <c r="K53" s="456"/>
      <c r="L53" s="456"/>
      <c r="M53" s="135"/>
      <c r="N53" s="135"/>
      <c r="O53" s="135"/>
      <c r="P53" s="135"/>
      <c r="Q53" s="135"/>
      <c r="R53" s="135"/>
      <c r="S53" s="135"/>
      <c r="T53" s="135"/>
      <c r="U53" s="135"/>
      <c r="V53" s="135"/>
      <c r="W53" s="135"/>
    </row>
    <row r="54">
      <c r="A54" s="135"/>
      <c r="B54" s="135"/>
      <c r="C54" s="135"/>
      <c r="D54" s="135"/>
      <c r="E54" s="135"/>
      <c r="F54" s="135"/>
      <c r="G54" s="135"/>
      <c r="H54" s="135"/>
      <c r="I54" s="135"/>
      <c r="J54" s="135"/>
      <c r="K54" s="456"/>
      <c r="L54" s="456"/>
      <c r="M54" s="135"/>
      <c r="N54" s="135"/>
      <c r="O54" s="135"/>
      <c r="P54" s="135"/>
      <c r="Q54" s="135"/>
      <c r="R54" s="135"/>
      <c r="S54" s="135"/>
      <c r="T54" s="135"/>
      <c r="U54" s="135"/>
      <c r="V54" s="135"/>
      <c r="W54" s="135"/>
    </row>
    <row r="55">
      <c r="A55" s="135"/>
      <c r="B55" s="135"/>
      <c r="C55" s="135"/>
      <c r="D55" s="135"/>
      <c r="E55" s="135"/>
      <c r="F55" s="135"/>
      <c r="G55" s="135"/>
      <c r="H55" s="135"/>
      <c r="I55" s="135"/>
      <c r="J55" s="135"/>
      <c r="K55" s="456"/>
      <c r="L55" s="456"/>
      <c r="M55" s="135"/>
      <c r="N55" s="135"/>
      <c r="O55" s="135"/>
      <c r="P55" s="135"/>
      <c r="Q55" s="135"/>
      <c r="R55" s="135"/>
      <c r="S55" s="135"/>
      <c r="T55" s="135"/>
      <c r="U55" s="135"/>
      <c r="V55" s="135"/>
      <c r="W55" s="135"/>
    </row>
    <row r="56">
      <c r="A56" s="135"/>
      <c r="B56" s="135"/>
      <c r="C56" s="135"/>
      <c r="D56" s="135"/>
      <c r="E56" s="135"/>
      <c r="F56" s="135"/>
      <c r="G56" s="135"/>
      <c r="H56" s="135"/>
      <c r="I56" s="135"/>
      <c r="J56" s="135"/>
      <c r="K56" s="456"/>
      <c r="L56" s="456"/>
      <c r="M56" s="135"/>
      <c r="N56" s="135"/>
      <c r="O56" s="135"/>
      <c r="P56" s="135"/>
      <c r="Q56" s="135"/>
      <c r="R56" s="135"/>
      <c r="S56" s="135"/>
      <c r="T56" s="135"/>
      <c r="U56" s="135"/>
      <c r="V56" s="135"/>
      <c r="W56" s="135"/>
    </row>
    <row r="57">
      <c r="A57" s="135"/>
      <c r="B57" s="135"/>
      <c r="C57" s="135"/>
      <c r="D57" s="135"/>
      <c r="E57" s="135"/>
      <c r="F57" s="135"/>
      <c r="G57" s="135"/>
      <c r="H57" s="135"/>
      <c r="I57" s="135"/>
      <c r="J57" s="135"/>
      <c r="K57" s="456"/>
      <c r="L57" s="456"/>
      <c r="M57" s="135"/>
      <c r="N57" s="135"/>
      <c r="O57" s="135"/>
      <c r="P57" s="135"/>
      <c r="Q57" s="135"/>
      <c r="R57" s="135"/>
      <c r="S57" s="135"/>
      <c r="T57" s="135"/>
      <c r="U57" s="135"/>
      <c r="V57" s="135"/>
      <c r="W57" s="135"/>
    </row>
    <row r="58">
      <c r="A58" s="135"/>
      <c r="B58" s="135"/>
      <c r="C58" s="135"/>
      <c r="D58" s="135"/>
      <c r="E58" s="135"/>
      <c r="F58" s="135"/>
      <c r="G58" s="135"/>
      <c r="H58" s="135"/>
      <c r="I58" s="135"/>
      <c r="J58" s="135"/>
      <c r="K58" s="456"/>
      <c r="L58" s="456"/>
      <c r="M58" s="135"/>
      <c r="N58" s="135"/>
      <c r="O58" s="135"/>
      <c r="P58" s="135"/>
      <c r="Q58" s="135"/>
      <c r="R58" s="135"/>
      <c r="S58" s="135"/>
      <c r="T58" s="135"/>
      <c r="U58" s="135"/>
      <c r="V58" s="135"/>
      <c r="W58" s="135"/>
    </row>
    <row r="59">
      <c r="A59" s="135"/>
      <c r="B59" s="135"/>
      <c r="C59" s="135"/>
      <c r="D59" s="135"/>
      <c r="E59" s="135"/>
      <c r="F59" s="135"/>
      <c r="G59" s="135"/>
      <c r="H59" s="135"/>
      <c r="I59" s="135"/>
      <c r="J59" s="135"/>
      <c r="K59" s="456"/>
      <c r="L59" s="456"/>
      <c r="M59" s="135"/>
      <c r="N59" s="135"/>
      <c r="O59" s="135"/>
      <c r="P59" s="135"/>
      <c r="Q59" s="135"/>
      <c r="R59" s="135"/>
      <c r="S59" s="135"/>
      <c r="T59" s="135"/>
      <c r="U59" s="135"/>
      <c r="V59" s="135"/>
      <c r="W59" s="135"/>
    </row>
    <row r="60">
      <c r="A60" s="135"/>
      <c r="B60" s="135"/>
      <c r="C60" s="135"/>
      <c r="D60" s="135"/>
      <c r="E60" s="135"/>
      <c r="F60" s="135"/>
      <c r="G60" s="135"/>
      <c r="H60" s="135"/>
      <c r="I60" s="135"/>
      <c r="J60" s="135"/>
      <c r="K60" s="456"/>
      <c r="L60" s="456"/>
      <c r="M60" s="135"/>
      <c r="N60" s="135"/>
      <c r="O60" s="135"/>
      <c r="P60" s="135"/>
      <c r="Q60" s="135"/>
      <c r="R60" s="135"/>
      <c r="S60" s="135"/>
      <c r="T60" s="135"/>
      <c r="U60" s="135"/>
      <c r="V60" s="135"/>
      <c r="W60" s="135"/>
    </row>
    <row r="61">
      <c r="A61" s="135"/>
      <c r="B61" s="135"/>
      <c r="C61" s="135"/>
      <c r="D61" s="135"/>
      <c r="E61" s="135"/>
      <c r="F61" s="135"/>
      <c r="G61" s="135"/>
      <c r="H61" s="135"/>
      <c r="I61" s="135"/>
      <c r="J61" s="135"/>
      <c r="K61" s="456"/>
      <c r="L61" s="456"/>
      <c r="M61" s="135"/>
      <c r="N61" s="135"/>
      <c r="O61" s="135"/>
      <c r="P61" s="135"/>
      <c r="Q61" s="135"/>
      <c r="R61" s="135"/>
      <c r="S61" s="135"/>
      <c r="T61" s="135"/>
      <c r="U61" s="135"/>
      <c r="V61" s="135"/>
      <c r="W61" s="135"/>
    </row>
    <row r="62">
      <c r="A62" s="135"/>
      <c r="B62" s="135"/>
      <c r="C62" s="135"/>
      <c r="D62" s="135"/>
      <c r="E62" s="135"/>
      <c r="F62" s="135"/>
      <c r="G62" s="135"/>
      <c r="H62" s="135"/>
      <c r="I62" s="135"/>
      <c r="J62" s="135"/>
      <c r="K62" s="456"/>
      <c r="L62" s="456"/>
      <c r="M62" s="135"/>
      <c r="N62" s="135"/>
      <c r="O62" s="135"/>
      <c r="P62" s="135"/>
      <c r="Q62" s="135"/>
      <c r="R62" s="135"/>
      <c r="S62" s="135"/>
      <c r="T62" s="135"/>
      <c r="U62" s="135"/>
      <c r="V62" s="135"/>
      <c r="W62" s="135"/>
    </row>
    <row r="63">
      <c r="A63" s="135"/>
      <c r="B63" s="135"/>
      <c r="C63" s="135"/>
      <c r="D63" s="135"/>
      <c r="E63" s="135"/>
      <c r="F63" s="135"/>
      <c r="G63" s="135"/>
      <c r="H63" s="135"/>
      <c r="I63" s="135"/>
      <c r="J63" s="135"/>
      <c r="K63" s="456"/>
      <c r="L63" s="456"/>
      <c r="M63" s="135"/>
      <c r="N63" s="135"/>
      <c r="O63" s="135"/>
      <c r="P63" s="135"/>
      <c r="Q63" s="135"/>
      <c r="R63" s="135"/>
      <c r="S63" s="135"/>
      <c r="T63" s="135"/>
      <c r="U63" s="135"/>
      <c r="V63" s="135"/>
      <c r="W63" s="135"/>
    </row>
    <row r="64">
      <c r="A64" s="135"/>
      <c r="B64" s="135"/>
      <c r="C64" s="135"/>
      <c r="D64" s="135"/>
      <c r="E64" s="135"/>
      <c r="F64" s="135"/>
      <c r="G64" s="135"/>
      <c r="H64" s="135"/>
      <c r="I64" s="135"/>
      <c r="J64" s="135"/>
      <c r="K64" s="456"/>
      <c r="L64" s="456"/>
      <c r="M64" s="135"/>
      <c r="N64" s="135"/>
      <c r="O64" s="135"/>
      <c r="P64" s="135"/>
      <c r="Q64" s="135"/>
      <c r="R64" s="135"/>
      <c r="S64" s="135"/>
      <c r="T64" s="135"/>
      <c r="U64" s="135"/>
      <c r="V64" s="135"/>
      <c r="W64" s="135"/>
    </row>
    <row r="65">
      <c r="A65" s="135"/>
      <c r="B65" s="135"/>
      <c r="C65" s="135"/>
      <c r="D65" s="135"/>
      <c r="E65" s="135"/>
      <c r="F65" s="135"/>
      <c r="G65" s="135"/>
      <c r="H65" s="135"/>
      <c r="I65" s="135"/>
      <c r="J65" s="135"/>
      <c r="K65" s="456"/>
      <c r="L65" s="456"/>
      <c r="M65" s="135"/>
      <c r="N65" s="135"/>
      <c r="O65" s="135"/>
      <c r="P65" s="135"/>
      <c r="Q65" s="135"/>
      <c r="R65" s="135"/>
      <c r="S65" s="135"/>
      <c r="T65" s="135"/>
      <c r="U65" s="135"/>
      <c r="V65" s="135"/>
      <c r="W65" s="135"/>
    </row>
    <row r="66">
      <c r="A66" s="135"/>
      <c r="B66" s="135"/>
      <c r="C66" s="135"/>
      <c r="D66" s="135"/>
      <c r="E66" s="135"/>
      <c r="F66" s="135"/>
      <c r="G66" s="135"/>
      <c r="H66" s="135"/>
      <c r="I66" s="135"/>
      <c r="J66" s="135"/>
      <c r="K66" s="456"/>
      <c r="L66" s="456"/>
      <c r="M66" s="135"/>
      <c r="N66" s="135"/>
      <c r="O66" s="135"/>
      <c r="P66" s="135"/>
      <c r="Q66" s="135"/>
      <c r="R66" s="135"/>
      <c r="S66" s="135"/>
      <c r="T66" s="135"/>
      <c r="U66" s="135"/>
      <c r="V66" s="135"/>
      <c r="W66" s="135"/>
    </row>
    <row r="67">
      <c r="A67" s="135"/>
      <c r="B67" s="135"/>
      <c r="C67" s="135"/>
      <c r="D67" s="135"/>
      <c r="E67" s="135"/>
      <c r="F67" s="135"/>
      <c r="G67" s="135"/>
      <c r="H67" s="135"/>
      <c r="I67" s="135"/>
      <c r="J67" s="135"/>
      <c r="K67" s="456"/>
      <c r="L67" s="456"/>
      <c r="M67" s="135"/>
      <c r="N67" s="135"/>
      <c r="O67" s="135"/>
      <c r="P67" s="135"/>
      <c r="Q67" s="135"/>
      <c r="R67" s="135"/>
      <c r="S67" s="135"/>
      <c r="T67" s="135"/>
      <c r="U67" s="135"/>
      <c r="V67" s="135"/>
      <c r="W67" s="135"/>
    </row>
    <row r="68">
      <c r="A68" s="135"/>
      <c r="B68" s="135"/>
      <c r="C68" s="135"/>
      <c r="D68" s="135"/>
      <c r="E68" s="135"/>
      <c r="F68" s="135"/>
      <c r="G68" s="135"/>
      <c r="H68" s="135"/>
      <c r="I68" s="135"/>
      <c r="J68" s="135"/>
      <c r="K68" s="456"/>
      <c r="L68" s="456"/>
      <c r="M68" s="135"/>
      <c r="N68" s="135"/>
      <c r="O68" s="135"/>
      <c r="P68" s="135"/>
      <c r="Q68" s="135"/>
      <c r="R68" s="135"/>
      <c r="S68" s="135"/>
      <c r="T68" s="135"/>
      <c r="U68" s="135"/>
      <c r="V68" s="135"/>
      <c r="W68" s="135"/>
    </row>
    <row r="69">
      <c r="A69" s="135"/>
      <c r="B69" s="135"/>
      <c r="C69" s="135"/>
      <c r="D69" s="135"/>
      <c r="E69" s="135"/>
      <c r="F69" s="135"/>
      <c r="G69" s="135"/>
      <c r="H69" s="135"/>
      <c r="I69" s="135"/>
      <c r="J69" s="135"/>
      <c r="K69" s="456"/>
      <c r="L69" s="456"/>
      <c r="M69" s="135"/>
      <c r="N69" s="135"/>
      <c r="O69" s="135"/>
      <c r="P69" s="135"/>
      <c r="Q69" s="135"/>
      <c r="R69" s="135"/>
      <c r="S69" s="135"/>
      <c r="T69" s="135"/>
      <c r="U69" s="135"/>
      <c r="V69" s="135"/>
      <c r="W69" s="135"/>
    </row>
    <row r="70">
      <c r="A70" s="135"/>
      <c r="B70" s="135"/>
      <c r="C70" s="135"/>
      <c r="D70" s="135"/>
      <c r="E70" s="135"/>
      <c r="F70" s="135"/>
      <c r="G70" s="135"/>
      <c r="H70" s="135"/>
      <c r="I70" s="135"/>
      <c r="J70" s="135"/>
      <c r="K70" s="456"/>
      <c r="L70" s="456"/>
      <c r="M70" s="135"/>
      <c r="N70" s="135"/>
      <c r="O70" s="135"/>
      <c r="P70" s="135"/>
      <c r="Q70" s="135"/>
      <c r="R70" s="135"/>
      <c r="S70" s="135"/>
      <c r="T70" s="135"/>
      <c r="U70" s="135"/>
      <c r="V70" s="135"/>
      <c r="W70" s="135"/>
    </row>
    <row r="71">
      <c r="A71" s="135"/>
      <c r="B71" s="135"/>
      <c r="C71" s="135"/>
      <c r="D71" s="135"/>
      <c r="E71" s="135"/>
      <c r="F71" s="135"/>
      <c r="G71" s="135"/>
      <c r="H71" s="135"/>
      <c r="I71" s="135"/>
      <c r="J71" s="135"/>
      <c r="K71" s="456"/>
      <c r="L71" s="456"/>
      <c r="M71" s="135"/>
      <c r="N71" s="135"/>
      <c r="O71" s="135"/>
      <c r="P71" s="135"/>
      <c r="Q71" s="135"/>
      <c r="R71" s="135"/>
      <c r="S71" s="135"/>
      <c r="T71" s="135"/>
      <c r="U71" s="135"/>
      <c r="V71" s="135"/>
      <c r="W71" s="135"/>
    </row>
    <row r="72">
      <c r="A72" s="135"/>
      <c r="B72" s="135"/>
      <c r="C72" s="135"/>
      <c r="D72" s="135"/>
      <c r="E72" s="135"/>
      <c r="F72" s="135"/>
      <c r="G72" s="135"/>
      <c r="H72" s="135"/>
      <c r="I72" s="135"/>
      <c r="J72" s="135"/>
      <c r="K72" s="456"/>
      <c r="L72" s="456"/>
      <c r="M72" s="135"/>
      <c r="N72" s="135"/>
      <c r="O72" s="135"/>
      <c r="P72" s="135"/>
      <c r="Q72" s="135"/>
      <c r="R72" s="135"/>
      <c r="S72" s="135"/>
      <c r="T72" s="135"/>
      <c r="U72" s="135"/>
      <c r="V72" s="135"/>
      <c r="W72" s="135"/>
    </row>
    <row r="73">
      <c r="A73" s="135"/>
      <c r="B73" s="135"/>
      <c r="C73" s="135"/>
      <c r="D73" s="135"/>
      <c r="E73" s="135"/>
      <c r="F73" s="135"/>
      <c r="G73" s="135"/>
      <c r="H73" s="135"/>
      <c r="I73" s="135"/>
      <c r="J73" s="135"/>
      <c r="K73" s="456"/>
      <c r="L73" s="456"/>
      <c r="M73" s="135"/>
      <c r="N73" s="135"/>
      <c r="O73" s="135"/>
      <c r="P73" s="135"/>
      <c r="Q73" s="135"/>
      <c r="R73" s="135"/>
      <c r="S73" s="135"/>
      <c r="T73" s="135"/>
      <c r="U73" s="135"/>
      <c r="V73" s="135"/>
      <c r="W73" s="135"/>
    </row>
    <row r="74">
      <c r="A74" s="135"/>
      <c r="B74" s="135"/>
      <c r="C74" s="135"/>
      <c r="D74" s="135"/>
      <c r="E74" s="135"/>
      <c r="F74" s="135"/>
      <c r="G74" s="135"/>
      <c r="H74" s="135"/>
      <c r="I74" s="135"/>
      <c r="J74" s="135"/>
      <c r="K74" s="456"/>
      <c r="L74" s="456"/>
      <c r="M74" s="135"/>
      <c r="N74" s="135"/>
      <c r="O74" s="135"/>
      <c r="P74" s="135"/>
      <c r="Q74" s="135"/>
      <c r="R74" s="135"/>
      <c r="S74" s="135"/>
      <c r="T74" s="135"/>
      <c r="U74" s="135"/>
      <c r="V74" s="135"/>
      <c r="W74" s="135"/>
    </row>
    <row r="75">
      <c r="A75" s="135"/>
      <c r="B75" s="135"/>
      <c r="C75" s="135"/>
      <c r="D75" s="135"/>
      <c r="E75" s="135"/>
      <c r="F75" s="135"/>
      <c r="G75" s="135"/>
      <c r="H75" s="135"/>
      <c r="I75" s="135"/>
      <c r="J75" s="135"/>
      <c r="K75" s="456"/>
      <c r="L75" s="456"/>
      <c r="M75" s="135"/>
      <c r="N75" s="135"/>
      <c r="O75" s="135"/>
      <c r="P75" s="135"/>
      <c r="Q75" s="135"/>
      <c r="R75" s="135"/>
      <c r="S75" s="135"/>
      <c r="T75" s="135"/>
      <c r="U75" s="135"/>
      <c r="V75" s="135"/>
      <c r="W75" s="135"/>
    </row>
    <row r="76">
      <c r="A76" s="135"/>
      <c r="B76" s="135"/>
      <c r="C76" s="135"/>
      <c r="D76" s="135"/>
      <c r="E76" s="135"/>
      <c r="F76" s="135"/>
      <c r="G76" s="135"/>
      <c r="H76" s="135"/>
      <c r="I76" s="135"/>
      <c r="J76" s="135"/>
      <c r="K76" s="456"/>
      <c r="L76" s="456"/>
      <c r="M76" s="135"/>
      <c r="N76" s="135"/>
      <c r="O76" s="135"/>
      <c r="P76" s="135"/>
      <c r="Q76" s="135"/>
      <c r="R76" s="135"/>
      <c r="S76" s="135"/>
      <c r="T76" s="135"/>
      <c r="U76" s="135"/>
      <c r="V76" s="135"/>
      <c r="W76" s="135"/>
    </row>
    <row r="77">
      <c r="A77" s="135"/>
      <c r="B77" s="135"/>
      <c r="C77" s="135"/>
      <c r="D77" s="135"/>
      <c r="E77" s="135"/>
      <c r="F77" s="135"/>
      <c r="G77" s="135"/>
      <c r="H77" s="135"/>
      <c r="I77" s="135"/>
      <c r="J77" s="135"/>
      <c r="K77" s="456"/>
      <c r="L77" s="456"/>
      <c r="M77" s="135"/>
      <c r="N77" s="135"/>
      <c r="O77" s="135"/>
      <c r="P77" s="135"/>
      <c r="Q77" s="135"/>
      <c r="R77" s="135"/>
      <c r="S77" s="135"/>
      <c r="T77" s="135"/>
      <c r="U77" s="135"/>
      <c r="V77" s="135"/>
      <c r="W77" s="135"/>
    </row>
    <row r="78">
      <c r="A78" s="135"/>
      <c r="B78" s="135"/>
      <c r="C78" s="135"/>
      <c r="D78" s="135"/>
      <c r="E78" s="135"/>
      <c r="F78" s="135"/>
      <c r="G78" s="135"/>
      <c r="H78" s="135"/>
      <c r="I78" s="135"/>
      <c r="J78" s="135"/>
      <c r="K78" s="456"/>
      <c r="L78" s="456"/>
      <c r="M78" s="135"/>
      <c r="N78" s="135"/>
      <c r="O78" s="135"/>
      <c r="P78" s="135"/>
      <c r="Q78" s="135"/>
      <c r="R78" s="135"/>
      <c r="S78" s="135"/>
      <c r="T78" s="135"/>
      <c r="U78" s="135"/>
      <c r="V78" s="135"/>
      <c r="W78" s="135"/>
    </row>
    <row r="79">
      <c r="A79" s="135"/>
      <c r="B79" s="135"/>
      <c r="C79" s="135"/>
      <c r="D79" s="135"/>
      <c r="E79" s="135"/>
      <c r="F79" s="135"/>
      <c r="G79" s="135"/>
      <c r="H79" s="135"/>
      <c r="I79" s="135"/>
      <c r="J79" s="135"/>
      <c r="K79" s="456"/>
      <c r="L79" s="456"/>
      <c r="M79" s="135"/>
      <c r="N79" s="135"/>
      <c r="O79" s="135"/>
      <c r="P79" s="135"/>
      <c r="Q79" s="135"/>
      <c r="R79" s="135"/>
      <c r="S79" s="135"/>
      <c r="T79" s="135"/>
      <c r="U79" s="135"/>
      <c r="V79" s="135"/>
      <c r="W79" s="135"/>
    </row>
    <row r="80">
      <c r="A80" s="135"/>
      <c r="B80" s="135"/>
      <c r="C80" s="135"/>
      <c r="D80" s="135"/>
      <c r="E80" s="135"/>
      <c r="F80" s="135"/>
      <c r="G80" s="135"/>
      <c r="H80" s="135"/>
      <c r="I80" s="135"/>
      <c r="J80" s="135"/>
      <c r="K80" s="456"/>
      <c r="L80" s="456"/>
      <c r="M80" s="135"/>
      <c r="N80" s="135"/>
      <c r="O80" s="135"/>
      <c r="P80" s="135"/>
      <c r="Q80" s="135"/>
      <c r="R80" s="135"/>
      <c r="S80" s="135"/>
      <c r="T80" s="135"/>
      <c r="U80" s="135"/>
      <c r="V80" s="135"/>
      <c r="W80" s="135"/>
    </row>
    <row r="81">
      <c r="A81" s="135"/>
      <c r="B81" s="135"/>
      <c r="C81" s="135"/>
      <c r="D81" s="135"/>
      <c r="E81" s="135"/>
      <c r="F81" s="135"/>
      <c r="G81" s="135"/>
      <c r="H81" s="135"/>
      <c r="I81" s="135"/>
      <c r="J81" s="135"/>
      <c r="K81" s="456"/>
      <c r="L81" s="456"/>
      <c r="M81" s="135"/>
      <c r="N81" s="135"/>
      <c r="O81" s="135"/>
      <c r="P81" s="135"/>
      <c r="Q81" s="135"/>
      <c r="R81" s="135"/>
      <c r="S81" s="135"/>
      <c r="T81" s="135"/>
      <c r="U81" s="135"/>
      <c r="V81" s="135"/>
      <c r="W81" s="135"/>
    </row>
    <row r="82">
      <c r="A82" s="135"/>
      <c r="B82" s="135"/>
      <c r="C82" s="135"/>
      <c r="D82" s="135"/>
      <c r="E82" s="135"/>
      <c r="F82" s="135"/>
      <c r="G82" s="135"/>
      <c r="H82" s="135"/>
      <c r="I82" s="135"/>
      <c r="J82" s="135"/>
      <c r="K82" s="456"/>
      <c r="L82" s="456"/>
      <c r="M82" s="135"/>
      <c r="N82" s="135"/>
      <c r="O82" s="135"/>
      <c r="P82" s="135"/>
      <c r="Q82" s="135"/>
      <c r="R82" s="135"/>
      <c r="S82" s="135"/>
      <c r="T82" s="135"/>
      <c r="U82" s="135"/>
      <c r="V82" s="135"/>
      <c r="W82" s="135"/>
    </row>
    <row r="83">
      <c r="A83" s="135"/>
      <c r="B83" s="135"/>
      <c r="C83" s="135"/>
      <c r="D83" s="135"/>
      <c r="E83" s="135"/>
      <c r="F83" s="135"/>
      <c r="G83" s="135"/>
      <c r="H83" s="135"/>
      <c r="I83" s="135"/>
      <c r="J83" s="135"/>
      <c r="K83" s="456"/>
      <c r="L83" s="456"/>
      <c r="M83" s="135"/>
      <c r="N83" s="135"/>
      <c r="O83" s="135"/>
      <c r="P83" s="135"/>
      <c r="Q83" s="135"/>
      <c r="R83" s="135"/>
      <c r="S83" s="135"/>
      <c r="T83" s="135"/>
      <c r="U83" s="135"/>
      <c r="V83" s="135"/>
      <c r="W83" s="135"/>
    </row>
    <row r="84">
      <c r="A84" s="135"/>
      <c r="B84" s="135"/>
      <c r="C84" s="135"/>
      <c r="D84" s="135"/>
      <c r="E84" s="135"/>
      <c r="F84" s="135"/>
      <c r="G84" s="135"/>
      <c r="H84" s="135"/>
      <c r="I84" s="135"/>
      <c r="J84" s="135"/>
      <c r="K84" s="456"/>
      <c r="L84" s="456"/>
      <c r="M84" s="135"/>
      <c r="N84" s="135"/>
      <c r="O84" s="135"/>
      <c r="P84" s="135"/>
      <c r="Q84" s="135"/>
      <c r="R84" s="135"/>
      <c r="S84" s="135"/>
      <c r="T84" s="135"/>
      <c r="U84" s="135"/>
      <c r="V84" s="135"/>
      <c r="W84" s="135"/>
    </row>
    <row r="85">
      <c r="A85" s="135"/>
      <c r="B85" s="135"/>
      <c r="C85" s="135"/>
      <c r="D85" s="135"/>
      <c r="E85" s="135"/>
      <c r="F85" s="135"/>
      <c r="G85" s="135"/>
      <c r="H85" s="135"/>
      <c r="I85" s="135"/>
      <c r="J85" s="135"/>
      <c r="K85" s="456"/>
      <c r="L85" s="456"/>
      <c r="M85" s="135"/>
      <c r="N85" s="135"/>
      <c r="O85" s="135"/>
      <c r="P85" s="135"/>
      <c r="Q85" s="135"/>
      <c r="R85" s="135"/>
      <c r="S85" s="135"/>
      <c r="T85" s="135"/>
      <c r="U85" s="135"/>
      <c r="V85" s="135"/>
      <c r="W85" s="135"/>
    </row>
    <row r="86">
      <c r="A86" s="135"/>
      <c r="B86" s="135"/>
      <c r="C86" s="135"/>
      <c r="D86" s="135"/>
      <c r="E86" s="135"/>
      <c r="F86" s="135"/>
      <c r="G86" s="135"/>
      <c r="H86" s="135"/>
      <c r="I86" s="135"/>
      <c r="J86" s="135"/>
      <c r="K86" s="456"/>
      <c r="L86" s="456"/>
      <c r="M86" s="135"/>
      <c r="N86" s="135"/>
      <c r="O86" s="135"/>
      <c r="P86" s="135"/>
      <c r="Q86" s="135"/>
      <c r="R86" s="135"/>
      <c r="S86" s="135"/>
      <c r="T86" s="135"/>
      <c r="U86" s="135"/>
      <c r="V86" s="135"/>
      <c r="W86" s="135"/>
    </row>
    <row r="87">
      <c r="A87" s="135"/>
      <c r="B87" s="135"/>
      <c r="C87" s="135"/>
      <c r="D87" s="135"/>
      <c r="E87" s="135"/>
      <c r="F87" s="135"/>
      <c r="G87" s="135"/>
      <c r="H87" s="135"/>
      <c r="I87" s="135"/>
      <c r="J87" s="135"/>
      <c r="K87" s="456"/>
      <c r="L87" s="456"/>
      <c r="M87" s="135"/>
      <c r="N87" s="135"/>
      <c r="O87" s="135"/>
      <c r="P87" s="135"/>
      <c r="Q87" s="135"/>
      <c r="R87" s="135"/>
      <c r="S87" s="135"/>
      <c r="T87" s="135"/>
      <c r="U87" s="135"/>
      <c r="V87" s="135"/>
      <c r="W87" s="135"/>
    </row>
    <row r="88">
      <c r="A88" s="135"/>
      <c r="B88" s="135"/>
      <c r="C88" s="135"/>
      <c r="D88" s="135"/>
      <c r="E88" s="135"/>
      <c r="F88" s="135"/>
      <c r="G88" s="135"/>
      <c r="H88" s="135"/>
      <c r="I88" s="135"/>
      <c r="J88" s="135"/>
      <c r="K88" s="456"/>
      <c r="L88" s="456"/>
      <c r="M88" s="135"/>
      <c r="N88" s="135"/>
      <c r="O88" s="135"/>
      <c r="P88" s="135"/>
      <c r="Q88" s="135"/>
      <c r="R88" s="135"/>
      <c r="S88" s="135"/>
      <c r="T88" s="135"/>
      <c r="U88" s="135"/>
      <c r="V88" s="135"/>
      <c r="W88" s="135"/>
    </row>
    <row r="89">
      <c r="A89" s="135"/>
      <c r="B89" s="135"/>
      <c r="C89" s="135"/>
      <c r="D89" s="135"/>
      <c r="E89" s="135"/>
      <c r="F89" s="135"/>
      <c r="G89" s="135"/>
      <c r="H89" s="135"/>
      <c r="I89" s="135"/>
      <c r="J89" s="135"/>
      <c r="K89" s="456"/>
      <c r="L89" s="456"/>
      <c r="M89" s="135"/>
      <c r="N89" s="135"/>
      <c r="O89" s="135"/>
      <c r="P89" s="135"/>
      <c r="Q89" s="135"/>
      <c r="R89" s="135"/>
      <c r="S89" s="135"/>
      <c r="T89" s="135"/>
      <c r="U89" s="135"/>
      <c r="V89" s="135"/>
      <c r="W89" s="135"/>
    </row>
    <row r="90">
      <c r="A90" s="135"/>
      <c r="B90" s="135"/>
      <c r="C90" s="135"/>
      <c r="D90" s="135"/>
      <c r="E90" s="135"/>
      <c r="F90" s="135"/>
      <c r="G90" s="135"/>
      <c r="H90" s="135"/>
      <c r="I90" s="135"/>
      <c r="J90" s="135"/>
      <c r="K90" s="456"/>
      <c r="L90" s="456"/>
      <c r="M90" s="135"/>
      <c r="N90" s="135"/>
      <c r="O90" s="135"/>
      <c r="P90" s="135"/>
      <c r="Q90" s="135"/>
      <c r="R90" s="135"/>
      <c r="S90" s="135"/>
      <c r="T90" s="135"/>
      <c r="U90" s="135"/>
      <c r="V90" s="135"/>
      <c r="W90" s="135"/>
    </row>
    <row r="91">
      <c r="A91" s="135"/>
      <c r="B91" s="135"/>
      <c r="C91" s="135"/>
      <c r="D91" s="135"/>
      <c r="E91" s="135"/>
      <c r="F91" s="135"/>
      <c r="G91" s="135"/>
      <c r="H91" s="135"/>
      <c r="I91" s="135"/>
      <c r="J91" s="135"/>
      <c r="K91" s="456"/>
      <c r="L91" s="456"/>
      <c r="M91" s="135"/>
      <c r="N91" s="135"/>
      <c r="O91" s="135"/>
      <c r="P91" s="135"/>
      <c r="Q91" s="135"/>
      <c r="R91" s="135"/>
      <c r="S91" s="135"/>
      <c r="T91" s="135"/>
      <c r="U91" s="135"/>
      <c r="V91" s="135"/>
      <c r="W91" s="135"/>
    </row>
    <row r="92">
      <c r="A92" s="135"/>
      <c r="B92" s="135"/>
      <c r="C92" s="135"/>
      <c r="D92" s="135"/>
      <c r="E92" s="135"/>
      <c r="F92" s="135"/>
      <c r="G92" s="135"/>
      <c r="H92" s="135"/>
      <c r="I92" s="135"/>
      <c r="J92" s="135"/>
      <c r="K92" s="456"/>
      <c r="L92" s="456"/>
      <c r="M92" s="135"/>
      <c r="N92" s="135"/>
      <c r="O92" s="135"/>
      <c r="P92" s="135"/>
      <c r="Q92" s="135"/>
      <c r="R92" s="135"/>
      <c r="S92" s="135"/>
      <c r="T92" s="135"/>
      <c r="U92" s="135"/>
      <c r="V92" s="135"/>
      <c r="W92" s="135"/>
    </row>
    <row r="93">
      <c r="A93" s="135"/>
      <c r="B93" s="135"/>
      <c r="C93" s="135"/>
      <c r="D93" s="135"/>
      <c r="E93" s="135"/>
      <c r="F93" s="135"/>
      <c r="G93" s="135"/>
      <c r="H93" s="135"/>
      <c r="I93" s="135"/>
      <c r="J93" s="135"/>
      <c r="K93" s="456"/>
      <c r="L93" s="456"/>
      <c r="M93" s="135"/>
      <c r="N93" s="135"/>
      <c r="O93" s="135"/>
      <c r="P93" s="135"/>
      <c r="Q93" s="135"/>
      <c r="R93" s="135"/>
      <c r="S93" s="135"/>
      <c r="T93" s="135"/>
      <c r="U93" s="135"/>
      <c r="V93" s="135"/>
      <c r="W93" s="135"/>
    </row>
    <row r="94">
      <c r="A94" s="135"/>
      <c r="B94" s="135"/>
      <c r="C94" s="135"/>
      <c r="D94" s="135"/>
      <c r="E94" s="135"/>
      <c r="F94" s="135"/>
      <c r="G94" s="135"/>
      <c r="H94" s="135"/>
      <c r="I94" s="135"/>
      <c r="J94" s="135"/>
      <c r="K94" s="456"/>
      <c r="L94" s="456"/>
      <c r="M94" s="135"/>
      <c r="N94" s="135"/>
      <c r="O94" s="135"/>
      <c r="P94" s="135"/>
      <c r="Q94" s="135"/>
      <c r="R94" s="135"/>
      <c r="S94" s="135"/>
      <c r="T94" s="135"/>
      <c r="U94" s="135"/>
      <c r="V94" s="135"/>
      <c r="W94" s="135"/>
    </row>
    <row r="95">
      <c r="A95" s="135"/>
      <c r="B95" s="135"/>
      <c r="C95" s="135"/>
      <c r="D95" s="135"/>
      <c r="E95" s="135"/>
      <c r="F95" s="135"/>
      <c r="G95" s="135"/>
      <c r="H95" s="135"/>
      <c r="I95" s="135"/>
      <c r="J95" s="135"/>
      <c r="K95" s="456"/>
      <c r="L95" s="456"/>
      <c r="M95" s="135"/>
      <c r="N95" s="135"/>
      <c r="O95" s="135"/>
      <c r="P95" s="135"/>
      <c r="Q95" s="135"/>
      <c r="R95" s="135"/>
      <c r="S95" s="135"/>
      <c r="T95" s="135"/>
      <c r="U95" s="135"/>
      <c r="V95" s="135"/>
      <c r="W95" s="135"/>
    </row>
    <row r="96">
      <c r="A96" s="135"/>
      <c r="B96" s="135"/>
      <c r="C96" s="135"/>
      <c r="D96" s="135"/>
      <c r="E96" s="135"/>
      <c r="F96" s="135"/>
      <c r="G96" s="135"/>
      <c r="H96" s="135"/>
      <c r="I96" s="135"/>
      <c r="J96" s="135"/>
      <c r="K96" s="456"/>
      <c r="L96" s="456"/>
      <c r="M96" s="135"/>
      <c r="N96" s="135"/>
      <c r="O96" s="135"/>
      <c r="P96" s="135"/>
      <c r="Q96" s="135"/>
      <c r="R96" s="135"/>
      <c r="S96" s="135"/>
      <c r="T96" s="135"/>
      <c r="U96" s="135"/>
      <c r="V96" s="135"/>
      <c r="W96" s="135"/>
    </row>
    <row r="97">
      <c r="A97" s="135"/>
      <c r="B97" s="135"/>
      <c r="C97" s="135"/>
      <c r="D97" s="135"/>
      <c r="E97" s="135"/>
      <c r="F97" s="135"/>
      <c r="G97" s="135"/>
      <c r="H97" s="135"/>
      <c r="I97" s="135"/>
      <c r="J97" s="135"/>
      <c r="K97" s="456"/>
      <c r="L97" s="456"/>
      <c r="M97" s="135"/>
      <c r="N97" s="135"/>
      <c r="O97" s="135"/>
      <c r="P97" s="135"/>
      <c r="Q97" s="135"/>
      <c r="R97" s="135"/>
      <c r="S97" s="135"/>
      <c r="T97" s="135"/>
      <c r="U97" s="135"/>
      <c r="V97" s="135"/>
      <c r="W97" s="135"/>
    </row>
    <row r="98">
      <c r="A98" s="135"/>
      <c r="B98" s="135"/>
      <c r="C98" s="135"/>
      <c r="D98" s="135"/>
      <c r="E98" s="135"/>
      <c r="F98" s="135"/>
      <c r="G98" s="135"/>
      <c r="H98" s="135"/>
      <c r="I98" s="135"/>
      <c r="J98" s="135"/>
      <c r="K98" s="456"/>
      <c r="L98" s="456"/>
      <c r="M98" s="135"/>
      <c r="N98" s="135"/>
      <c r="O98" s="135"/>
      <c r="P98" s="135"/>
      <c r="Q98" s="135"/>
      <c r="R98" s="135"/>
      <c r="S98" s="135"/>
      <c r="T98" s="135"/>
      <c r="U98" s="135"/>
      <c r="V98" s="135"/>
      <c r="W98" s="135"/>
    </row>
    <row r="99">
      <c r="A99" s="135"/>
      <c r="B99" s="135"/>
      <c r="C99" s="135"/>
      <c r="D99" s="135"/>
      <c r="E99" s="135"/>
      <c r="F99" s="135"/>
      <c r="G99" s="135"/>
      <c r="H99" s="135"/>
      <c r="I99" s="135"/>
      <c r="J99" s="135"/>
      <c r="K99" s="456"/>
      <c r="L99" s="456"/>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6"/>
      <c r="L100" s="456"/>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6"/>
      <c r="L101" s="456"/>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6"/>
      <c r="L102" s="456"/>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6"/>
      <c r="L103" s="456"/>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6"/>
      <c r="L104" s="456"/>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6"/>
      <c r="L105" s="456"/>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6"/>
      <c r="L106" s="456"/>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6"/>
      <c r="L107" s="456"/>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6"/>
      <c r="L108" s="456"/>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6"/>
      <c r="L109" s="456"/>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6"/>
      <c r="L110" s="456"/>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6"/>
      <c r="L111" s="456"/>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6"/>
      <c r="L112" s="456"/>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6"/>
      <c r="L113" s="456"/>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6"/>
      <c r="L114" s="456"/>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6"/>
      <c r="L115" s="456"/>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6"/>
      <c r="L116" s="456"/>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6"/>
      <c r="L117" s="456"/>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6"/>
      <c r="L118" s="456"/>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6"/>
      <c r="L119" s="456"/>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6"/>
      <c r="L120" s="456"/>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6"/>
      <c r="L121" s="456"/>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6"/>
      <c r="L122" s="456"/>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6"/>
      <c r="L123" s="456"/>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6"/>
      <c r="L124" s="456"/>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6"/>
      <c r="L125" s="456"/>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6"/>
      <c r="L126" s="456"/>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6"/>
      <c r="L127" s="456"/>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6"/>
      <c r="L128" s="456"/>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6"/>
      <c r="L129" s="456"/>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6"/>
      <c r="L130" s="456"/>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6"/>
      <c r="L131" s="456"/>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6"/>
      <c r="L132" s="456"/>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6"/>
      <c r="L133" s="456"/>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6"/>
      <c r="L134" s="456"/>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6"/>
      <c r="L135" s="456"/>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6"/>
      <c r="L136" s="456"/>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6"/>
      <c r="L137" s="456"/>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6"/>
      <c r="L138" s="456"/>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6"/>
      <c r="L139" s="456"/>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6"/>
      <c r="L140" s="456"/>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6"/>
      <c r="L141" s="456"/>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6"/>
      <c r="L142" s="456"/>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6"/>
      <c r="L143" s="456"/>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6"/>
      <c r="L144" s="456"/>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6"/>
      <c r="L145" s="456"/>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6"/>
      <c r="L146" s="456"/>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6"/>
      <c r="L147" s="456"/>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6"/>
      <c r="L148" s="456"/>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6"/>
      <c r="L149" s="456"/>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6"/>
      <c r="L150" s="456"/>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6"/>
      <c r="L151" s="456"/>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6"/>
      <c r="L152" s="456"/>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6"/>
      <c r="L153" s="456"/>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6"/>
      <c r="L154" s="456"/>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6"/>
      <c r="L155" s="456"/>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6"/>
      <c r="L156" s="456"/>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6"/>
      <c r="L157" s="456"/>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6"/>
      <c r="L158" s="456"/>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6"/>
      <c r="L159" s="456"/>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6"/>
      <c r="L160" s="456"/>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6"/>
      <c r="L161" s="456"/>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6"/>
      <c r="L162" s="456"/>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6"/>
      <c r="L163" s="456"/>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6"/>
      <c r="L164" s="456"/>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6"/>
      <c r="L165" s="456"/>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6"/>
      <c r="L166" s="456"/>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6"/>
      <c r="L167" s="456"/>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6"/>
      <c r="L168" s="456"/>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6"/>
      <c r="L169" s="456"/>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6"/>
      <c r="L170" s="456"/>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6"/>
      <c r="L171" s="456"/>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6"/>
      <c r="L172" s="456"/>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6"/>
      <c r="L173" s="456"/>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6"/>
      <c r="L174" s="456"/>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6"/>
      <c r="L175" s="456"/>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6"/>
      <c r="L176" s="456"/>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6"/>
      <c r="L177" s="456"/>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6"/>
      <c r="L178" s="456"/>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6"/>
      <c r="L179" s="456"/>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6"/>
      <c r="L180" s="456"/>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6"/>
      <c r="L181" s="456"/>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6"/>
      <c r="L182" s="456"/>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6"/>
      <c r="L183" s="456"/>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6"/>
      <c r="L184" s="456"/>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6"/>
      <c r="L185" s="456"/>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6"/>
      <c r="L186" s="456"/>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6"/>
      <c r="L187" s="456"/>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6"/>
      <c r="L188" s="456"/>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6"/>
      <c r="L189" s="456"/>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6"/>
      <c r="L190" s="456"/>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6"/>
      <c r="L191" s="456"/>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6"/>
      <c r="L192" s="456"/>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6"/>
      <c r="L193" s="456"/>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6"/>
      <c r="L194" s="456"/>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6"/>
      <c r="L195" s="456"/>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6"/>
      <c r="L196" s="456"/>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6"/>
      <c r="L197" s="456"/>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6"/>
      <c r="L198" s="456"/>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6"/>
      <c r="L199" s="456"/>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6"/>
      <c r="L200" s="456"/>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6"/>
      <c r="L201" s="456"/>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6"/>
      <c r="L202" s="456"/>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6"/>
      <c r="L203" s="456"/>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6"/>
      <c r="L204" s="456"/>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6"/>
      <c r="L205" s="456"/>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6"/>
      <c r="L206" s="456"/>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6"/>
      <c r="L207" s="456"/>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6"/>
      <c r="L208" s="456"/>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6"/>
      <c r="L209" s="456"/>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6"/>
      <c r="L210" s="456"/>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6"/>
      <c r="L211" s="456"/>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6"/>
      <c r="L212" s="456"/>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6"/>
      <c r="L213" s="456"/>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6"/>
      <c r="L214" s="456"/>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6"/>
      <c r="L215" s="456"/>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6"/>
      <c r="L216" s="456"/>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6"/>
      <c r="L217" s="456"/>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6"/>
      <c r="L218" s="456"/>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6"/>
      <c r="L219" s="456"/>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6"/>
      <c r="L220" s="456"/>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6"/>
      <c r="L221" s="456"/>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6"/>
      <c r="L222" s="456"/>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6"/>
      <c r="L223" s="456"/>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6"/>
      <c r="L224" s="456"/>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6"/>
      <c r="L225" s="456"/>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6"/>
      <c r="L226" s="456"/>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6"/>
      <c r="L227" s="456"/>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6"/>
      <c r="L228" s="456"/>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6"/>
      <c r="L229" s="456"/>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6"/>
      <c r="L230" s="456"/>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6"/>
      <c r="L231" s="456"/>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6"/>
      <c r="L232" s="456"/>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6"/>
      <c r="L233" s="456"/>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6"/>
      <c r="L234" s="456"/>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6"/>
      <c r="L235" s="456"/>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6"/>
      <c r="L236" s="456"/>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6"/>
      <c r="L237" s="456"/>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6"/>
      <c r="L238" s="456"/>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6"/>
      <c r="L239" s="456"/>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6"/>
      <c r="L240" s="456"/>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6"/>
      <c r="L241" s="456"/>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6"/>
      <c r="L242" s="456"/>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6"/>
      <c r="L243" s="456"/>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6"/>
      <c r="L244" s="456"/>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6"/>
      <c r="L245" s="456"/>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6"/>
      <c r="L246" s="456"/>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6"/>
      <c r="L247" s="456"/>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6"/>
      <c r="L248" s="456"/>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6"/>
      <c r="L249" s="456"/>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6"/>
      <c r="L250" s="456"/>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6"/>
      <c r="L251" s="456"/>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6"/>
      <c r="L252" s="456"/>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6"/>
      <c r="L253" s="456"/>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6"/>
      <c r="L254" s="456"/>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6"/>
      <c r="L255" s="456"/>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6"/>
      <c r="L256" s="456"/>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6"/>
      <c r="L257" s="456"/>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6"/>
      <c r="L258" s="456"/>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6"/>
      <c r="L259" s="456"/>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6"/>
      <c r="L260" s="456"/>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6"/>
      <c r="L261" s="456"/>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6"/>
      <c r="L262" s="456"/>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6"/>
      <c r="L263" s="456"/>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6"/>
      <c r="L264" s="456"/>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6"/>
      <c r="L265" s="456"/>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6"/>
      <c r="L266" s="456"/>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6"/>
      <c r="L267" s="456"/>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6"/>
      <c r="L268" s="456"/>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6"/>
      <c r="L269" s="456"/>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6"/>
      <c r="L270" s="456"/>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6"/>
      <c r="L271" s="456"/>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6"/>
      <c r="L272" s="456"/>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6"/>
      <c r="L273" s="456"/>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6"/>
      <c r="L274" s="456"/>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6"/>
      <c r="L275" s="456"/>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6"/>
      <c r="L276" s="456"/>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6"/>
      <c r="L277" s="456"/>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6"/>
      <c r="L278" s="456"/>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6"/>
      <c r="L279" s="456"/>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6"/>
      <c r="L280" s="456"/>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6"/>
      <c r="L281" s="456"/>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6"/>
      <c r="L282" s="456"/>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6"/>
      <c r="L283" s="456"/>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6"/>
      <c r="L284" s="456"/>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6"/>
      <c r="L285" s="456"/>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6"/>
      <c r="L286" s="456"/>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6"/>
      <c r="L287" s="456"/>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6"/>
      <c r="L288" s="456"/>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6"/>
      <c r="L289" s="456"/>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6"/>
      <c r="L290" s="456"/>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6"/>
      <c r="L291" s="456"/>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6"/>
      <c r="L292" s="456"/>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6"/>
      <c r="L293" s="456"/>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6"/>
      <c r="L294" s="456"/>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6"/>
      <c r="L295" s="456"/>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6"/>
      <c r="L296" s="456"/>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6"/>
      <c r="L297" s="456"/>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6"/>
      <c r="L298" s="456"/>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6"/>
      <c r="L299" s="456"/>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6"/>
      <c r="L300" s="456"/>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6"/>
      <c r="L301" s="456"/>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6"/>
      <c r="L302" s="456"/>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6"/>
      <c r="L303" s="456"/>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6"/>
      <c r="L304" s="456"/>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6"/>
      <c r="L305" s="456"/>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6"/>
      <c r="L306" s="456"/>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6"/>
      <c r="L307" s="456"/>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6"/>
      <c r="L308" s="456"/>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6"/>
      <c r="L309" s="456"/>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6"/>
      <c r="L310" s="456"/>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6"/>
      <c r="L311" s="456"/>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6"/>
      <c r="L312" s="456"/>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6"/>
      <c r="L313" s="456"/>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6"/>
      <c r="L314" s="456"/>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6"/>
      <c r="L315" s="456"/>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6"/>
      <c r="L316" s="456"/>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6"/>
      <c r="L317" s="456"/>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6"/>
      <c r="L318" s="456"/>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6"/>
      <c r="L319" s="456"/>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6"/>
      <c r="L320" s="456"/>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6"/>
      <c r="L321" s="456"/>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6"/>
      <c r="L322" s="456"/>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6"/>
      <c r="L323" s="456"/>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6"/>
      <c r="L324" s="456"/>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6"/>
      <c r="L325" s="456"/>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6"/>
      <c r="L326" s="456"/>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6"/>
      <c r="L327" s="456"/>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6"/>
      <c r="L328" s="456"/>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6"/>
      <c r="L329" s="456"/>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6"/>
      <c r="L330" s="456"/>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6"/>
      <c r="L331" s="456"/>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6"/>
      <c r="L332" s="456"/>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6"/>
      <c r="L333" s="456"/>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6"/>
      <c r="L334" s="456"/>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6"/>
      <c r="L335" s="456"/>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6"/>
      <c r="L336" s="456"/>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6"/>
      <c r="L337" s="456"/>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6"/>
      <c r="L338" s="456"/>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6"/>
      <c r="L339" s="456"/>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6"/>
      <c r="L340" s="456"/>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6"/>
      <c r="L341" s="456"/>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6"/>
      <c r="L342" s="456"/>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6"/>
      <c r="L343" s="456"/>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6"/>
      <c r="L344" s="456"/>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6"/>
      <c r="L345" s="456"/>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6"/>
      <c r="L346" s="456"/>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6"/>
      <c r="L347" s="456"/>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6"/>
      <c r="L348" s="456"/>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6"/>
      <c r="L349" s="456"/>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6"/>
      <c r="L350" s="456"/>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6"/>
      <c r="L351" s="456"/>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6"/>
      <c r="L352" s="456"/>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6"/>
      <c r="L353" s="456"/>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6"/>
      <c r="L354" s="456"/>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6"/>
      <c r="L355" s="456"/>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6"/>
      <c r="L356" s="456"/>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6"/>
      <c r="L357" s="456"/>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6"/>
      <c r="L358" s="456"/>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6"/>
      <c r="L359" s="456"/>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6"/>
      <c r="L360" s="456"/>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6"/>
      <c r="L361" s="456"/>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6"/>
      <c r="L362" s="456"/>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6"/>
      <c r="L363" s="456"/>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6"/>
      <c r="L364" s="456"/>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6"/>
      <c r="L365" s="456"/>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6"/>
      <c r="L366" s="456"/>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6"/>
      <c r="L367" s="456"/>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6"/>
      <c r="L368" s="456"/>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6"/>
      <c r="L369" s="456"/>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6"/>
      <c r="L370" s="456"/>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6"/>
      <c r="L371" s="456"/>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6"/>
      <c r="L372" s="456"/>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6"/>
      <c r="L373" s="456"/>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6"/>
      <c r="L374" s="456"/>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6"/>
      <c r="L375" s="456"/>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6"/>
      <c r="L376" s="456"/>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6"/>
      <c r="L377" s="456"/>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6"/>
      <c r="L378" s="456"/>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6"/>
      <c r="L379" s="456"/>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6"/>
      <c r="L380" s="456"/>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6"/>
      <c r="L381" s="456"/>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6"/>
      <c r="L382" s="456"/>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6"/>
      <c r="L383" s="456"/>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6"/>
      <c r="L384" s="456"/>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6"/>
      <c r="L385" s="456"/>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6"/>
      <c r="L386" s="456"/>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6"/>
      <c r="L387" s="456"/>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6"/>
      <c r="L388" s="456"/>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6"/>
      <c r="L389" s="456"/>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6"/>
      <c r="L390" s="456"/>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6"/>
      <c r="L391" s="456"/>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6"/>
      <c r="L392" s="456"/>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6"/>
      <c r="L393" s="456"/>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6"/>
      <c r="L394" s="456"/>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6"/>
      <c r="L395" s="456"/>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6"/>
      <c r="L396" s="456"/>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6"/>
      <c r="L397" s="456"/>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6"/>
      <c r="L398" s="456"/>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6"/>
      <c r="L399" s="456"/>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6"/>
      <c r="L400" s="456"/>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6"/>
      <c r="L401" s="456"/>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6"/>
      <c r="L402" s="456"/>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6"/>
      <c r="L403" s="456"/>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6"/>
      <c r="L404" s="456"/>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6"/>
      <c r="L405" s="456"/>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6"/>
      <c r="L406" s="456"/>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6"/>
      <c r="L407" s="456"/>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6"/>
      <c r="L408" s="456"/>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6"/>
      <c r="L409" s="456"/>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6"/>
      <c r="L410" s="456"/>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6"/>
      <c r="L411" s="456"/>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6"/>
      <c r="L412" s="456"/>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6"/>
      <c r="L413" s="456"/>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6"/>
      <c r="L414" s="456"/>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6"/>
      <c r="L415" s="456"/>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6"/>
      <c r="L416" s="456"/>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6"/>
      <c r="L417" s="456"/>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6"/>
      <c r="L418" s="456"/>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6"/>
      <c r="L419" s="456"/>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6"/>
      <c r="L420" s="456"/>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6"/>
      <c r="L421" s="456"/>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6"/>
      <c r="L422" s="456"/>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6"/>
      <c r="L423" s="456"/>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6"/>
      <c r="L424" s="456"/>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6"/>
      <c r="L425" s="456"/>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6"/>
      <c r="L426" s="456"/>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6"/>
      <c r="L427" s="456"/>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6"/>
      <c r="L428" s="456"/>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6"/>
      <c r="L429" s="456"/>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6"/>
      <c r="L430" s="456"/>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6"/>
      <c r="L431" s="456"/>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6"/>
      <c r="L432" s="456"/>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6"/>
      <c r="L433" s="456"/>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6"/>
      <c r="L434" s="456"/>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6"/>
      <c r="L435" s="456"/>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6"/>
      <c r="L436" s="456"/>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6"/>
      <c r="L437" s="456"/>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6"/>
      <c r="L438" s="456"/>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6"/>
      <c r="L439" s="456"/>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6"/>
      <c r="L440" s="456"/>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6"/>
      <c r="L441" s="456"/>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6"/>
      <c r="L442" s="456"/>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6"/>
      <c r="L443" s="456"/>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6"/>
      <c r="L444" s="456"/>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6"/>
      <c r="L445" s="456"/>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6"/>
      <c r="L446" s="456"/>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6"/>
      <c r="L447" s="456"/>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6"/>
      <c r="L448" s="456"/>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6"/>
      <c r="L449" s="456"/>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6"/>
      <c r="L450" s="456"/>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6"/>
      <c r="L451" s="456"/>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6"/>
      <c r="L452" s="456"/>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6"/>
      <c r="L453" s="456"/>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6"/>
      <c r="L454" s="456"/>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6"/>
      <c r="L455" s="456"/>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6"/>
      <c r="L456" s="456"/>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6"/>
      <c r="L457" s="456"/>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6"/>
      <c r="L458" s="456"/>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6"/>
      <c r="L459" s="456"/>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6"/>
      <c r="L460" s="456"/>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6"/>
      <c r="L461" s="456"/>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6"/>
      <c r="L462" s="456"/>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6"/>
      <c r="L463" s="456"/>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6"/>
      <c r="L464" s="456"/>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6"/>
      <c r="L465" s="456"/>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6"/>
      <c r="L466" s="456"/>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6"/>
      <c r="L467" s="456"/>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6"/>
      <c r="L468" s="456"/>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6"/>
      <c r="L469" s="456"/>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6"/>
      <c r="L470" s="456"/>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6"/>
      <c r="L471" s="456"/>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6"/>
      <c r="L472" s="456"/>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6"/>
      <c r="L473" s="456"/>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6"/>
      <c r="L474" s="456"/>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6"/>
      <c r="L475" s="456"/>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6"/>
      <c r="L476" s="456"/>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6"/>
      <c r="L477" s="456"/>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6"/>
      <c r="L478" s="456"/>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6"/>
      <c r="L479" s="456"/>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6"/>
      <c r="L480" s="456"/>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6"/>
      <c r="L481" s="456"/>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6"/>
      <c r="L482" s="456"/>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6"/>
      <c r="L483" s="456"/>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6"/>
      <c r="L484" s="456"/>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6"/>
      <c r="L485" s="456"/>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6"/>
      <c r="L486" s="456"/>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6"/>
      <c r="L487" s="456"/>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6"/>
      <c r="L488" s="456"/>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6"/>
      <c r="L489" s="456"/>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6"/>
      <c r="L490" s="456"/>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6"/>
      <c r="L491" s="456"/>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6"/>
      <c r="L492" s="456"/>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6"/>
      <c r="L493" s="456"/>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6"/>
      <c r="L494" s="456"/>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6"/>
      <c r="L495" s="456"/>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6"/>
      <c r="L496" s="456"/>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6"/>
      <c r="L497" s="456"/>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6"/>
      <c r="L498" s="456"/>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6"/>
      <c r="L499" s="456"/>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6"/>
      <c r="L500" s="456"/>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6"/>
      <c r="L501" s="456"/>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6"/>
      <c r="L502" s="456"/>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6"/>
      <c r="L503" s="456"/>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6"/>
      <c r="L504" s="456"/>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6"/>
      <c r="L505" s="456"/>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6"/>
      <c r="L506" s="456"/>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6"/>
      <c r="L507" s="456"/>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6"/>
      <c r="L508" s="456"/>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6"/>
      <c r="L509" s="456"/>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6"/>
      <c r="L510" s="456"/>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6"/>
      <c r="L511" s="456"/>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6"/>
      <c r="L512" s="456"/>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6"/>
      <c r="L513" s="456"/>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6"/>
      <c r="L514" s="456"/>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6"/>
      <c r="L515" s="456"/>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6"/>
      <c r="L516" s="456"/>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6"/>
      <c r="L517" s="456"/>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6"/>
      <c r="L518" s="456"/>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6"/>
      <c r="L519" s="456"/>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6"/>
      <c r="L520" s="456"/>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6"/>
      <c r="L521" s="456"/>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6"/>
      <c r="L522" s="456"/>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6"/>
      <c r="L523" s="456"/>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6"/>
      <c r="L524" s="456"/>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6"/>
      <c r="L525" s="456"/>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6"/>
      <c r="L526" s="456"/>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6"/>
      <c r="L527" s="456"/>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6"/>
      <c r="L528" s="456"/>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6"/>
      <c r="L529" s="456"/>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6"/>
      <c r="L530" s="456"/>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6"/>
      <c r="L531" s="456"/>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6"/>
      <c r="L532" s="456"/>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6"/>
      <c r="L533" s="456"/>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6"/>
      <c r="L534" s="456"/>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6"/>
      <c r="L535" s="456"/>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6"/>
      <c r="L536" s="456"/>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6"/>
      <c r="L537" s="456"/>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6"/>
      <c r="L538" s="456"/>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6"/>
      <c r="L539" s="456"/>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6"/>
      <c r="L540" s="456"/>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6"/>
      <c r="L541" s="456"/>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6"/>
      <c r="L542" s="456"/>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6"/>
      <c r="L543" s="456"/>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6"/>
      <c r="L544" s="456"/>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6"/>
      <c r="L545" s="456"/>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6"/>
      <c r="L546" s="456"/>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6"/>
      <c r="L547" s="456"/>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6"/>
      <c r="L548" s="456"/>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6"/>
      <c r="L549" s="456"/>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6"/>
      <c r="L550" s="456"/>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6"/>
      <c r="L551" s="456"/>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6"/>
      <c r="L552" s="456"/>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6"/>
      <c r="L553" s="456"/>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6"/>
      <c r="L554" s="456"/>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6"/>
      <c r="L555" s="456"/>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6"/>
      <c r="L556" s="456"/>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6"/>
      <c r="L557" s="456"/>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6"/>
      <c r="L558" s="456"/>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6"/>
      <c r="L559" s="456"/>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6"/>
      <c r="L560" s="456"/>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6"/>
      <c r="L561" s="456"/>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6"/>
      <c r="L562" s="456"/>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6"/>
      <c r="L563" s="456"/>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6"/>
      <c r="L564" s="456"/>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6"/>
      <c r="L565" s="456"/>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6"/>
      <c r="L566" s="456"/>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6"/>
      <c r="L567" s="456"/>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6"/>
      <c r="L568" s="456"/>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6"/>
      <c r="L569" s="456"/>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6"/>
      <c r="L570" s="456"/>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6"/>
      <c r="L571" s="456"/>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6"/>
      <c r="L572" s="456"/>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6"/>
      <c r="L573" s="456"/>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6"/>
      <c r="L574" s="456"/>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6"/>
      <c r="L575" s="456"/>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6"/>
      <c r="L576" s="456"/>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6"/>
      <c r="L577" s="456"/>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6"/>
      <c r="L578" s="456"/>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6"/>
      <c r="L579" s="456"/>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6"/>
      <c r="L580" s="456"/>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6"/>
      <c r="L581" s="456"/>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6"/>
      <c r="L582" s="456"/>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6"/>
      <c r="L583" s="456"/>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6"/>
      <c r="L584" s="456"/>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6"/>
      <c r="L585" s="456"/>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6"/>
      <c r="L586" s="456"/>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6"/>
      <c r="L587" s="456"/>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6"/>
      <c r="L588" s="456"/>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6"/>
      <c r="L589" s="456"/>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6"/>
      <c r="L590" s="456"/>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6"/>
      <c r="L591" s="456"/>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6"/>
      <c r="L592" s="456"/>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6"/>
      <c r="L593" s="456"/>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6"/>
      <c r="L594" s="456"/>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6"/>
      <c r="L595" s="456"/>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6"/>
      <c r="L596" s="456"/>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6"/>
      <c r="L597" s="456"/>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6"/>
      <c r="L598" s="456"/>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6"/>
      <c r="L599" s="456"/>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6"/>
      <c r="L600" s="456"/>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6"/>
      <c r="L601" s="456"/>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6"/>
      <c r="L602" s="456"/>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6"/>
      <c r="L603" s="456"/>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6"/>
      <c r="L604" s="456"/>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6"/>
      <c r="L605" s="456"/>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6"/>
      <c r="L606" s="456"/>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6"/>
      <c r="L607" s="456"/>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6"/>
      <c r="L608" s="456"/>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6"/>
      <c r="L609" s="456"/>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6"/>
      <c r="L610" s="456"/>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6"/>
      <c r="L611" s="456"/>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6"/>
      <c r="L612" s="456"/>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6"/>
      <c r="L613" s="456"/>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6"/>
      <c r="L614" s="456"/>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6"/>
      <c r="L615" s="456"/>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6"/>
      <c r="L616" s="456"/>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6"/>
      <c r="L617" s="456"/>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6"/>
      <c r="L618" s="456"/>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6"/>
      <c r="L619" s="456"/>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6"/>
      <c r="L620" s="456"/>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6"/>
      <c r="L621" s="456"/>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6"/>
      <c r="L622" s="456"/>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6"/>
      <c r="L623" s="456"/>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6"/>
      <c r="L624" s="456"/>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6"/>
      <c r="L625" s="456"/>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6"/>
      <c r="L626" s="456"/>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6"/>
      <c r="L627" s="456"/>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6"/>
      <c r="L628" s="456"/>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6"/>
      <c r="L629" s="456"/>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6"/>
      <c r="L630" s="456"/>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6"/>
      <c r="L631" s="456"/>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6"/>
      <c r="L632" s="456"/>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6"/>
      <c r="L633" s="456"/>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6"/>
      <c r="L634" s="456"/>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6"/>
      <c r="L635" s="456"/>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6"/>
      <c r="L636" s="456"/>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6"/>
      <c r="L637" s="456"/>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6"/>
      <c r="L638" s="456"/>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6"/>
      <c r="L639" s="456"/>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6"/>
      <c r="L640" s="456"/>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6"/>
      <c r="L641" s="456"/>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6"/>
      <c r="L642" s="456"/>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6"/>
      <c r="L643" s="456"/>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6"/>
      <c r="L644" s="456"/>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6"/>
      <c r="L645" s="456"/>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6"/>
      <c r="L646" s="456"/>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6"/>
      <c r="L647" s="456"/>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6"/>
      <c r="L648" s="456"/>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6"/>
      <c r="L649" s="456"/>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6"/>
      <c r="L650" s="456"/>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6"/>
      <c r="L651" s="456"/>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6"/>
      <c r="L652" s="456"/>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6"/>
      <c r="L653" s="456"/>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6"/>
      <c r="L654" s="456"/>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6"/>
      <c r="L655" s="456"/>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6"/>
      <c r="L656" s="456"/>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6"/>
      <c r="L657" s="456"/>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6"/>
      <c r="L658" s="456"/>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6"/>
      <c r="L659" s="456"/>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6"/>
      <c r="L660" s="456"/>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6"/>
      <c r="L661" s="456"/>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6"/>
      <c r="L662" s="456"/>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6"/>
      <c r="L663" s="456"/>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6"/>
      <c r="L664" s="456"/>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6"/>
      <c r="L665" s="456"/>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6"/>
      <c r="L666" s="456"/>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6"/>
      <c r="L667" s="456"/>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6"/>
      <c r="L668" s="456"/>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6"/>
      <c r="L669" s="456"/>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6"/>
      <c r="L670" s="456"/>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6"/>
      <c r="L671" s="456"/>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6"/>
      <c r="L672" s="456"/>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6"/>
      <c r="L673" s="456"/>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6"/>
      <c r="L674" s="456"/>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6"/>
      <c r="L675" s="456"/>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6"/>
      <c r="L676" s="456"/>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6"/>
      <c r="L677" s="456"/>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6"/>
      <c r="L678" s="456"/>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6"/>
      <c r="L679" s="456"/>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6"/>
      <c r="L680" s="456"/>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6"/>
      <c r="L681" s="456"/>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6"/>
      <c r="L682" s="456"/>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6"/>
      <c r="L683" s="456"/>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6"/>
      <c r="L684" s="456"/>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6"/>
      <c r="L685" s="456"/>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6"/>
      <c r="L686" s="456"/>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6"/>
      <c r="L687" s="456"/>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6"/>
      <c r="L688" s="456"/>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6"/>
      <c r="L689" s="456"/>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6"/>
      <c r="L690" s="456"/>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6"/>
      <c r="L691" s="456"/>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6"/>
      <c r="L692" s="456"/>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6"/>
      <c r="L693" s="456"/>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6"/>
      <c r="L694" s="456"/>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6"/>
      <c r="L695" s="456"/>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6"/>
      <c r="L696" s="456"/>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6"/>
      <c r="L697" s="456"/>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6"/>
      <c r="L698" s="456"/>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6"/>
      <c r="L699" s="456"/>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6"/>
      <c r="L700" s="456"/>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6"/>
      <c r="L701" s="456"/>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6"/>
      <c r="L702" s="456"/>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6"/>
      <c r="L703" s="456"/>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6"/>
      <c r="L704" s="456"/>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6"/>
      <c r="L705" s="456"/>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6"/>
      <c r="L706" s="456"/>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6"/>
      <c r="L707" s="456"/>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6"/>
      <c r="L708" s="456"/>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6"/>
      <c r="L709" s="456"/>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6"/>
      <c r="L710" s="456"/>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6"/>
      <c r="L711" s="456"/>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6"/>
      <c r="L712" s="456"/>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6"/>
      <c r="L713" s="456"/>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6"/>
      <c r="L714" s="456"/>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6"/>
      <c r="L715" s="456"/>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6"/>
      <c r="L716" s="456"/>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6"/>
      <c r="L717" s="456"/>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6"/>
      <c r="L718" s="456"/>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6"/>
      <c r="L719" s="456"/>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6"/>
      <c r="L720" s="456"/>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6"/>
      <c r="L721" s="456"/>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6"/>
      <c r="L722" s="456"/>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6"/>
      <c r="L723" s="456"/>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6"/>
      <c r="L724" s="456"/>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6"/>
      <c r="L725" s="456"/>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6"/>
      <c r="L726" s="456"/>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6"/>
      <c r="L727" s="456"/>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6"/>
      <c r="L728" s="456"/>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6"/>
      <c r="L729" s="456"/>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6"/>
      <c r="L730" s="456"/>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6"/>
      <c r="L731" s="456"/>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6"/>
      <c r="L732" s="456"/>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6"/>
      <c r="L733" s="456"/>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6"/>
      <c r="L734" s="456"/>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6"/>
      <c r="L735" s="456"/>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6"/>
      <c r="L736" s="456"/>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6"/>
      <c r="L737" s="456"/>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6"/>
      <c r="L738" s="456"/>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6"/>
      <c r="L739" s="456"/>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6"/>
      <c r="L740" s="456"/>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6"/>
      <c r="L741" s="456"/>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6"/>
      <c r="L742" s="456"/>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6"/>
      <c r="L743" s="456"/>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6"/>
      <c r="L744" s="456"/>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6"/>
      <c r="L745" s="456"/>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6"/>
      <c r="L746" s="456"/>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6"/>
      <c r="L747" s="456"/>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6"/>
      <c r="L748" s="456"/>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6"/>
      <c r="L749" s="456"/>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6"/>
      <c r="L750" s="456"/>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6"/>
      <c r="L751" s="456"/>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6"/>
      <c r="L752" s="456"/>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6"/>
      <c r="L753" s="456"/>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6"/>
      <c r="L754" s="456"/>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6"/>
      <c r="L755" s="456"/>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6"/>
      <c r="L756" s="456"/>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6"/>
      <c r="L757" s="456"/>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6"/>
      <c r="L758" s="456"/>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6"/>
      <c r="L759" s="456"/>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6"/>
      <c r="L760" s="456"/>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6"/>
      <c r="L761" s="456"/>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6"/>
      <c r="L762" s="456"/>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6"/>
      <c r="L763" s="456"/>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6"/>
      <c r="L764" s="456"/>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6"/>
      <c r="L765" s="456"/>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6"/>
      <c r="L766" s="456"/>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6"/>
      <c r="L767" s="456"/>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6"/>
      <c r="L768" s="456"/>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6"/>
      <c r="L769" s="456"/>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6"/>
      <c r="L770" s="456"/>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6"/>
      <c r="L771" s="456"/>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6"/>
      <c r="L772" s="456"/>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6"/>
      <c r="L773" s="456"/>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6"/>
      <c r="L774" s="456"/>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6"/>
      <c r="L775" s="456"/>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6"/>
      <c r="L776" s="456"/>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6"/>
      <c r="L777" s="456"/>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6"/>
      <c r="L778" s="456"/>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6"/>
      <c r="L779" s="456"/>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6"/>
      <c r="L780" s="456"/>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6"/>
      <c r="L781" s="456"/>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6"/>
      <c r="L782" s="456"/>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6"/>
      <c r="L783" s="456"/>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6"/>
      <c r="L784" s="456"/>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6"/>
      <c r="L785" s="456"/>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6"/>
      <c r="L786" s="456"/>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6"/>
      <c r="L787" s="456"/>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6"/>
      <c r="L788" s="456"/>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6"/>
      <c r="L789" s="456"/>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6"/>
      <c r="L790" s="456"/>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6"/>
      <c r="L791" s="456"/>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6"/>
      <c r="L792" s="456"/>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6"/>
      <c r="L793" s="456"/>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6"/>
      <c r="L794" s="456"/>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6"/>
      <c r="L795" s="456"/>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6"/>
      <c r="L796" s="456"/>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6"/>
      <c r="L797" s="456"/>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6"/>
      <c r="L798" s="456"/>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6"/>
      <c r="L799" s="456"/>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6"/>
      <c r="L800" s="456"/>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6"/>
      <c r="L801" s="456"/>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6"/>
      <c r="L802" s="456"/>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6"/>
      <c r="L803" s="456"/>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6"/>
      <c r="L804" s="456"/>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6"/>
      <c r="L805" s="456"/>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6"/>
      <c r="L806" s="456"/>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6"/>
      <c r="L807" s="456"/>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6"/>
      <c r="L808" s="456"/>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6"/>
      <c r="L809" s="456"/>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6"/>
      <c r="L810" s="456"/>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6"/>
      <c r="L811" s="456"/>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6"/>
      <c r="L812" s="456"/>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6"/>
      <c r="L813" s="456"/>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6"/>
      <c r="L814" s="456"/>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6"/>
      <c r="L815" s="456"/>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6"/>
      <c r="L816" s="456"/>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6"/>
      <c r="L817" s="456"/>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6"/>
      <c r="L818" s="456"/>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6"/>
      <c r="L819" s="456"/>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6"/>
      <c r="L820" s="456"/>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6"/>
      <c r="L821" s="456"/>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6"/>
      <c r="L822" s="456"/>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6"/>
      <c r="L823" s="456"/>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6"/>
      <c r="L824" s="456"/>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6"/>
      <c r="L825" s="456"/>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6"/>
      <c r="L826" s="456"/>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6"/>
      <c r="L827" s="456"/>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6"/>
      <c r="L828" s="456"/>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6"/>
      <c r="L829" s="456"/>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6"/>
      <c r="L830" s="456"/>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6"/>
      <c r="L831" s="456"/>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6"/>
      <c r="L832" s="456"/>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6"/>
      <c r="L833" s="456"/>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6"/>
      <c r="L834" s="456"/>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6"/>
      <c r="L835" s="456"/>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6"/>
      <c r="L836" s="456"/>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6"/>
      <c r="L837" s="456"/>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6"/>
      <c r="L838" s="456"/>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6"/>
      <c r="L839" s="456"/>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6"/>
      <c r="L840" s="456"/>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6"/>
      <c r="L841" s="456"/>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6"/>
      <c r="L842" s="456"/>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6"/>
      <c r="L843" s="456"/>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6"/>
      <c r="L844" s="456"/>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6"/>
      <c r="L845" s="456"/>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6"/>
      <c r="L846" s="456"/>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6"/>
      <c r="L847" s="456"/>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6"/>
      <c r="L848" s="456"/>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6"/>
      <c r="L849" s="456"/>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6"/>
      <c r="L850" s="456"/>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6"/>
      <c r="L851" s="456"/>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6"/>
      <c r="L852" s="456"/>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6"/>
      <c r="L853" s="456"/>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6"/>
      <c r="L854" s="456"/>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6"/>
      <c r="L855" s="456"/>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6"/>
      <c r="L856" s="456"/>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6"/>
      <c r="L857" s="456"/>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6"/>
      <c r="L858" s="456"/>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6"/>
      <c r="L859" s="456"/>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6"/>
      <c r="L860" s="456"/>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6"/>
      <c r="L861" s="456"/>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6"/>
      <c r="L862" s="456"/>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6"/>
      <c r="L863" s="456"/>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6"/>
      <c r="L864" s="456"/>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6"/>
      <c r="L865" s="456"/>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6"/>
      <c r="L866" s="456"/>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6"/>
      <c r="L867" s="456"/>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6"/>
      <c r="L868" s="456"/>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6"/>
      <c r="L869" s="456"/>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6"/>
      <c r="L870" s="456"/>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6"/>
      <c r="L871" s="456"/>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6"/>
      <c r="L872" s="456"/>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6"/>
      <c r="L873" s="456"/>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6"/>
      <c r="L874" s="456"/>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6"/>
      <c r="L875" s="456"/>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6"/>
      <c r="L876" s="456"/>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6"/>
      <c r="L877" s="456"/>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6"/>
      <c r="L878" s="456"/>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6"/>
      <c r="L879" s="456"/>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6"/>
      <c r="L880" s="456"/>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6"/>
      <c r="L881" s="456"/>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6"/>
      <c r="L882" s="456"/>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6"/>
      <c r="L883" s="456"/>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6"/>
      <c r="L884" s="456"/>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6"/>
      <c r="L885" s="456"/>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6"/>
      <c r="L886" s="456"/>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6"/>
      <c r="L887" s="456"/>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6"/>
      <c r="L888" s="456"/>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6"/>
      <c r="L889" s="456"/>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6"/>
      <c r="L890" s="456"/>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6"/>
      <c r="L891" s="456"/>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6"/>
      <c r="L892" s="456"/>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6"/>
      <c r="L893" s="456"/>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6"/>
      <c r="L894" s="456"/>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6"/>
      <c r="L895" s="456"/>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6"/>
      <c r="L896" s="456"/>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6"/>
      <c r="L897" s="456"/>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6"/>
      <c r="L898" s="456"/>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6"/>
      <c r="L899" s="456"/>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6"/>
      <c r="L900" s="456"/>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6"/>
      <c r="L901" s="456"/>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6"/>
      <c r="L902" s="456"/>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6"/>
      <c r="L903" s="456"/>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6"/>
      <c r="L904" s="456"/>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6"/>
      <c r="L905" s="456"/>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6"/>
      <c r="L906" s="456"/>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6"/>
      <c r="L907" s="456"/>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6"/>
      <c r="L908" s="456"/>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6"/>
      <c r="L909" s="456"/>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6"/>
      <c r="L910" s="456"/>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6"/>
      <c r="L911" s="456"/>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6"/>
      <c r="L912" s="456"/>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6"/>
      <c r="L913" s="456"/>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6"/>
      <c r="L914" s="456"/>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6"/>
      <c r="L915" s="456"/>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6"/>
      <c r="L916" s="456"/>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6"/>
      <c r="L917" s="456"/>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6"/>
      <c r="L918" s="456"/>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6"/>
      <c r="L919" s="456"/>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6"/>
      <c r="L920" s="456"/>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6"/>
      <c r="L921" s="456"/>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6"/>
      <c r="L922" s="456"/>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6"/>
      <c r="L923" s="456"/>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6"/>
      <c r="L924" s="456"/>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6"/>
      <c r="L925" s="456"/>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6"/>
      <c r="L926" s="456"/>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6"/>
      <c r="L927" s="456"/>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6"/>
      <c r="L928" s="456"/>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6"/>
      <c r="L929" s="456"/>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6"/>
      <c r="L930" s="456"/>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6"/>
      <c r="L931" s="456"/>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6"/>
      <c r="L932" s="456"/>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6"/>
      <c r="L933" s="456"/>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6"/>
      <c r="L934" s="456"/>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6"/>
      <c r="L935" s="456"/>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6"/>
      <c r="L936" s="456"/>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6"/>
      <c r="L937" s="456"/>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6"/>
      <c r="L938" s="456"/>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6"/>
      <c r="L939" s="456"/>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6"/>
      <c r="L940" s="456"/>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6"/>
      <c r="L941" s="456"/>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6"/>
      <c r="L942" s="456"/>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6"/>
      <c r="L943" s="456"/>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6"/>
      <c r="L944" s="456"/>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6"/>
      <c r="L945" s="456"/>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6"/>
      <c r="L946" s="456"/>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6"/>
      <c r="L947" s="456"/>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6"/>
      <c r="L948" s="456"/>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6"/>
      <c r="L949" s="456"/>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6"/>
      <c r="L950" s="456"/>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6"/>
      <c r="L951" s="456"/>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6"/>
      <c r="L952" s="456"/>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6"/>
      <c r="L953" s="456"/>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6"/>
      <c r="L954" s="456"/>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6"/>
      <c r="L955" s="456"/>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6"/>
      <c r="L956" s="456"/>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6"/>
      <c r="L957" s="456"/>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6"/>
      <c r="L958" s="456"/>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6"/>
      <c r="L959" s="456"/>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6"/>
      <c r="L960" s="456"/>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6"/>
      <c r="L961" s="456"/>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6"/>
      <c r="L962" s="456"/>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6"/>
      <c r="L963" s="456"/>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6"/>
      <c r="L964" s="456"/>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6"/>
      <c r="L965" s="456"/>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6"/>
      <c r="L966" s="456"/>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6"/>
      <c r="L967" s="456"/>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6"/>
      <c r="L968" s="456"/>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6"/>
      <c r="L969" s="456"/>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6"/>
      <c r="L970" s="456"/>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6"/>
      <c r="L971" s="456"/>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6"/>
      <c r="L972" s="456"/>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6"/>
      <c r="L973" s="456"/>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6"/>
      <c r="L974" s="456"/>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6"/>
      <c r="L975" s="456"/>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6"/>
      <c r="L976" s="456"/>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6"/>
      <c r="L977" s="456"/>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6"/>
      <c r="L978" s="456"/>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6"/>
      <c r="L979" s="456"/>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6"/>
      <c r="L980" s="456"/>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6"/>
      <c r="L981" s="456"/>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6"/>
      <c r="L982" s="456"/>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6"/>
      <c r="L983" s="456"/>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6"/>
      <c r="L984" s="456"/>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6"/>
      <c r="L985" s="456"/>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6"/>
      <c r="L986" s="456"/>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6"/>
      <c r="L987" s="456"/>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6"/>
      <c r="L988" s="456"/>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6"/>
      <c r="L989" s="456"/>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6"/>
      <c r="L990" s="456"/>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6"/>
      <c r="L991" s="456"/>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6"/>
      <c r="L992" s="456"/>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6"/>
      <c r="L993" s="456"/>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6"/>
      <c r="L994" s="456"/>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6"/>
      <c r="L995" s="456"/>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6"/>
      <c r="L996" s="456"/>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6"/>
      <c r="L997" s="456"/>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6"/>
      <c r="L998" s="456"/>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6"/>
      <c r="L999" s="456"/>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6"/>
      <c r="L1000" s="456"/>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