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<sst xmlns="http://schemas.openxmlformats.org/spreadsheetml/2006/main" count="13863" uniqueCount="10510">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</sst>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1"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1588</v>
      </c>
      <c r="W50" s="121" t="s">
        <v>1589</v>
      </c>
      <c r="X50" s="75" t="str">
        <f>IFERROR(__xludf.DUMMYFUNCTION("GOOGLETRANSLATE(D50,""zh-tw"",""KO"")"),"화장실에서 미끄러지는 사고 발생 확률")</f>
        <v>화장실에서 미끄러지는 사고 발생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2596</v>
      </c>
      <c r="AA103" s="163" t="s">
        <v>2597</v>
      </c>
      <c r="AB103" s="164" t="s">
        <v>2598</v>
      </c>
      <c r="AC103" s="178">
        <v>5.0</v>
      </c>
      <c r="AD103" s="191" t="s">
        <v>2599</v>
      </c>
      <c r="AE103" s="189" t="s">
        <v>2600</v>
      </c>
      <c r="AF103" s="192" t="s">
        <v>2601</v>
      </c>
      <c r="AG103" s="178">
        <v>5.0</v>
      </c>
      <c r="AH103" s="193" t="s">
        <v>2602</v>
      </c>
      <c r="AI103" s="159" t="s">
        <v>2603</v>
      </c>
      <c r="AJ103" s="194" t="s">
        <v>2604</v>
      </c>
      <c r="AK103" s="178">
        <v>5.0</v>
      </c>
      <c r="AL103" s="139" t="s">
        <v>2605</v>
      </c>
      <c r="AM103" s="140" t="s">
        <v>2606</v>
      </c>
      <c r="AN103" s="141" t="s">
        <v>2607</v>
      </c>
      <c r="AO103" s="178">
        <v>5.0</v>
      </c>
      <c r="AP103" s="139"/>
      <c r="AQ103" s="140"/>
      <c r="AR103" s="141"/>
      <c r="AS103" s="141"/>
    </row>
    <row r="104">
      <c r="A104" s="178">
        <v>6.0</v>
      </c>
      <c r="B104" s="139" t="s">
        <v>2608</v>
      </c>
      <c r="C104" s="131" t="s">
        <v>2609</v>
      </c>
      <c r="D104" s="196" t="s">
        <v>2610</v>
      </c>
      <c r="E104" s="178">
        <v>6.0</v>
      </c>
      <c r="F104" s="109" t="s">
        <v>2611</v>
      </c>
      <c r="G104" s="167" t="s">
        <v>2612</v>
      </c>
      <c r="H104" s="168" t="s">
        <v>2613</v>
      </c>
      <c r="I104" s="178">
        <v>6.0</v>
      </c>
      <c r="J104" s="166" t="s">
        <v>2614</v>
      </c>
      <c r="K104" s="167" t="s">
        <v>2615</v>
      </c>
      <c r="L104" s="168" t="s">
        <v>2616</v>
      </c>
      <c r="M104" s="178">
        <v>6.0</v>
      </c>
      <c r="N104" s="139" t="s">
        <v>2608</v>
      </c>
      <c r="O104" s="131" t="s">
        <v>2617</v>
      </c>
      <c r="P104" s="196" t="s">
        <v>2618</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2619</v>
      </c>
      <c r="AC104" s="178">
        <v>6.0</v>
      </c>
      <c r="AD104" s="191" t="s">
        <v>2620</v>
      </c>
      <c r="AE104" s="167" t="s">
        <v>2621</v>
      </c>
      <c r="AF104" s="197" t="s">
        <v>2622</v>
      </c>
      <c r="AG104" s="178">
        <v>6.0</v>
      </c>
      <c r="AH104" s="193" t="s">
        <v>2623</v>
      </c>
      <c r="AI104" s="198" t="s">
        <v>2624</v>
      </c>
      <c r="AJ104" s="199" t="s">
        <v>2625</v>
      </c>
      <c r="AK104" s="178">
        <v>6.0</v>
      </c>
      <c r="AL104" s="139" t="s">
        <v>2626</v>
      </c>
      <c r="AM104" s="131" t="s">
        <v>2627</v>
      </c>
      <c r="AN104" s="128" t="s">
        <v>2628</v>
      </c>
      <c r="AO104" s="178">
        <v>6.0</v>
      </c>
      <c r="AP104" s="120"/>
      <c r="AQ104" s="121"/>
      <c r="AR104" s="72" t="s">
        <v>2629</v>
      </c>
      <c r="AS104" s="141"/>
    </row>
    <row r="105">
      <c r="A105" s="178">
        <v>7.0</v>
      </c>
      <c r="B105" s="200" t="s">
        <v>2630</v>
      </c>
      <c r="C105" s="140" t="s">
        <v>2631</v>
      </c>
      <c r="D105" s="141" t="s">
        <v>2587</v>
      </c>
      <c r="E105" s="178">
        <v>7.0</v>
      </c>
      <c r="F105" s="139" t="s">
        <v>2632</v>
      </c>
      <c r="G105" s="189" t="s">
        <v>2633</v>
      </c>
      <c r="H105" s="192" t="s">
        <v>2634</v>
      </c>
      <c r="I105" s="178">
        <v>7.0</v>
      </c>
      <c r="J105" s="139" t="s">
        <v>2635</v>
      </c>
      <c r="K105" s="152" t="s">
        <v>2636</v>
      </c>
      <c r="L105" s="192" t="s">
        <v>2637</v>
      </c>
      <c r="M105" s="178">
        <v>7.0</v>
      </c>
      <c r="N105" s="139" t="s">
        <v>2638</v>
      </c>
      <c r="O105" s="140" t="s">
        <v>2639</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2640</v>
      </c>
      <c r="AA105" s="167" t="s">
        <v>2641</v>
      </c>
      <c r="AB105" s="168" t="s">
        <v>2642</v>
      </c>
      <c r="AC105" s="178">
        <v>7.0</v>
      </c>
      <c r="AD105" s="191" t="s">
        <v>2643</v>
      </c>
      <c r="AE105" s="189" t="s">
        <v>2644</v>
      </c>
      <c r="AF105" s="192" t="s">
        <v>2645</v>
      </c>
      <c r="AG105" s="178">
        <v>7.0</v>
      </c>
      <c r="AH105" s="201" t="s">
        <v>2646</v>
      </c>
      <c r="AI105" s="202" t="s">
        <v>2647</v>
      </c>
      <c r="AJ105" s="203" t="s">
        <v>2648</v>
      </c>
      <c r="AK105" s="178">
        <v>7.0</v>
      </c>
      <c r="AL105" s="200" t="s">
        <v>2649</v>
      </c>
      <c r="AM105" s="140" t="s">
        <v>2650</v>
      </c>
      <c r="AN105" s="141" t="s">
        <v>2651</v>
      </c>
      <c r="AO105" s="178">
        <v>7.0</v>
      </c>
      <c r="AP105" s="109" t="s">
        <v>2652</v>
      </c>
      <c r="AQ105" s="110" t="s">
        <v>2653</v>
      </c>
      <c r="AR105" s="75" t="s">
        <v>2654</v>
      </c>
      <c r="AS105" s="204"/>
    </row>
    <row r="106">
      <c r="A106" s="178">
        <v>8.0</v>
      </c>
      <c r="B106" s="200" t="s">
        <v>2655</v>
      </c>
      <c r="C106" s="140" t="s">
        <v>2656</v>
      </c>
      <c r="D106" s="141" t="s">
        <v>2610</v>
      </c>
      <c r="E106" s="178">
        <v>8.0</v>
      </c>
      <c r="F106" s="139" t="s">
        <v>2657</v>
      </c>
      <c r="G106" s="189" t="s">
        <v>2658</v>
      </c>
      <c r="H106" s="192" t="s">
        <v>2659</v>
      </c>
      <c r="I106" s="178">
        <v>8.0</v>
      </c>
      <c r="J106" s="139" t="s">
        <v>2660</v>
      </c>
      <c r="K106" s="152" t="s">
        <v>2661</v>
      </c>
      <c r="L106" s="192" t="s">
        <v>2662</v>
      </c>
      <c r="M106" s="178">
        <v>8.0</v>
      </c>
      <c r="N106" s="139" t="s">
        <v>2663</v>
      </c>
      <c r="O106" s="140" t="s">
        <v>2664</v>
      </c>
      <c r="P106" s="141" t="s">
        <v>2665</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2666</v>
      </c>
      <c r="AA106" s="167" t="s">
        <v>2667</v>
      </c>
      <c r="AB106" s="168" t="s">
        <v>2668</v>
      </c>
      <c r="AC106" s="178">
        <v>8.0</v>
      </c>
      <c r="AD106" s="191" t="s">
        <v>2669</v>
      </c>
      <c r="AE106" s="189" t="s">
        <v>2670</v>
      </c>
      <c r="AF106" s="192" t="s">
        <v>2622</v>
      </c>
      <c r="AG106" s="178">
        <v>8.0</v>
      </c>
      <c r="AH106" s="201" t="s">
        <v>2671</v>
      </c>
      <c r="AI106" s="202" t="s">
        <v>2672</v>
      </c>
      <c r="AJ106" s="203" t="s">
        <v>2625</v>
      </c>
      <c r="AK106" s="178">
        <v>8.0</v>
      </c>
      <c r="AL106" s="200" t="s">
        <v>2673</v>
      </c>
      <c r="AM106" s="140" t="s">
        <v>2674</v>
      </c>
      <c r="AN106" s="141" t="s">
        <v>2675</v>
      </c>
      <c r="AO106" s="178">
        <v>8.0</v>
      </c>
      <c r="AP106" s="109" t="s">
        <v>2676</v>
      </c>
      <c r="AQ106" s="110" t="s">
        <v>2677</v>
      </c>
      <c r="AR106" s="75" t="s">
        <v>2678</v>
      </c>
      <c r="AS106" s="204"/>
    </row>
    <row r="107">
      <c r="A107" s="178">
        <v>9.0</v>
      </c>
      <c r="B107" s="200" t="s">
        <v>2679</v>
      </c>
      <c r="C107" s="140" t="s">
        <v>2680</v>
      </c>
      <c r="D107" s="141" t="s">
        <v>2681</v>
      </c>
      <c r="E107" s="178">
        <v>9.0</v>
      </c>
      <c r="F107" s="139" t="s">
        <v>2682</v>
      </c>
      <c r="G107" s="189" t="s">
        <v>2683</v>
      </c>
      <c r="H107" s="192" t="s">
        <v>2684</v>
      </c>
      <c r="I107" s="178">
        <v>9.0</v>
      </c>
      <c r="J107" s="139" t="s">
        <v>2685</v>
      </c>
      <c r="K107" s="167" t="s">
        <v>2686</v>
      </c>
      <c r="L107" s="192" t="s">
        <v>2687</v>
      </c>
      <c r="M107" s="178">
        <v>9.0</v>
      </c>
      <c r="N107" s="139" t="s">
        <v>2688</v>
      </c>
      <c r="O107" s="140" t="s">
        <v>2689</v>
      </c>
      <c r="P107" s="141" t="s">
        <v>2690</v>
      </c>
      <c r="Q107" s="178">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2691</v>
      </c>
      <c r="AA107" s="167" t="s">
        <v>2692</v>
      </c>
      <c r="AB107" s="168" t="s">
        <v>2693</v>
      </c>
      <c r="AC107" s="178">
        <v>9.0</v>
      </c>
      <c r="AD107" s="191" t="s">
        <v>2694</v>
      </c>
      <c r="AE107" s="189" t="s">
        <v>2695</v>
      </c>
      <c r="AF107" s="192" t="s">
        <v>2696</v>
      </c>
      <c r="AG107" s="178">
        <v>9.0</v>
      </c>
      <c r="AH107" s="205" t="s">
        <v>2697</v>
      </c>
      <c r="AI107" s="206" t="s">
        <v>2698</v>
      </c>
      <c r="AJ107" s="207" t="s">
        <v>2699</v>
      </c>
      <c r="AK107" s="178">
        <v>9.0</v>
      </c>
      <c r="AL107" s="201" t="s">
        <v>2700</v>
      </c>
      <c r="AM107" s="140" t="s">
        <v>2701</v>
      </c>
      <c r="AN107" s="141" t="s">
        <v>2702</v>
      </c>
      <c r="AO107" s="178">
        <v>9.0</v>
      </c>
      <c r="AP107" s="109" t="s">
        <v>2703</v>
      </c>
      <c r="AQ107" s="110" t="s">
        <v>2704</v>
      </c>
      <c r="AR107" s="75" t="s">
        <v>2705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2706</v>
      </c>
      <c r="B109" s="185" t="s">
        <v>2707</v>
      </c>
      <c r="E109" s="101" t="s">
        <v>2706</v>
      </c>
      <c r="F109" s="101" t="s">
        <v>2708</v>
      </c>
      <c r="I109" s="101" t="s">
        <v>2706</v>
      </c>
      <c r="J109" s="101" t="s">
        <v>2709</v>
      </c>
      <c r="M109" s="101" t="s">
        <v>2706</v>
      </c>
      <c r="N109" s="101" t="str">
        <f>IFERROR(__xludf.DUMMYFUNCTION("GOOGLETRANSLATE(B109,""zh-tw"",""zh"")"),"夜袭相关")</f>
        <v>夜袭相关</v>
      </c>
      <c r="Q109" s="101" t="s">
        <v>2706</v>
      </c>
      <c r="R109" s="101" t="s">
        <v>2710</v>
      </c>
      <c r="U109" s="101" t="s">
        <v>2706</v>
      </c>
      <c r="V109" s="101" t="s">
        <v>2711</v>
      </c>
      <c r="Y109" s="101" t="s">
        <v>2706</v>
      </c>
      <c r="Z109" s="101" t="s">
        <v>2712</v>
      </c>
      <c r="AC109" s="101" t="s">
        <v>2706</v>
      </c>
      <c r="AD109" s="101" t="s">
        <v>2713</v>
      </c>
      <c r="AG109" s="175" t="s">
        <v>2706</v>
      </c>
      <c r="AH109" s="186" t="s">
        <v>2714</v>
      </c>
      <c r="AK109" s="101" t="s">
        <v>2706</v>
      </c>
      <c r="AL109" s="102" t="s">
        <v>2715</v>
      </c>
      <c r="AO109" s="101" t="s">
        <v>2706</v>
      </c>
      <c r="AP109" s="102"/>
      <c r="AS109" s="185"/>
    </row>
    <row r="110">
      <c r="A110" s="178">
        <v>1.0</v>
      </c>
      <c r="B110" s="109" t="s">
        <v>2716</v>
      </c>
      <c r="C110" s="110" t="s">
        <v>2717</v>
      </c>
      <c r="D110" s="75" t="s">
        <v>2718</v>
      </c>
      <c r="E110" s="178">
        <v>1.0</v>
      </c>
      <c r="F110" s="109" t="s">
        <v>2719</v>
      </c>
      <c r="G110" s="110" t="s">
        <v>2720</v>
      </c>
      <c r="H110" s="75" t="s">
        <v>2721</v>
      </c>
      <c r="I110" s="178">
        <v>1.0</v>
      </c>
      <c r="J110" s="109" t="s">
        <v>2722</v>
      </c>
      <c r="K110" s="110" t="s">
        <v>2723</v>
      </c>
      <c r="L110" s="75" t="s">
        <v>2724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2725</v>
      </c>
      <c r="S110" s="121" t="s">
        <v>2726</v>
      </c>
      <c r="T110" s="72" t="s">
        <v>2727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2728</v>
      </c>
      <c r="AE110" s="110" t="s">
        <v>2729</v>
      </c>
      <c r="AF110" s="75" t="s">
        <v>1421</v>
      </c>
      <c r="AG110" s="180">
        <v>1.0</v>
      </c>
      <c r="AH110" s="181" t="s">
        <v>2730</v>
      </c>
      <c r="AI110" s="150" t="s">
        <v>2731</v>
      </c>
      <c r="AJ110" s="133" t="s">
        <v>2732</v>
      </c>
      <c r="AK110" s="178">
        <v>1.0</v>
      </c>
      <c r="AL110" s="139" t="s">
        <v>2733</v>
      </c>
      <c r="AM110" s="140" t="s">
        <v>2734</v>
      </c>
      <c r="AN110" s="141" t="s">
        <v>2735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2737</v>
      </c>
      <c r="C1" s="87" t="s">
        <v>451</v>
      </c>
      <c r="D1" s="88" t="s">
        <v>452</v>
      </c>
      <c r="E1" s="93" t="s">
        <v>449</v>
      </c>
      <c r="F1" s="86" t="s">
        <v>2738</v>
      </c>
      <c r="G1" s="87" t="s">
        <v>2739</v>
      </c>
      <c r="H1" s="88" t="s">
        <v>452</v>
      </c>
      <c r="I1" s="93" t="s">
        <v>449</v>
      </c>
      <c r="J1" s="86" t="s">
        <v>2740</v>
      </c>
      <c r="K1" s="87" t="s">
        <v>454</v>
      </c>
      <c r="L1" s="88" t="s">
        <v>455</v>
      </c>
      <c r="M1" s="93" t="s">
        <v>449</v>
      </c>
      <c r="N1" s="86" t="s">
        <v>2737</v>
      </c>
      <c r="O1" s="87" t="s">
        <v>2741</v>
      </c>
      <c r="P1" s="88" t="s">
        <v>2742</v>
      </c>
      <c r="Q1" s="93" t="s">
        <v>449</v>
      </c>
      <c r="R1" s="83" t="s">
        <v>2743</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2744</v>
      </c>
      <c r="AE1" s="219" t="s">
        <v>2745</v>
      </c>
      <c r="AF1" s="88" t="s">
        <v>2746</v>
      </c>
      <c r="AG1" s="93" t="s">
        <v>449</v>
      </c>
      <c r="AH1" s="220" t="s">
        <v>2747</v>
      </c>
      <c r="AI1" s="221" t="s">
        <v>2748</v>
      </c>
      <c r="AJ1" s="222" t="s">
        <v>468</v>
      </c>
      <c r="AK1" s="93" t="s">
        <v>449</v>
      </c>
      <c r="AL1" s="83" t="s">
        <v>2749</v>
      </c>
      <c r="AM1" s="84" t="s">
        <v>470</v>
      </c>
      <c r="AN1" s="85" t="s">
        <v>458</v>
      </c>
      <c r="AO1" s="93" t="s">
        <v>449</v>
      </c>
      <c r="AP1" s="86" t="s">
        <v>2750</v>
      </c>
      <c r="AQ1" s="87" t="s">
        <v>2751</v>
      </c>
      <c r="AR1" s="88" t="s">
        <v>474</v>
      </c>
      <c r="AS1" s="85"/>
    </row>
    <row r="2">
      <c r="A2" s="223" t="s">
        <v>2752</v>
      </c>
      <c r="B2" s="120" t="s">
        <v>2753</v>
      </c>
      <c r="C2" s="121" t="s">
        <v>2754</v>
      </c>
      <c r="D2" s="72" t="s">
        <v>2755</v>
      </c>
      <c r="E2" s="223" t="s">
        <v>2752</v>
      </c>
      <c r="F2" s="120" t="s">
        <v>2756</v>
      </c>
      <c r="G2" s="121" t="s">
        <v>2757</v>
      </c>
      <c r="H2" s="72" t="s">
        <v>2758</v>
      </c>
      <c r="I2" s="223" t="s">
        <v>2752</v>
      </c>
      <c r="J2" s="120" t="s">
        <v>2759</v>
      </c>
      <c r="K2" s="121" t="s">
        <v>2760</v>
      </c>
      <c r="L2" s="72" t="s">
        <v>2761</v>
      </c>
      <c r="M2" s="223" t="s">
        <v>2752</v>
      </c>
      <c r="N2" s="120" t="s">
        <v>2753</v>
      </c>
      <c r="O2" s="121" t="s">
        <v>2762</v>
      </c>
      <c r="P2" s="72" t="s">
        <v>2763</v>
      </c>
      <c r="Q2" s="223" t="s">
        <v>2752</v>
      </c>
      <c r="R2" s="109" t="s">
        <v>2764</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2752</v>
      </c>
      <c r="V2" s="120" t="s">
        <v>2765</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2766</v>
      </c>
      <c r="Y2" s="223" t="s">
        <v>2752</v>
      </c>
      <c r="Z2" s="120"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3" t="s">
        <v>2752</v>
      </c>
      <c r="AD2" s="120" t="s">
        <v>2767</v>
      </c>
      <c r="AE2" s="225" t="s">
        <v>2768</v>
      </c>
      <c r="AF2" s="134" t="s">
        <v>2769</v>
      </c>
      <c r="AG2" s="223" t="s">
        <v>2752</v>
      </c>
      <c r="AH2" s="226" t="s">
        <v>2770</v>
      </c>
      <c r="AI2" s="115" t="s">
        <v>2771</v>
      </c>
      <c r="AJ2" s="116" t="s">
        <v>2772</v>
      </c>
      <c r="AK2" s="223" t="s">
        <v>2752</v>
      </c>
      <c r="AL2" s="109" t="s">
        <v>2773</v>
      </c>
      <c r="AM2" s="110" t="s">
        <v>2774</v>
      </c>
      <c r="AN2" s="72" t="s">
        <v>2775</v>
      </c>
      <c r="AO2" s="223" t="s">
        <v>2752</v>
      </c>
      <c r="AP2" s="120" t="s">
        <v>2776</v>
      </c>
      <c r="AQ2" s="121" t="s">
        <v>2777</v>
      </c>
      <c r="AR2" s="72" t="s">
        <v>2778</v>
      </c>
      <c r="AS2" s="75"/>
    </row>
    <row r="3">
      <c r="A3" s="223" t="s">
        <v>2779</v>
      </c>
      <c r="B3" s="120" t="s">
        <v>2780</v>
      </c>
      <c r="C3" s="121" t="s">
        <v>2781</v>
      </c>
      <c r="D3" s="72" t="s">
        <v>2782</v>
      </c>
      <c r="E3" s="223" t="s">
        <v>2779</v>
      </c>
      <c r="F3" s="120" t="s">
        <v>2780</v>
      </c>
      <c r="G3" s="121" t="s">
        <v>2783</v>
      </c>
      <c r="H3" s="72" t="s">
        <v>2784</v>
      </c>
      <c r="I3" s="223" t="s">
        <v>2779</v>
      </c>
      <c r="J3" s="120" t="s">
        <v>2785</v>
      </c>
      <c r="K3" s="121" t="s">
        <v>2786</v>
      </c>
      <c r="L3" s="72" t="s">
        <v>2787</v>
      </c>
      <c r="M3" s="223" t="s">
        <v>2779</v>
      </c>
      <c r="N3" s="120" t="s">
        <v>2788</v>
      </c>
      <c r="O3" s="121" t="s">
        <v>2789</v>
      </c>
      <c r="P3" s="72" t="s">
        <v>2790</v>
      </c>
      <c r="Q3" s="223" t="s">
        <v>2779</v>
      </c>
      <c r="R3" s="109" t="s">
        <v>2791</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2779</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2779</v>
      </c>
      <c r="Z3" s="120"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23" t="s">
        <v>2779</v>
      </c>
      <c r="AD3" s="120" t="s">
        <v>2792</v>
      </c>
      <c r="AE3" s="225" t="s">
        <v>2793</v>
      </c>
      <c r="AF3" s="134" t="s">
        <v>2794</v>
      </c>
      <c r="AG3" s="223" t="s">
        <v>2779</v>
      </c>
      <c r="AH3" s="226" t="s">
        <v>2785</v>
      </c>
      <c r="AI3" s="115" t="s">
        <v>2795</v>
      </c>
      <c r="AJ3" s="116" t="s">
        <v>2796</v>
      </c>
      <c r="AK3" s="223" t="s">
        <v>2779</v>
      </c>
      <c r="AL3" s="109" t="s">
        <v>2785</v>
      </c>
      <c r="AM3" s="110" t="s">
        <v>2797</v>
      </c>
      <c r="AN3" s="75" t="s">
        <v>2798</v>
      </c>
      <c r="AO3" s="223" t="s">
        <v>2779</v>
      </c>
      <c r="AP3" s="120" t="s">
        <v>2785</v>
      </c>
      <c r="AQ3" s="121" t="s">
        <v>2799</v>
      </c>
      <c r="AR3" s="72" t="s">
        <v>2800</v>
      </c>
      <c r="AS3" s="75"/>
    </row>
    <row r="4" ht="167.25" customHeight="1">
      <c r="A4" s="223" t="s">
        <v>2801</v>
      </c>
      <c r="B4" s="120" t="s">
        <v>2802</v>
      </c>
      <c r="C4" s="121" t="s">
        <v>2803</v>
      </c>
      <c r="D4" s="72" t="s">
        <v>2804</v>
      </c>
      <c r="E4" s="223" t="s">
        <v>2801</v>
      </c>
      <c r="F4" s="120" t="s">
        <v>2805</v>
      </c>
      <c r="G4" s="121" t="s">
        <v>2806</v>
      </c>
      <c r="H4" s="72" t="s">
        <v>2807</v>
      </c>
      <c r="I4" s="223" t="s">
        <v>2801</v>
      </c>
      <c r="J4" s="120" t="s">
        <v>2808</v>
      </c>
      <c r="K4" s="121" t="s">
        <v>2809</v>
      </c>
      <c r="L4" s="72" t="s">
        <v>2810</v>
      </c>
      <c r="M4" s="223" t="s">
        <v>2801</v>
      </c>
      <c r="N4" s="120" t="s">
        <v>2811</v>
      </c>
      <c r="O4" s="121" t="s">
        <v>2812</v>
      </c>
      <c r="P4" s="72" t="s">
        <v>2813</v>
      </c>
      <c r="Q4" s="223" t="s">
        <v>2801</v>
      </c>
      <c r="R4" s="109" t="s">
        <v>2814</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2801</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2801</v>
      </c>
      <c r="Z4" s="120"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23" t="s">
        <v>2801</v>
      </c>
      <c r="AD4" s="120" t="s">
        <v>2815</v>
      </c>
      <c r="AE4" s="225" t="s">
        <v>2816</v>
      </c>
      <c r="AF4" s="134" t="s">
        <v>2817</v>
      </c>
      <c r="AG4" s="223" t="s">
        <v>2801</v>
      </c>
      <c r="AH4" s="226" t="s">
        <v>2818</v>
      </c>
      <c r="AI4" s="115" t="s">
        <v>2819</v>
      </c>
      <c r="AJ4" s="116" t="s">
        <v>2820</v>
      </c>
      <c r="AK4" s="223" t="s">
        <v>2801</v>
      </c>
      <c r="AL4" s="109" t="s">
        <v>2821</v>
      </c>
      <c r="AM4" s="110" t="s">
        <v>2822</v>
      </c>
      <c r="AN4" s="75" t="s">
        <v>2823</v>
      </c>
      <c r="AO4" s="223" t="s">
        <v>2801</v>
      </c>
      <c r="AP4" s="120" t="s">
        <v>2824</v>
      </c>
      <c r="AQ4" s="121" t="s">
        <v>2825</v>
      </c>
      <c r="AR4" s="72" t="s">
        <v>2826</v>
      </c>
      <c r="AS4" s="75"/>
    </row>
    <row r="5">
      <c r="A5" s="223" t="s">
        <v>2827</v>
      </c>
      <c r="B5" s="120" t="s">
        <v>2828</v>
      </c>
      <c r="C5" s="121" t="s">
        <v>2829</v>
      </c>
      <c r="D5" s="72" t="s">
        <v>2830</v>
      </c>
      <c r="E5" s="223" t="s">
        <v>2827</v>
      </c>
      <c r="F5" s="120" t="s">
        <v>2831</v>
      </c>
      <c r="G5" s="121" t="s">
        <v>2832</v>
      </c>
      <c r="H5" s="72" t="s">
        <v>2833</v>
      </c>
      <c r="I5" s="223" t="s">
        <v>2827</v>
      </c>
      <c r="J5" s="120" t="s">
        <v>2834</v>
      </c>
      <c r="K5" s="121" t="s">
        <v>2835</v>
      </c>
      <c r="L5" s="72" t="s">
        <v>2836</v>
      </c>
      <c r="M5" s="223" t="s">
        <v>2827</v>
      </c>
      <c r="N5" s="120" t="s">
        <v>2837</v>
      </c>
      <c r="O5" s="121" t="s">
        <v>2838</v>
      </c>
      <c r="P5" s="72" t="s">
        <v>2839</v>
      </c>
      <c r="Q5" s="223" t="s">
        <v>2827</v>
      </c>
      <c r="R5" s="109" t="s">
        <v>2840</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2827</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2827</v>
      </c>
      <c r="Z5" s="120"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23" t="s">
        <v>2827</v>
      </c>
      <c r="AD5" s="120" t="s">
        <v>2841</v>
      </c>
      <c r="AE5" s="225" t="s">
        <v>2842</v>
      </c>
      <c r="AF5" s="134" t="s">
        <v>2843</v>
      </c>
      <c r="AG5" s="223" t="s">
        <v>2827</v>
      </c>
      <c r="AH5" s="227" t="s">
        <v>2844</v>
      </c>
      <c r="AI5" s="129" t="s">
        <v>2845</v>
      </c>
      <c r="AJ5" s="133" t="s">
        <v>2846</v>
      </c>
      <c r="AK5" s="223" t="s">
        <v>2827</v>
      </c>
      <c r="AL5" s="109" t="s">
        <v>2847</v>
      </c>
      <c r="AM5" s="110" t="s">
        <v>2848</v>
      </c>
      <c r="AN5" s="75" t="s">
        <v>2849</v>
      </c>
      <c r="AO5" s="223" t="s">
        <v>2827</v>
      </c>
      <c r="AP5" s="120" t="s">
        <v>2850</v>
      </c>
      <c r="AQ5" s="121" t="s">
        <v>2851</v>
      </c>
      <c r="AR5" s="72" t="s">
        <v>2852</v>
      </c>
      <c r="AS5" s="75"/>
    </row>
    <row r="6">
      <c r="A6" s="223" t="s">
        <v>2853</v>
      </c>
      <c r="B6" s="120" t="s">
        <v>2854</v>
      </c>
      <c r="C6" s="121" t="s">
        <v>2855</v>
      </c>
      <c r="D6" s="72" t="s">
        <v>1120</v>
      </c>
      <c r="E6" s="223" t="s">
        <v>2853</v>
      </c>
      <c r="F6" s="120" t="s">
        <v>2856</v>
      </c>
      <c r="G6" s="121" t="s">
        <v>2857</v>
      </c>
      <c r="H6" s="72" t="s">
        <v>1120</v>
      </c>
      <c r="I6" s="223" t="s">
        <v>2853</v>
      </c>
      <c r="J6" s="120" t="s">
        <v>2858</v>
      </c>
      <c r="K6" s="121" t="s">
        <v>2859</v>
      </c>
      <c r="L6" s="72" t="s">
        <v>1120</v>
      </c>
      <c r="M6" s="223" t="s">
        <v>2853</v>
      </c>
      <c r="N6" s="120" t="s">
        <v>2860</v>
      </c>
      <c r="O6" s="121" t="s">
        <v>2861</v>
      </c>
      <c r="P6" s="72" t="s">
        <v>1120</v>
      </c>
      <c r="Q6" s="223" t="s">
        <v>2853</v>
      </c>
      <c r="R6" s="109" t="s">
        <v>2862</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2853</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2853</v>
      </c>
      <c r="Z6" s="120"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5" t="s">
        <v>1120</v>
      </c>
      <c r="AC6" s="223" t="s">
        <v>2853</v>
      </c>
      <c r="AD6" s="120" t="s">
        <v>2863</v>
      </c>
      <c r="AE6" s="225" t="s">
        <v>2864</v>
      </c>
      <c r="AF6" s="134" t="s">
        <v>2865</v>
      </c>
      <c r="AG6" s="223" t="s">
        <v>2853</v>
      </c>
      <c r="AH6" s="226" t="s">
        <v>2866</v>
      </c>
      <c r="AI6" s="115" t="s">
        <v>2867</v>
      </c>
      <c r="AJ6" s="116" t="s">
        <v>1120</v>
      </c>
      <c r="AK6" s="223" t="s">
        <v>2853</v>
      </c>
      <c r="AL6" s="109" t="s">
        <v>2868</v>
      </c>
      <c r="AM6" s="110" t="s">
        <v>2869</v>
      </c>
      <c r="AN6" s="75" t="s">
        <v>1120</v>
      </c>
      <c r="AO6" s="223" t="s">
        <v>2853</v>
      </c>
      <c r="AP6" s="120" t="s">
        <v>2870</v>
      </c>
      <c r="AQ6" s="121" t="s">
        <v>2871</v>
      </c>
      <c r="AR6" s="72" t="s">
        <v>1120</v>
      </c>
      <c r="AS6" s="75"/>
    </row>
    <row r="7" ht="122.25" customHeight="1">
      <c r="A7" s="223" t="s">
        <v>2872</v>
      </c>
      <c r="B7" s="106" t="s">
        <v>2873</v>
      </c>
      <c r="C7" s="121" t="s">
        <v>2874</v>
      </c>
      <c r="D7" s="108" t="s">
        <v>2875</v>
      </c>
      <c r="E7" s="223" t="s">
        <v>2872</v>
      </c>
      <c r="F7" s="120" t="s">
        <v>2876</v>
      </c>
      <c r="G7" s="121" t="s">
        <v>2877</v>
      </c>
      <c r="H7" s="72" t="s">
        <v>2878</v>
      </c>
      <c r="I7" s="223" t="s">
        <v>2872</v>
      </c>
      <c r="J7" s="120" t="s">
        <v>2879</v>
      </c>
      <c r="K7" s="121" t="s">
        <v>2880</v>
      </c>
      <c r="L7" s="72" t="s">
        <v>2881</v>
      </c>
      <c r="M7" s="223" t="s">
        <v>2872</v>
      </c>
      <c r="N7" s="120" t="s">
        <v>2873</v>
      </c>
      <c r="O7" s="121" t="s">
        <v>2882</v>
      </c>
      <c r="P7" s="72" t="s">
        <v>2883</v>
      </c>
      <c r="Q7" s="223" t="s">
        <v>2872</v>
      </c>
      <c r="R7" s="109" t="s">
        <v>2884</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2872</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2872</v>
      </c>
      <c r="Z7" s="120"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23" t="s">
        <v>2872</v>
      </c>
      <c r="AD7" s="120" t="s">
        <v>2885</v>
      </c>
      <c r="AE7" s="225" t="s">
        <v>2886</v>
      </c>
      <c r="AF7" s="134" t="s">
        <v>2887</v>
      </c>
      <c r="AG7" s="223" t="s">
        <v>2872</v>
      </c>
      <c r="AH7" s="226" t="s">
        <v>2888</v>
      </c>
      <c r="AI7" s="115" t="s">
        <v>2889</v>
      </c>
      <c r="AJ7" s="116" t="s">
        <v>2890</v>
      </c>
      <c r="AK7" s="223" t="s">
        <v>2872</v>
      </c>
      <c r="AL7" s="109" t="s">
        <v>2891</v>
      </c>
      <c r="AM7" s="110" t="s">
        <v>2892</v>
      </c>
      <c r="AN7" s="75" t="s">
        <v>2893</v>
      </c>
      <c r="AO7" s="223" t="s">
        <v>2872</v>
      </c>
      <c r="AP7" s="120" t="s">
        <v>2894</v>
      </c>
      <c r="AQ7" s="121" t="s">
        <v>2895</v>
      </c>
      <c r="AR7" s="72" t="s">
        <v>2896</v>
      </c>
      <c r="AS7" s="75"/>
    </row>
    <row r="8">
      <c r="A8" s="223" t="s">
        <v>2897</v>
      </c>
      <c r="B8" s="120" t="s">
        <v>2898</v>
      </c>
      <c r="C8" s="121" t="s">
        <v>2899</v>
      </c>
      <c r="D8" s="72" t="s">
        <v>2900</v>
      </c>
      <c r="E8" s="223" t="s">
        <v>2897</v>
      </c>
      <c r="F8" s="120" t="s">
        <v>2901</v>
      </c>
      <c r="G8" s="121" t="s">
        <v>2902</v>
      </c>
      <c r="H8" s="72" t="s">
        <v>2903</v>
      </c>
      <c r="I8" s="223" t="s">
        <v>2897</v>
      </c>
      <c r="J8" s="120" t="s">
        <v>2904</v>
      </c>
      <c r="K8" s="121" t="s">
        <v>2905</v>
      </c>
      <c r="L8" s="72" t="s">
        <v>2906</v>
      </c>
      <c r="M8" s="223" t="s">
        <v>2897</v>
      </c>
      <c r="N8" s="120" t="s">
        <v>2898</v>
      </c>
      <c r="O8" s="121" t="s">
        <v>2907</v>
      </c>
      <c r="P8" s="72" t="s">
        <v>2908</v>
      </c>
      <c r="Q8" s="223" t="s">
        <v>2897</v>
      </c>
      <c r="R8" s="109" t="s">
        <v>2909</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2897</v>
      </c>
      <c r="V8" s="120" t="s">
        <v>2910</v>
      </c>
      <c r="W8" s="121" t="s">
        <v>2911</v>
      </c>
      <c r="X8" s="72" t="s">
        <v>2912</v>
      </c>
      <c r="Y8" s="223" t="s">
        <v>2897</v>
      </c>
      <c r="Z8" s="120"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23" t="s">
        <v>2897</v>
      </c>
      <c r="AD8" s="120" t="s">
        <v>2913</v>
      </c>
      <c r="AE8" s="225" t="s">
        <v>2914</v>
      </c>
      <c r="AF8" s="134" t="s">
        <v>2915</v>
      </c>
      <c r="AG8" s="223" t="s">
        <v>2897</v>
      </c>
      <c r="AH8" s="226" t="s">
        <v>2916</v>
      </c>
      <c r="AI8" s="115" t="s">
        <v>2917</v>
      </c>
      <c r="AJ8" s="116" t="s">
        <v>2918</v>
      </c>
      <c r="AK8" s="223" t="s">
        <v>2897</v>
      </c>
      <c r="AL8" s="109" t="s">
        <v>2919</v>
      </c>
      <c r="AM8" s="110" t="s">
        <v>2920</v>
      </c>
      <c r="AN8" s="75" t="s">
        <v>2921</v>
      </c>
      <c r="AO8" s="223" t="s">
        <v>2897</v>
      </c>
      <c r="AP8" s="120" t="s">
        <v>2904</v>
      </c>
      <c r="AQ8" s="121" t="s">
        <v>2922</v>
      </c>
      <c r="AR8" s="72" t="s">
        <v>2923</v>
      </c>
      <c r="AS8" s="75"/>
    </row>
    <row r="9">
      <c r="A9" s="223" t="s">
        <v>2924</v>
      </c>
      <c r="B9" s="120" t="s">
        <v>2925</v>
      </c>
      <c r="C9" s="121" t="s">
        <v>2926</v>
      </c>
      <c r="D9" s="72" t="s">
        <v>2927</v>
      </c>
      <c r="E9" s="223" t="s">
        <v>2924</v>
      </c>
      <c r="F9" s="120" t="s">
        <v>2928</v>
      </c>
      <c r="G9" s="121" t="s">
        <v>2929</v>
      </c>
      <c r="H9" s="72" t="s">
        <v>2930</v>
      </c>
      <c r="I9" s="223" t="s">
        <v>2924</v>
      </c>
      <c r="J9" s="120" t="s">
        <v>2931</v>
      </c>
      <c r="K9" s="121" t="s">
        <v>2932</v>
      </c>
      <c r="L9" s="72" t="s">
        <v>2933</v>
      </c>
      <c r="M9" s="223" t="s">
        <v>2924</v>
      </c>
      <c r="N9" s="120" t="s">
        <v>2934</v>
      </c>
      <c r="O9" s="121" t="s">
        <v>2935</v>
      </c>
      <c r="P9" s="72" t="s">
        <v>2936</v>
      </c>
      <c r="Q9" s="223" t="s">
        <v>2924</v>
      </c>
      <c r="R9" s="109" t="s">
        <v>2937</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2924</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2924</v>
      </c>
      <c r="Z9" s="120"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23" t="s">
        <v>2924</v>
      </c>
      <c r="AD9" s="120" t="s">
        <v>2938</v>
      </c>
      <c r="AE9" s="225" t="s">
        <v>2939</v>
      </c>
      <c r="AF9" s="134" t="s">
        <v>2940</v>
      </c>
      <c r="AG9" s="223" t="s">
        <v>2924</v>
      </c>
      <c r="AH9" s="226" t="s">
        <v>2941</v>
      </c>
      <c r="AI9" s="115" t="s">
        <v>2942</v>
      </c>
      <c r="AJ9" s="116" t="s">
        <v>2943</v>
      </c>
      <c r="AK9" s="223" t="s">
        <v>2924</v>
      </c>
      <c r="AL9" s="109" t="s">
        <v>2944</v>
      </c>
      <c r="AM9" s="110" t="s">
        <v>2945</v>
      </c>
      <c r="AN9" s="75" t="s">
        <v>2946</v>
      </c>
      <c r="AO9" s="223" t="s">
        <v>2924</v>
      </c>
      <c r="AP9" s="120" t="s">
        <v>2947</v>
      </c>
      <c r="AQ9" s="121" t="s">
        <v>2948</v>
      </c>
      <c r="AR9" s="72" t="s">
        <v>2949</v>
      </c>
      <c r="AS9" s="75"/>
    </row>
    <row r="10">
      <c r="A10" s="223" t="s">
        <v>2950</v>
      </c>
      <c r="B10" s="120" t="s">
        <v>2951</v>
      </c>
      <c r="C10" s="121" t="s">
        <v>2952</v>
      </c>
      <c r="D10" s="72" t="s">
        <v>2953</v>
      </c>
      <c r="E10" s="223" t="s">
        <v>2950</v>
      </c>
      <c r="F10" s="120" t="s">
        <v>2954</v>
      </c>
      <c r="G10" s="121" t="s">
        <v>2955</v>
      </c>
      <c r="H10" s="72" t="s">
        <v>2956</v>
      </c>
      <c r="I10" s="223" t="s">
        <v>2950</v>
      </c>
      <c r="J10" s="120" t="s">
        <v>2957</v>
      </c>
      <c r="K10" s="121" t="s">
        <v>2958</v>
      </c>
      <c r="L10" s="72" t="s">
        <v>2959</v>
      </c>
      <c r="M10" s="223" t="s">
        <v>2950</v>
      </c>
      <c r="N10" s="120" t="s">
        <v>2960</v>
      </c>
      <c r="O10" s="121" t="s">
        <v>2961</v>
      </c>
      <c r="P10" s="72" t="s">
        <v>2962</v>
      </c>
      <c r="Q10" s="223" t="s">
        <v>2950</v>
      </c>
      <c r="R10" s="120" t="s">
        <v>2963</v>
      </c>
      <c r="S10" s="121" t="s">
        <v>2964</v>
      </c>
      <c r="T10" s="75" t="str">
        <f>IFERROR(__xludf.DUMMYFUNCTION("GOOGLETRANSLATE(D10,""zh-tw"",""es-MX"")"),"Consigue el objeto ""Pato de goma""; se puede colocar dentro de la bañera.")</f>
        <v>Consigue el objeto "Pato de goma"; se puede colocar dentro de la bañera.</v>
      </c>
      <c r="U10" s="223" t="s">
        <v>2950</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2950</v>
      </c>
      <c r="Z10" s="120"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23" t="s">
        <v>2950</v>
      </c>
      <c r="AD10" s="120" t="s">
        <v>2965</v>
      </c>
      <c r="AE10" s="225" t="s">
        <v>2966</v>
      </c>
      <c r="AF10" s="134" t="s">
        <v>2967</v>
      </c>
      <c r="AG10" s="223" t="s">
        <v>2950</v>
      </c>
      <c r="AH10" s="226" t="s">
        <v>2968</v>
      </c>
      <c r="AI10" s="115" t="s">
        <v>2969</v>
      </c>
      <c r="AJ10" s="116" t="s">
        <v>2970</v>
      </c>
      <c r="AK10" s="223" t="s">
        <v>2950</v>
      </c>
      <c r="AL10" s="109" t="s">
        <v>2957</v>
      </c>
      <c r="AM10" s="110" t="s">
        <v>2971</v>
      </c>
      <c r="AN10" s="75" t="s">
        <v>2972</v>
      </c>
      <c r="AO10" s="223" t="s">
        <v>2950</v>
      </c>
      <c r="AP10" s="120" t="s">
        <v>2957</v>
      </c>
      <c r="AQ10" s="121" t="s">
        <v>2973</v>
      </c>
      <c r="AR10" s="72" t="s">
        <v>2974</v>
      </c>
      <c r="AS10" s="75"/>
    </row>
    <row r="11">
      <c r="A11" s="223" t="s">
        <v>2975</v>
      </c>
      <c r="B11" s="120" t="s">
        <v>2976</v>
      </c>
      <c r="C11" s="121" t="s">
        <v>2977</v>
      </c>
      <c r="D11" s="72" t="s">
        <v>2978</v>
      </c>
      <c r="E11" s="223" t="s">
        <v>2975</v>
      </c>
      <c r="F11" s="120" t="s">
        <v>2979</v>
      </c>
      <c r="G11" s="121" t="s">
        <v>2980</v>
      </c>
      <c r="H11" s="72" t="s">
        <v>2981</v>
      </c>
      <c r="I11" s="223" t="s">
        <v>2975</v>
      </c>
      <c r="J11" s="120" t="s">
        <v>2982</v>
      </c>
      <c r="K11" s="121" t="s">
        <v>2983</v>
      </c>
      <c r="L11" s="72" t="s">
        <v>2984</v>
      </c>
      <c r="M11" s="223" t="s">
        <v>2975</v>
      </c>
      <c r="N11" s="120" t="s">
        <v>2985</v>
      </c>
      <c r="O11" s="121" t="s">
        <v>2986</v>
      </c>
      <c r="P11" s="72" t="s">
        <v>2987</v>
      </c>
      <c r="Q11" s="223" t="s">
        <v>2975</v>
      </c>
      <c r="R11" s="120" t="s">
        <v>2988</v>
      </c>
      <c r="S11" s="121" t="s">
        <v>2989</v>
      </c>
      <c r="T11" s="75" t="str">
        <f>IFERROR(__xludf.DUMMYFUNCTION("GOOGLETRANSLATE(D11,""zh-tw"",""es-MX"")"),"Enlace al mapa de ruinas
Observaciones")</f>
        <v>Enlace al mapa de ruinas
Observaciones</v>
      </c>
      <c r="U11" s="223" t="s">
        <v>2975</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2975</v>
      </c>
      <c r="Z11" s="120"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23" t="s">
        <v>2975</v>
      </c>
      <c r="AD11" s="120" t="s">
        <v>2990</v>
      </c>
      <c r="AE11" s="225" t="s">
        <v>2991</v>
      </c>
      <c r="AF11" s="134" t="s">
        <v>2992</v>
      </c>
      <c r="AG11" s="223" t="s">
        <v>2975</v>
      </c>
      <c r="AH11" s="226" t="s">
        <v>2993</v>
      </c>
      <c r="AI11" s="115" t="s">
        <v>2994</v>
      </c>
      <c r="AJ11" s="116" t="s">
        <v>2995</v>
      </c>
      <c r="AK11" s="223" t="s">
        <v>2975</v>
      </c>
      <c r="AL11" s="109" t="s">
        <v>2996</v>
      </c>
      <c r="AM11" s="110" t="s">
        <v>2997</v>
      </c>
      <c r="AN11" s="75" t="s">
        <v>2998</v>
      </c>
      <c r="AO11" s="223" t="s">
        <v>2975</v>
      </c>
      <c r="AP11" s="120" t="s">
        <v>2982</v>
      </c>
      <c r="AQ11" s="121" t="s">
        <v>2983</v>
      </c>
      <c r="AR11" s="72" t="s">
        <v>2984</v>
      </c>
      <c r="AS11" s="75"/>
    </row>
    <row r="12">
      <c r="A12" s="223" t="s">
        <v>2999</v>
      </c>
      <c r="B12" s="106" t="s">
        <v>3000</v>
      </c>
      <c r="C12" s="121" t="s">
        <v>3001</v>
      </c>
      <c r="D12" s="72" t="s">
        <v>3002</v>
      </c>
      <c r="E12" s="223" t="s">
        <v>2999</v>
      </c>
      <c r="F12" s="120" t="str">
        <f>IFERROR(__xludf.DUMMYFUNCTION("GOOGLETRANSLATE(B12,""zh-tw"",""ja"")"),"未知の洞窟")</f>
        <v>未知の洞窟</v>
      </c>
      <c r="G12" s="121" t="s">
        <v>3003</v>
      </c>
      <c r="H12" s="72" t="s">
        <v>3004</v>
      </c>
      <c r="I12" s="223" t="s">
        <v>2999</v>
      </c>
      <c r="J12" s="120" t="s">
        <v>3005</v>
      </c>
      <c r="K12" s="121" t="s">
        <v>3006</v>
      </c>
      <c r="L12" s="72" t="s">
        <v>3007</v>
      </c>
      <c r="M12" s="223" t="s">
        <v>2999</v>
      </c>
      <c r="N12" s="120" t="s">
        <v>3000</v>
      </c>
      <c r="O12" s="121" t="s">
        <v>3008</v>
      </c>
      <c r="P12" s="72" t="s">
        <v>3009</v>
      </c>
      <c r="Q12" s="223" t="s">
        <v>2999</v>
      </c>
      <c r="R12" s="109" t="s">
        <v>3010</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2999</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2999</v>
      </c>
      <c r="Z12" s="120"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23" t="s">
        <v>2999</v>
      </c>
      <c r="AD12" s="120" t="s">
        <v>3011</v>
      </c>
      <c r="AE12" s="225" t="s">
        <v>3012</v>
      </c>
      <c r="AF12" s="134" t="s">
        <v>3013</v>
      </c>
      <c r="AG12" s="223" t="s">
        <v>2999</v>
      </c>
      <c r="AH12" s="226" t="s">
        <v>3014</v>
      </c>
      <c r="AI12" s="129" t="s">
        <v>3015</v>
      </c>
      <c r="AJ12" s="133" t="s">
        <v>3016</v>
      </c>
      <c r="AK12" s="223" t="s">
        <v>2999</v>
      </c>
      <c r="AL12" s="109" t="s">
        <v>3017</v>
      </c>
      <c r="AM12" s="110" t="s">
        <v>3018</v>
      </c>
      <c r="AN12" s="75" t="s">
        <v>3019</v>
      </c>
      <c r="AO12" s="223" t="s">
        <v>2999</v>
      </c>
      <c r="AP12" s="120" t="s">
        <v>3005</v>
      </c>
      <c r="AQ12" s="121" t="s">
        <v>3006</v>
      </c>
      <c r="AR12" s="72" t="s">
        <v>3007</v>
      </c>
      <c r="AS12" s="75"/>
    </row>
    <row r="13">
      <c r="A13" s="223" t="s">
        <v>3020</v>
      </c>
      <c r="B13" s="120" t="s">
        <v>3021</v>
      </c>
      <c r="C13" s="121" t="s">
        <v>3022</v>
      </c>
      <c r="D13" s="72" t="s">
        <v>3023</v>
      </c>
      <c r="E13" s="223" t="s">
        <v>3020</v>
      </c>
      <c r="F13" s="120" t="s">
        <v>3024</v>
      </c>
      <c r="G13" s="121" t="s">
        <v>3025</v>
      </c>
      <c r="H13" s="72" t="s">
        <v>3026</v>
      </c>
      <c r="I13" s="223" t="s">
        <v>3020</v>
      </c>
      <c r="J13" s="120" t="s">
        <v>3027</v>
      </c>
      <c r="K13" s="121" t="s">
        <v>3028</v>
      </c>
      <c r="L13" s="72" t="s">
        <v>3029</v>
      </c>
      <c r="M13" s="223" t="s">
        <v>3020</v>
      </c>
      <c r="N13" s="120" t="s">
        <v>3030</v>
      </c>
      <c r="O13" s="121" t="s">
        <v>3031</v>
      </c>
      <c r="P13" s="72" t="s">
        <v>3032</v>
      </c>
      <c r="Q13" s="223" t="s">
        <v>3020</v>
      </c>
      <c r="R13" s="120" t="s">
        <v>3033</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3020</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3020</v>
      </c>
      <c r="Z13" s="120"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23" t="s">
        <v>3020</v>
      </c>
      <c r="AD13" s="120" t="s">
        <v>3034</v>
      </c>
      <c r="AE13" s="225" t="s">
        <v>3035</v>
      </c>
      <c r="AF13" s="134" t="s">
        <v>3036</v>
      </c>
      <c r="AG13" s="223" t="s">
        <v>3020</v>
      </c>
      <c r="AH13" s="226" t="s">
        <v>3037</v>
      </c>
      <c r="AI13" s="115" t="s">
        <v>3038</v>
      </c>
      <c r="AJ13" s="116" t="s">
        <v>3039</v>
      </c>
      <c r="AK13" s="223" t="s">
        <v>3020</v>
      </c>
      <c r="AL13" s="109" t="s">
        <v>3040</v>
      </c>
      <c r="AM13" s="110" t="s">
        <v>3041</v>
      </c>
      <c r="AN13" s="75" t="s">
        <v>3042</v>
      </c>
      <c r="AO13" s="223" t="s">
        <v>3020</v>
      </c>
      <c r="AP13" s="120" t="s">
        <v>3027</v>
      </c>
      <c r="AQ13" s="121" t="s">
        <v>3028</v>
      </c>
      <c r="AR13" s="72" t="s">
        <v>3029</v>
      </c>
      <c r="AS13" s="75"/>
    </row>
    <row r="14">
      <c r="A14" s="223" t="s">
        <v>3043</v>
      </c>
      <c r="B14" s="120" t="s">
        <v>3044</v>
      </c>
      <c r="C14" s="121" t="s">
        <v>3045</v>
      </c>
      <c r="D14" s="72" t="s">
        <v>3046</v>
      </c>
      <c r="E14" s="223" t="s">
        <v>3043</v>
      </c>
      <c r="F14" s="120" t="s">
        <v>3047</v>
      </c>
      <c r="G14" s="121" t="s">
        <v>3048</v>
      </c>
      <c r="H14" s="72" t="s">
        <v>3049</v>
      </c>
      <c r="I14" s="223" t="s">
        <v>3043</v>
      </c>
      <c r="J14" s="120" t="s">
        <v>3050</v>
      </c>
      <c r="K14" s="121" t="s">
        <v>3051</v>
      </c>
      <c r="L14" s="72" t="s">
        <v>3052</v>
      </c>
      <c r="M14" s="223" t="s">
        <v>3043</v>
      </c>
      <c r="N14" s="120" t="s">
        <v>3053</v>
      </c>
      <c r="O14" s="121" t="s">
        <v>3054</v>
      </c>
      <c r="P14" s="72" t="s">
        <v>3055</v>
      </c>
      <c r="Q14" s="223" t="s">
        <v>3043</v>
      </c>
      <c r="R14" s="120" t="s">
        <v>3056</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3043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3043</v>
      </c>
      <c r="Z14" s="120"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23" t="s">
        <v>3043</v>
      </c>
      <c r="AD14" s="120" t="s">
        <v>3057</v>
      </c>
      <c r="AE14" s="225" t="s">
        <v>3058</v>
      </c>
      <c r="AF14" s="134" t="s">
        <v>3059</v>
      </c>
      <c r="AG14" s="223" t="s">
        <v>3043</v>
      </c>
      <c r="AH14" s="226" t="s">
        <v>3060</v>
      </c>
      <c r="AI14" s="115" t="s">
        <v>3061</v>
      </c>
      <c r="AJ14" s="116" t="s">
        <v>3062</v>
      </c>
      <c r="AK14" s="223" t="s">
        <v>3043</v>
      </c>
      <c r="AL14" s="109" t="s">
        <v>3063</v>
      </c>
      <c r="AM14" s="110" t="s">
        <v>3064</v>
      </c>
      <c r="AN14" s="75" t="s">
        <v>3065</v>
      </c>
      <c r="AO14" s="223" t="s">
        <v>3043</v>
      </c>
      <c r="AP14" s="120" t="s">
        <v>3050</v>
      </c>
      <c r="AQ14" s="121" t="s">
        <v>3051</v>
      </c>
      <c r="AR14" s="72" t="s">
        <v>3052</v>
      </c>
      <c r="AS14" s="75"/>
    </row>
    <row r="15">
      <c r="A15" s="223" t="s">
        <v>3066</v>
      </c>
      <c r="B15" s="120" t="s">
        <v>3067</v>
      </c>
      <c r="C15" s="121" t="s">
        <v>3068</v>
      </c>
      <c r="D15" s="72" t="s">
        <v>3069</v>
      </c>
      <c r="E15" s="223" t="s">
        <v>3066</v>
      </c>
      <c r="F15" s="120" t="s">
        <v>3070</v>
      </c>
      <c r="G15" s="121" t="s">
        <v>3071</v>
      </c>
      <c r="H15" s="72" t="s">
        <v>3072</v>
      </c>
      <c r="I15" s="223" t="s">
        <v>3066</v>
      </c>
      <c r="J15" s="120" t="s">
        <v>3073</v>
      </c>
      <c r="K15" s="121" t="s">
        <v>3074</v>
      </c>
      <c r="L15" s="72" t="s">
        <v>3075</v>
      </c>
      <c r="M15" s="223" t="s">
        <v>3066</v>
      </c>
      <c r="N15" s="120" t="s">
        <v>3076</v>
      </c>
      <c r="O15" s="121" t="s">
        <v>3077</v>
      </c>
      <c r="P15" s="72" t="s">
        <v>3078</v>
      </c>
      <c r="Q15" s="223" t="s">
        <v>3066</v>
      </c>
      <c r="R15" s="120" t="s">
        <v>3079</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3066</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3066</v>
      </c>
      <c r="Z15" s="120"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23" t="s">
        <v>3066</v>
      </c>
      <c r="AD15" s="120" t="s">
        <v>3080</v>
      </c>
      <c r="AE15" s="225" t="s">
        <v>3081</v>
      </c>
      <c r="AF15" s="134" t="s">
        <v>3082</v>
      </c>
      <c r="AG15" s="223" t="s">
        <v>3066</v>
      </c>
      <c r="AH15" s="226" t="s">
        <v>3083</v>
      </c>
      <c r="AI15" s="115" t="s">
        <v>3084</v>
      </c>
      <c r="AJ15" s="116" t="s">
        <v>3085</v>
      </c>
      <c r="AK15" s="223" t="s">
        <v>3066</v>
      </c>
      <c r="AL15" s="109" t="s">
        <v>3086</v>
      </c>
      <c r="AM15" s="110" t="s">
        <v>3087</v>
      </c>
      <c r="AN15" s="75" t="s">
        <v>3088</v>
      </c>
      <c r="AO15" s="223" t="s">
        <v>3066</v>
      </c>
      <c r="AP15" s="120" t="s">
        <v>3073</v>
      </c>
      <c r="AQ15" s="121" t="s">
        <v>3074</v>
      </c>
      <c r="AR15" s="72" t="s">
        <v>3075</v>
      </c>
      <c r="AS15" s="75"/>
    </row>
    <row r="16">
      <c r="A16" s="223" t="s">
        <v>3089</v>
      </c>
      <c r="B16" s="120" t="s">
        <v>3090</v>
      </c>
      <c r="C16" s="121" t="s">
        <v>3091</v>
      </c>
      <c r="D16" s="72" t="s">
        <v>3023</v>
      </c>
      <c r="E16" s="223" t="s">
        <v>3089</v>
      </c>
      <c r="F16" s="120" t="s">
        <v>3092</v>
      </c>
      <c r="G16" s="121" t="s">
        <v>3093</v>
      </c>
      <c r="H16" s="72" t="s">
        <v>3026</v>
      </c>
      <c r="I16" s="223" t="s">
        <v>3089</v>
      </c>
      <c r="J16" s="120" t="s">
        <v>3094</v>
      </c>
      <c r="K16" s="121" t="s">
        <v>3095</v>
      </c>
      <c r="L16" s="72" t="s">
        <v>3029</v>
      </c>
      <c r="M16" s="223" t="s">
        <v>3089</v>
      </c>
      <c r="N16" s="120" t="s">
        <v>3096</v>
      </c>
      <c r="O16" s="121" t="s">
        <v>3097</v>
      </c>
      <c r="P16" s="72" t="s">
        <v>3032</v>
      </c>
      <c r="Q16" s="223" t="s">
        <v>3089</v>
      </c>
      <c r="R16" s="120" t="s">
        <v>3098</v>
      </c>
      <c r="S16" s="110" t="str">
        <f>IFERROR(__xludf.DUMMYFUNCTION("GOOGLETRANSLATE(C16,""zh-tw"",""es-MX"")"),"Hay un objeto oculto en el bosque en la esquina inferior derecha de ""Ruinas del Bosque-4"".")</f>
        <v>Hay un objeto oculto en el bosque en la esquina inferior derecha de "Ruinas del Bosque-4".</v>
      </c>
      <c r="T16" s="72" t="s">
        <v>3099</v>
      </c>
      <c r="U16" s="223" t="s">
        <v>3089</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3089</v>
      </c>
      <c r="Z16" s="120"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23" t="s">
        <v>3089</v>
      </c>
      <c r="AD16" s="120" t="s">
        <v>3100</v>
      </c>
      <c r="AE16" s="225" t="s">
        <v>3101</v>
      </c>
      <c r="AF16" s="134" t="s">
        <v>3102</v>
      </c>
      <c r="AG16" s="223" t="s">
        <v>3089</v>
      </c>
      <c r="AH16" s="226" t="s">
        <v>3103</v>
      </c>
      <c r="AI16" s="115" t="s">
        <v>3104</v>
      </c>
      <c r="AJ16" s="116" t="s">
        <v>3039</v>
      </c>
      <c r="AK16" s="223" t="s">
        <v>3089</v>
      </c>
      <c r="AL16" s="109" t="s">
        <v>3105</v>
      </c>
      <c r="AM16" s="110" t="s">
        <v>3106</v>
      </c>
      <c r="AN16" s="75" t="s">
        <v>3107</v>
      </c>
      <c r="AO16" s="223" t="s">
        <v>3089</v>
      </c>
      <c r="AP16" s="120" t="s">
        <v>3094</v>
      </c>
      <c r="AQ16" s="121" t="s">
        <v>3095</v>
      </c>
      <c r="AR16" s="72" t="s">
        <v>3029</v>
      </c>
      <c r="AS16" s="75"/>
    </row>
    <row r="17">
      <c r="A17" s="223" t="s">
        <v>3108</v>
      </c>
      <c r="B17" s="120" t="s">
        <v>3109</v>
      </c>
      <c r="C17" s="121" t="s">
        <v>3110</v>
      </c>
      <c r="D17" s="72" t="s">
        <v>3111</v>
      </c>
      <c r="E17" s="223" t="s">
        <v>3108</v>
      </c>
      <c r="F17" s="120" t="s">
        <v>3112</v>
      </c>
      <c r="G17" s="121" t="s">
        <v>3113</v>
      </c>
      <c r="H17" s="72" t="s">
        <v>3114</v>
      </c>
      <c r="I17" s="223" t="s">
        <v>3108</v>
      </c>
      <c r="J17" s="120" t="s">
        <v>3115</v>
      </c>
      <c r="K17" s="121" t="s">
        <v>3116</v>
      </c>
      <c r="L17" s="72" t="s">
        <v>3117</v>
      </c>
      <c r="M17" s="223" t="s">
        <v>3108</v>
      </c>
      <c r="N17" s="120" t="s">
        <v>3118</v>
      </c>
      <c r="O17" s="121" t="s">
        <v>3119</v>
      </c>
      <c r="P17" s="72" t="s">
        <v>3120</v>
      </c>
      <c r="Q17" s="223" t="s">
        <v>3108</v>
      </c>
      <c r="R17" s="120" t="s">
        <v>3121</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3108</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3108</v>
      </c>
      <c r="Z17" s="120"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23" t="s">
        <v>3108</v>
      </c>
      <c r="AD17" s="120" t="s">
        <v>3122</v>
      </c>
      <c r="AE17" s="225" t="s">
        <v>3123</v>
      </c>
      <c r="AF17" s="134" t="s">
        <v>3124</v>
      </c>
      <c r="AG17" s="223" t="s">
        <v>3108</v>
      </c>
      <c r="AH17" s="226" t="s">
        <v>3125</v>
      </c>
      <c r="AI17" s="115" t="s">
        <v>3126</v>
      </c>
      <c r="AJ17" s="116" t="s">
        <v>3127</v>
      </c>
      <c r="AK17" s="223" t="s">
        <v>3108</v>
      </c>
      <c r="AL17" s="109" t="s">
        <v>3128</v>
      </c>
      <c r="AM17" s="110" t="s">
        <v>3129</v>
      </c>
      <c r="AN17" s="75" t="s">
        <v>3130</v>
      </c>
      <c r="AO17" s="223" t="s">
        <v>3108</v>
      </c>
      <c r="AP17" s="120" t="s">
        <v>3115</v>
      </c>
      <c r="AQ17" s="121" t="s">
        <v>3116</v>
      </c>
      <c r="AR17" s="72" t="s">
        <v>3117</v>
      </c>
      <c r="AS17" s="75"/>
    </row>
    <row r="18">
      <c r="A18" s="223" t="s">
        <v>3131</v>
      </c>
      <c r="B18" s="120" t="s">
        <v>3132</v>
      </c>
      <c r="C18" s="121" t="s">
        <v>3133</v>
      </c>
      <c r="D18" s="72" t="s">
        <v>3134</v>
      </c>
      <c r="E18" s="223" t="s">
        <v>3131</v>
      </c>
      <c r="F18" s="120" t="s">
        <v>3135</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3136</v>
      </c>
      <c r="I18" s="223" t="s">
        <v>3131</v>
      </c>
      <c r="J18" s="120" t="s">
        <v>3137</v>
      </c>
      <c r="K18" s="121" t="s">
        <v>3138</v>
      </c>
      <c r="L18" s="72" t="s">
        <v>3139</v>
      </c>
      <c r="M18" s="223" t="s">
        <v>3131</v>
      </c>
      <c r="N18" s="120" t="s">
        <v>3140</v>
      </c>
      <c r="O18" s="121" t="s">
        <v>3141</v>
      </c>
      <c r="P18" s="72" t="s">
        <v>3142</v>
      </c>
      <c r="Q18" s="223" t="s">
        <v>3131</v>
      </c>
      <c r="R18" s="120" t="s">
        <v>3143</v>
      </c>
      <c r="S18" s="121" t="s">
        <v>3144</v>
      </c>
      <c r="T18" s="75" t="str">
        <f>IFERROR(__xludf.DUMMYFUNCTION("GOOGLETRANSLATE(D18,""zh-tw"",""es-MX"")"),"Obtener equipo - Anillo de hueso del ahorcado")</f>
        <v>Obtener equipo - Anillo de hueso del ahorcado</v>
      </c>
      <c r="U18" s="223" t="s">
        <v>3131</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3131</v>
      </c>
      <c r="Z18" s="120"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23" t="s">
        <v>3131</v>
      </c>
      <c r="AD18" s="120" t="s">
        <v>3145</v>
      </c>
      <c r="AE18" s="225" t="s">
        <v>3146</v>
      </c>
      <c r="AF18" s="134" t="s">
        <v>3147</v>
      </c>
      <c r="AG18" s="223" t="s">
        <v>3131</v>
      </c>
      <c r="AH18" s="226" t="s">
        <v>3148</v>
      </c>
      <c r="AI18" s="115" t="s">
        <v>3149</v>
      </c>
      <c r="AJ18" s="133" t="s">
        <v>3150</v>
      </c>
      <c r="AK18" s="223" t="s">
        <v>3131</v>
      </c>
      <c r="AL18" s="109" t="s">
        <v>3151</v>
      </c>
      <c r="AM18" s="110" t="s">
        <v>3152</v>
      </c>
      <c r="AN18" s="75" t="s">
        <v>3153</v>
      </c>
      <c r="AO18" s="223" t="s">
        <v>3131</v>
      </c>
      <c r="AP18" s="120" t="s">
        <v>3137</v>
      </c>
      <c r="AQ18" s="121" t="s">
        <v>3138</v>
      </c>
      <c r="AR18" s="72" t="s">
        <v>3139</v>
      </c>
      <c r="AS18" s="75"/>
    </row>
    <row r="19">
      <c r="A19" s="223" t="s">
        <v>3154</v>
      </c>
      <c r="B19" s="120" t="s">
        <v>3155</v>
      </c>
      <c r="C19" s="121" t="s">
        <v>3156</v>
      </c>
      <c r="D19" s="72" t="s">
        <v>3157</v>
      </c>
      <c r="E19" s="223" t="s">
        <v>3154</v>
      </c>
      <c r="F19" s="120" t="s">
        <v>3158</v>
      </c>
      <c r="G19" s="121" t="s">
        <v>3159</v>
      </c>
      <c r="H19" s="72" t="s">
        <v>3160</v>
      </c>
      <c r="I19" s="223" t="s">
        <v>3154</v>
      </c>
      <c r="J19" s="120" t="s">
        <v>3161</v>
      </c>
      <c r="K19" s="121" t="s">
        <v>3162</v>
      </c>
      <c r="L19" s="72" t="s">
        <v>3163</v>
      </c>
      <c r="M19" s="223" t="s">
        <v>3154</v>
      </c>
      <c r="N19" s="120" t="s">
        <v>3164</v>
      </c>
      <c r="O19" s="121" t="s">
        <v>3165</v>
      </c>
      <c r="P19" s="72" t="s">
        <v>3166</v>
      </c>
      <c r="Q19" s="223" t="s">
        <v>3154</v>
      </c>
      <c r="R19" s="120" t="s">
        <v>3167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3154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3154</v>
      </c>
      <c r="Z19" s="120"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23" t="s">
        <v>3154</v>
      </c>
      <c r="AD19" s="120" t="s">
        <v>3168</v>
      </c>
      <c r="AE19" s="225" t="s">
        <v>3169</v>
      </c>
      <c r="AF19" s="134" t="s">
        <v>3170</v>
      </c>
      <c r="AG19" s="223" t="s">
        <v>3154</v>
      </c>
      <c r="AH19" s="226" t="s">
        <v>3171</v>
      </c>
      <c r="AI19" s="115" t="s">
        <v>3172</v>
      </c>
      <c r="AJ19" s="116" t="s">
        <v>3173</v>
      </c>
      <c r="AK19" s="223" t="s">
        <v>3154</v>
      </c>
      <c r="AL19" s="109" t="s">
        <v>3174</v>
      </c>
      <c r="AM19" s="110" t="s">
        <v>3175</v>
      </c>
      <c r="AN19" s="75" t="s">
        <v>3176</v>
      </c>
      <c r="AO19" s="223" t="s">
        <v>3154</v>
      </c>
      <c r="AP19" s="120" t="s">
        <v>3161</v>
      </c>
      <c r="AQ19" s="121" t="s">
        <v>3162</v>
      </c>
      <c r="AR19" s="72" t="s">
        <v>3163</v>
      </c>
      <c r="AS19" s="75"/>
    </row>
    <row r="20">
      <c r="A20" s="223" t="s">
        <v>3177</v>
      </c>
      <c r="B20" s="120" t="s">
        <v>3178</v>
      </c>
      <c r="C20" s="121" t="s">
        <v>3179</v>
      </c>
      <c r="D20" s="72" t="s">
        <v>3180</v>
      </c>
      <c r="E20" s="223" t="s">
        <v>3177</v>
      </c>
      <c r="F20" s="120" t="s">
        <v>3181</v>
      </c>
      <c r="G20" s="121" t="s">
        <v>3182</v>
      </c>
      <c r="H20" s="72" t="s">
        <v>3183</v>
      </c>
      <c r="I20" s="223" t="s">
        <v>3177</v>
      </c>
      <c r="J20" s="120" t="s">
        <v>3184</v>
      </c>
      <c r="K20" s="121" t="s">
        <v>3185</v>
      </c>
      <c r="L20" s="72" t="s">
        <v>3186</v>
      </c>
      <c r="M20" s="223" t="s">
        <v>3177</v>
      </c>
      <c r="N20" s="120" t="s">
        <v>3187</v>
      </c>
      <c r="O20" s="121" t="s">
        <v>3188</v>
      </c>
      <c r="P20" s="72" t="s">
        <v>3189</v>
      </c>
      <c r="Q20" s="223" t="s">
        <v>3177</v>
      </c>
      <c r="R20" s="120" t="s">
        <v>3190</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3177</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3177</v>
      </c>
      <c r="Z20" s="120"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23" t="s">
        <v>3177</v>
      </c>
      <c r="AD20" s="120" t="s">
        <v>3191</v>
      </c>
      <c r="AE20" s="225" t="s">
        <v>3192</v>
      </c>
      <c r="AF20" s="134" t="s">
        <v>3193</v>
      </c>
      <c r="AG20" s="223" t="s">
        <v>3177</v>
      </c>
      <c r="AH20" s="226" t="s">
        <v>3194</v>
      </c>
      <c r="AI20" s="115" t="s">
        <v>3195</v>
      </c>
      <c r="AJ20" s="116" t="s">
        <v>3196</v>
      </c>
      <c r="AK20" s="223" t="s">
        <v>3177</v>
      </c>
      <c r="AL20" s="109" t="s">
        <v>3197</v>
      </c>
      <c r="AM20" s="110" t="s">
        <v>3198</v>
      </c>
      <c r="AN20" s="75" t="s">
        <v>3199</v>
      </c>
      <c r="AO20" s="223" t="s">
        <v>3177</v>
      </c>
      <c r="AP20" s="120" t="s">
        <v>3184</v>
      </c>
      <c r="AQ20" s="121" t="s">
        <v>3185</v>
      </c>
      <c r="AR20" s="72" t="s">
        <v>3186</v>
      </c>
      <c r="AS20" s="75"/>
    </row>
    <row r="21">
      <c r="A21" s="223" t="s">
        <v>3200</v>
      </c>
      <c r="B21" s="120" t="s">
        <v>3201</v>
      </c>
      <c r="C21" s="121" t="s">
        <v>3202</v>
      </c>
      <c r="D21" s="72" t="s">
        <v>3203</v>
      </c>
      <c r="E21" s="223" t="s">
        <v>3200</v>
      </c>
      <c r="F21" s="120" t="s">
        <v>3204</v>
      </c>
      <c r="G21" s="121" t="s">
        <v>3205</v>
      </c>
      <c r="H21" s="72" t="s">
        <v>3136</v>
      </c>
      <c r="I21" s="223" t="s">
        <v>3200</v>
      </c>
      <c r="J21" s="120" t="s">
        <v>3206</v>
      </c>
      <c r="K21" s="121" t="s">
        <v>3207</v>
      </c>
      <c r="L21" s="72" t="s">
        <v>3139</v>
      </c>
      <c r="M21" s="223" t="s">
        <v>3200</v>
      </c>
      <c r="N21" s="120" t="s">
        <v>3208</v>
      </c>
      <c r="O21" s="121" t="s">
        <v>3209</v>
      </c>
      <c r="P21" s="72" t="s">
        <v>3210</v>
      </c>
      <c r="Q21" s="223" t="s">
        <v>3200</v>
      </c>
      <c r="R21" s="120" t="s">
        <v>3211</v>
      </c>
      <c r="S21" s="121" t="s">
        <v>3212</v>
      </c>
      <c r="T21" s="75" t="str">
        <f>IFERROR(__xludf.DUMMYFUNCTION("GOOGLETRANSLATE(D21,""zh-tw"",""es-MX"")"),"Consigue el equipo ""Anillo de hueso del ahorcado"".")</f>
        <v>Consigue el equipo "Anillo de hueso del ahorcado".</v>
      </c>
      <c r="U21" s="223" t="s">
        <v>3200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3200</v>
      </c>
      <c r="Z21" s="120"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23" t="s">
        <v>3200</v>
      </c>
      <c r="AD21" s="120" t="s">
        <v>3213</v>
      </c>
      <c r="AE21" s="225" t="s">
        <v>3214</v>
      </c>
      <c r="AF21" s="134" t="s">
        <v>3215</v>
      </c>
      <c r="AG21" s="223" t="s">
        <v>3200</v>
      </c>
      <c r="AH21" s="226" t="s">
        <v>3216</v>
      </c>
      <c r="AI21" s="115" t="s">
        <v>3217</v>
      </c>
      <c r="AJ21" s="133" t="s">
        <v>3150</v>
      </c>
      <c r="AK21" s="223" t="s">
        <v>3200</v>
      </c>
      <c r="AL21" s="109" t="s">
        <v>3218</v>
      </c>
      <c r="AM21" s="110" t="s">
        <v>3219</v>
      </c>
      <c r="AN21" s="75" t="s">
        <v>3220</v>
      </c>
      <c r="AO21" s="223" t="s">
        <v>3200</v>
      </c>
      <c r="AP21" s="120" t="s">
        <v>3206</v>
      </c>
      <c r="AQ21" s="121" t="s">
        <v>3207</v>
      </c>
      <c r="AR21" s="72" t="s">
        <v>3139</v>
      </c>
      <c r="AS21" s="75"/>
    </row>
    <row r="22">
      <c r="A22" s="223" t="s">
        <v>3221</v>
      </c>
      <c r="B22" s="120" t="s">
        <v>3222</v>
      </c>
      <c r="C22" s="121" t="s">
        <v>3223</v>
      </c>
      <c r="D22" s="72" t="s">
        <v>3224</v>
      </c>
      <c r="E22" s="223" t="s">
        <v>3221</v>
      </c>
      <c r="F22" s="120" t="s">
        <v>3225</v>
      </c>
      <c r="G22" s="121" t="s">
        <v>3226</v>
      </c>
      <c r="H22" s="72" t="s">
        <v>3227</v>
      </c>
      <c r="I22" s="223" t="s">
        <v>3221</v>
      </c>
      <c r="J22" s="120" t="s">
        <v>3228</v>
      </c>
      <c r="K22" s="121" t="s">
        <v>3229</v>
      </c>
      <c r="L22" s="72" t="s">
        <v>3230</v>
      </c>
      <c r="M22" s="223" t="s">
        <v>3221</v>
      </c>
      <c r="N22" s="120" t="s">
        <v>3231</v>
      </c>
      <c r="O22" s="121" t="s">
        <v>3232</v>
      </c>
      <c r="P22" s="72" t="s">
        <v>3233</v>
      </c>
      <c r="Q22" s="223" t="s">
        <v>3221</v>
      </c>
      <c r="R22" s="120" t="s">
        <v>3234</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3221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3221</v>
      </c>
      <c r="Z22" s="120"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23" t="s">
        <v>3221</v>
      </c>
      <c r="AD22" s="120" t="s">
        <v>3235</v>
      </c>
      <c r="AE22" s="225" t="s">
        <v>3236</v>
      </c>
      <c r="AF22" s="134" t="s">
        <v>3237</v>
      </c>
      <c r="AG22" s="223" t="s">
        <v>3221</v>
      </c>
      <c r="AH22" s="226" t="s">
        <v>3238</v>
      </c>
      <c r="AI22" s="115" t="s">
        <v>3239</v>
      </c>
      <c r="AJ22" s="116" t="s">
        <v>3240</v>
      </c>
      <c r="AK22" s="223" t="s">
        <v>3221</v>
      </c>
      <c r="AL22" s="109" t="s">
        <v>3241</v>
      </c>
      <c r="AM22" s="110" t="s">
        <v>3242</v>
      </c>
      <c r="AN22" s="75" t="s">
        <v>3243</v>
      </c>
      <c r="AO22" s="223" t="s">
        <v>3221</v>
      </c>
      <c r="AP22" s="120" t="s">
        <v>3228</v>
      </c>
      <c r="AQ22" s="121" t="s">
        <v>3229</v>
      </c>
      <c r="AR22" s="72" t="s">
        <v>3230</v>
      </c>
      <c r="AS22" s="75"/>
    </row>
    <row r="23">
      <c r="A23" s="223" t="s">
        <v>3244</v>
      </c>
      <c r="B23" s="120" t="s">
        <v>3245</v>
      </c>
      <c r="C23" s="121" t="s">
        <v>3246</v>
      </c>
      <c r="D23" s="72" t="s">
        <v>3247</v>
      </c>
      <c r="E23" s="223" t="s">
        <v>3244</v>
      </c>
      <c r="F23" s="120" t="s">
        <v>3248</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3249</v>
      </c>
      <c r="I23" s="223" t="s">
        <v>3244</v>
      </c>
      <c r="J23" s="120" t="s">
        <v>3250</v>
      </c>
      <c r="K23" s="121" t="s">
        <v>3251</v>
      </c>
      <c r="L23" s="72" t="s">
        <v>3252</v>
      </c>
      <c r="M23" s="223" t="s">
        <v>3244</v>
      </c>
      <c r="N23" s="120" t="s">
        <v>3253</v>
      </c>
      <c r="O23" s="121" t="s">
        <v>3254</v>
      </c>
      <c r="P23" s="72" t="s">
        <v>3255</v>
      </c>
      <c r="Q23" s="223" t="s">
        <v>3244</v>
      </c>
      <c r="R23" s="120" t="s">
        <v>3256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3244</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3244</v>
      </c>
      <c r="Z23" s="120"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23" t="s">
        <v>3244</v>
      </c>
      <c r="AD23" s="120" t="s">
        <v>3257</v>
      </c>
      <c r="AE23" s="225" t="s">
        <v>3258</v>
      </c>
      <c r="AF23" s="134" t="s">
        <v>3259</v>
      </c>
      <c r="AG23" s="223" t="s">
        <v>3244</v>
      </c>
      <c r="AH23" s="226" t="s">
        <v>3260</v>
      </c>
      <c r="AI23" s="115" t="s">
        <v>3261</v>
      </c>
      <c r="AJ23" s="133" t="s">
        <v>3262</v>
      </c>
      <c r="AK23" s="223" t="s">
        <v>3244</v>
      </c>
      <c r="AL23" s="109" t="s">
        <v>3263</v>
      </c>
      <c r="AM23" s="110" t="s">
        <v>3264</v>
      </c>
      <c r="AN23" s="75" t="s">
        <v>3265</v>
      </c>
      <c r="AO23" s="223" t="s">
        <v>3244</v>
      </c>
      <c r="AP23" s="120" t="s">
        <v>3250</v>
      </c>
      <c r="AQ23" s="121" t="s">
        <v>3251</v>
      </c>
      <c r="AR23" s="72" t="s">
        <v>3252</v>
      </c>
      <c r="AS23" s="75"/>
    </row>
    <row r="24">
      <c r="A24" s="223" t="s">
        <v>3266</v>
      </c>
      <c r="B24" s="120" t="s">
        <v>3267</v>
      </c>
      <c r="C24" s="121" t="s">
        <v>3268</v>
      </c>
      <c r="D24" s="72" t="s">
        <v>3269</v>
      </c>
      <c r="E24" s="223" t="s">
        <v>3266</v>
      </c>
      <c r="F24" s="120" t="str">
        <f>IFERROR(__xludf.DUMMYFUNCTION("GOOGLETRANSLATE(B24,""zh-tw"",""ja"")"),"穴に落ちる")</f>
        <v>穴に落ちる</v>
      </c>
      <c r="G24" s="121" t="s">
        <v>3270</v>
      </c>
      <c r="H24" s="72" t="s">
        <v>3271</v>
      </c>
      <c r="I24" s="223" t="s">
        <v>3266</v>
      </c>
      <c r="J24" s="120" t="s">
        <v>3272</v>
      </c>
      <c r="K24" s="121" t="s">
        <v>3273</v>
      </c>
      <c r="L24" s="72" t="s">
        <v>3274</v>
      </c>
      <c r="M24" s="223" t="s">
        <v>3266</v>
      </c>
      <c r="N24" s="120" t="s">
        <v>3275</v>
      </c>
      <c r="O24" s="121" t="s">
        <v>3276</v>
      </c>
      <c r="P24" s="72" t="s">
        <v>3277</v>
      </c>
      <c r="Q24" s="223" t="s">
        <v>3266</v>
      </c>
      <c r="R24" s="109" t="s">
        <v>3278</v>
      </c>
      <c r="S24" s="121" t="s">
        <v>3279</v>
      </c>
      <c r="T24" s="75" t="str">
        <f>IFERROR(__xludf.DUMMYFUNCTION("GOOGLETRANSLATE(D24,""zh-tw"",""es-MX"")"),"Lo que vi: Caí en una cueva.")</f>
        <v>Lo que vi: Caí en una cueva.</v>
      </c>
      <c r="U24" s="223" t="s">
        <v>3266</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3266</v>
      </c>
      <c r="Z24" s="120"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23" t="s">
        <v>3266</v>
      </c>
      <c r="AD24" s="120" t="s">
        <v>3280</v>
      </c>
      <c r="AE24" s="225" t="s">
        <v>3281</v>
      </c>
      <c r="AF24" s="134" t="s">
        <v>3282</v>
      </c>
      <c r="AG24" s="223" t="s">
        <v>3266</v>
      </c>
      <c r="AH24" s="226" t="s">
        <v>3283</v>
      </c>
      <c r="AI24" s="115" t="s">
        <v>3284</v>
      </c>
      <c r="AJ24" s="116" t="s">
        <v>3285</v>
      </c>
      <c r="AK24" s="223" t="s">
        <v>3266</v>
      </c>
      <c r="AL24" s="109" t="s">
        <v>3286</v>
      </c>
      <c r="AM24" s="110" t="s">
        <v>3287</v>
      </c>
      <c r="AN24" s="75" t="s">
        <v>3288</v>
      </c>
      <c r="AO24" s="223" t="s">
        <v>3266</v>
      </c>
      <c r="AP24" s="120" t="s">
        <v>3272</v>
      </c>
      <c r="AQ24" s="121" t="s">
        <v>3273</v>
      </c>
      <c r="AR24" s="72" t="s">
        <v>3274</v>
      </c>
      <c r="AS24" s="75"/>
    </row>
    <row r="25">
      <c r="A25" s="223" t="s">
        <v>3289</v>
      </c>
      <c r="B25" s="120" t="s">
        <v>3290</v>
      </c>
      <c r="C25" s="121" t="s">
        <v>3291</v>
      </c>
      <c r="D25" s="72" t="s">
        <v>3292</v>
      </c>
      <c r="E25" s="223" t="s">
        <v>3289</v>
      </c>
      <c r="F25" s="120" t="s">
        <v>3293</v>
      </c>
      <c r="G25" s="121" t="s">
        <v>3294</v>
      </c>
      <c r="H25" s="72" t="s">
        <v>3295</v>
      </c>
      <c r="I25" s="223" t="s">
        <v>3289</v>
      </c>
      <c r="J25" s="120" t="s">
        <v>3296</v>
      </c>
      <c r="K25" s="121" t="s">
        <v>3297</v>
      </c>
      <c r="L25" s="72" t="s">
        <v>3298</v>
      </c>
      <c r="M25" s="223" t="s">
        <v>3289</v>
      </c>
      <c r="N25" s="120" t="s">
        <v>3299</v>
      </c>
      <c r="O25" s="121" t="s">
        <v>3300</v>
      </c>
      <c r="P25" s="72" t="s">
        <v>3301</v>
      </c>
      <c r="Q25" s="223" t="s">
        <v>3289</v>
      </c>
      <c r="R25" s="109" t="s">
        <v>3302</v>
      </c>
      <c r="S25" s="121" t="s">
        <v>3303</v>
      </c>
      <c r="T25" s="75" t="str">
        <f>IFERROR(__xludf.DUMMYFUNCTION("GOOGLETRANSLATE(D25,""zh-tw"",""es-MX"")"),"Objeto obtenido: Gel mágico x10 (Refresca en días lluviosos)")</f>
        <v>Objeto obtenido: Gel mágico x10 (Refresca en días lluviosos)</v>
      </c>
      <c r="U25" s="223" t="s">
        <v>3289</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3289</v>
      </c>
      <c r="Z25" s="120"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23" t="s">
        <v>3289</v>
      </c>
      <c r="AD25" s="120" t="s">
        <v>3304</v>
      </c>
      <c r="AE25" s="225" t="s">
        <v>3305</v>
      </c>
      <c r="AF25" s="134" t="s">
        <v>3306</v>
      </c>
      <c r="AG25" s="223" t="s">
        <v>3289</v>
      </c>
      <c r="AH25" s="226" t="s">
        <v>3307</v>
      </c>
      <c r="AI25" s="115" t="s">
        <v>3308</v>
      </c>
      <c r="AJ25" s="116" t="s">
        <v>3309</v>
      </c>
      <c r="AK25" s="223" t="s">
        <v>3289</v>
      </c>
      <c r="AL25" s="109" t="s">
        <v>3310</v>
      </c>
      <c r="AM25" s="110" t="s">
        <v>3311</v>
      </c>
      <c r="AN25" s="75" t="s">
        <v>3312</v>
      </c>
      <c r="AO25" s="223" t="s">
        <v>3289</v>
      </c>
      <c r="AP25" s="120" t="s">
        <v>3296</v>
      </c>
      <c r="AQ25" s="121" t="s">
        <v>3297</v>
      </c>
      <c r="AR25" s="72" t="s">
        <v>3298</v>
      </c>
      <c r="AS25" s="75"/>
    </row>
    <row r="26">
      <c r="A26" s="223" t="s">
        <v>3313</v>
      </c>
      <c r="B26" s="120" t="s">
        <v>3314</v>
      </c>
      <c r="C26" s="121" t="s">
        <v>3315</v>
      </c>
      <c r="D26" s="72" t="s">
        <v>3316</v>
      </c>
      <c r="E26" s="223" t="s">
        <v>3313</v>
      </c>
      <c r="F26" s="106" t="s">
        <v>3317</v>
      </c>
      <c r="G26" s="107" t="s">
        <v>3318</v>
      </c>
      <c r="H26" s="108" t="s">
        <v>3319</v>
      </c>
      <c r="I26" s="223" t="s">
        <v>3313</v>
      </c>
      <c r="J26" s="106" t="s">
        <v>3320</v>
      </c>
      <c r="K26" s="107" t="s">
        <v>3321</v>
      </c>
      <c r="L26" s="72" t="s">
        <v>3322</v>
      </c>
      <c r="M26" s="223" t="s">
        <v>3313</v>
      </c>
      <c r="N26" s="120" t="s">
        <v>3323</v>
      </c>
      <c r="O26" s="121" t="s">
        <v>3324</v>
      </c>
      <c r="P26" s="72" t="s">
        <v>3325</v>
      </c>
      <c r="Q26" s="223" t="s">
        <v>3313</v>
      </c>
      <c r="R26" s="109" t="s">
        <v>3326</v>
      </c>
      <c r="S26" s="107" t="s">
        <v>3327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3313</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3313</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23" t="s">
        <v>3313</v>
      </c>
      <c r="AD26" s="106" t="s">
        <v>3328</v>
      </c>
      <c r="AE26" s="107" t="s">
        <v>3329</v>
      </c>
      <c r="AF26" s="108" t="s">
        <v>3330</v>
      </c>
      <c r="AG26" s="223" t="s">
        <v>3313</v>
      </c>
      <c r="AH26" s="226" t="s">
        <v>3331</v>
      </c>
      <c r="AI26" s="115" t="s">
        <v>3332</v>
      </c>
      <c r="AJ26" s="116" t="s">
        <v>3333</v>
      </c>
      <c r="AK26" s="223" t="s">
        <v>3313</v>
      </c>
      <c r="AL26" s="109" t="s">
        <v>3334</v>
      </c>
      <c r="AM26" s="110" t="s">
        <v>3335</v>
      </c>
      <c r="AN26" s="75" t="s">
        <v>3336</v>
      </c>
      <c r="AO26" s="223" t="s">
        <v>3313</v>
      </c>
      <c r="AP26" s="120" t="s">
        <v>3320</v>
      </c>
      <c r="AQ26" s="121" t="s">
        <v>3321</v>
      </c>
      <c r="AR26" s="72" t="s">
        <v>3322</v>
      </c>
      <c r="AS26" s="75"/>
    </row>
    <row r="27">
      <c r="A27" s="223" t="s">
        <v>3337</v>
      </c>
      <c r="B27" s="120" t="s">
        <v>3338</v>
      </c>
      <c r="C27" s="121" t="s">
        <v>3339</v>
      </c>
      <c r="D27" s="72" t="s">
        <v>3340</v>
      </c>
      <c r="E27" s="223" t="s">
        <v>3337</v>
      </c>
      <c r="F27" s="120" t="s">
        <v>3341</v>
      </c>
      <c r="G27" s="121" t="s">
        <v>3342</v>
      </c>
      <c r="H27" s="72" t="s">
        <v>3114</v>
      </c>
      <c r="I27" s="223" t="s">
        <v>3337</v>
      </c>
      <c r="J27" s="120" t="s">
        <v>3343</v>
      </c>
      <c r="K27" s="121" t="s">
        <v>3344</v>
      </c>
      <c r="L27" s="72" t="s">
        <v>3345</v>
      </c>
      <c r="M27" s="223" t="s">
        <v>3337</v>
      </c>
      <c r="N27" s="120" t="s">
        <v>3346</v>
      </c>
      <c r="O27" s="121" t="s">
        <v>3347</v>
      </c>
      <c r="P27" s="72" t="s">
        <v>3348</v>
      </c>
      <c r="Q27" s="223" t="s">
        <v>3337</v>
      </c>
      <c r="R27" s="109" t="s">
        <v>3349</v>
      </c>
      <c r="S27" s="121" t="s">
        <v>3350</v>
      </c>
      <c r="T27" s="75" t="str">
        <f>IFERROR(__xludf.DUMMYFUNCTION("GOOGLETRANSLATE(D27,""zh-tw"",""es-MX"")"),"Obtener arma - Espina de pescado apestosa")</f>
        <v>Obtener arma - Espina de pescado apestosa</v>
      </c>
      <c r="U27" s="223" t="s">
        <v>3337</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3337</v>
      </c>
      <c r="Z27" s="120"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23" t="s">
        <v>3337</v>
      </c>
      <c r="AD27" s="120" t="s">
        <v>3351</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3352</v>
      </c>
      <c r="AG27" s="223" t="s">
        <v>3337</v>
      </c>
      <c r="AH27" s="226" t="s">
        <v>3353</v>
      </c>
      <c r="AI27" s="115" t="s">
        <v>3354</v>
      </c>
      <c r="AJ27" s="116" t="s">
        <v>3355</v>
      </c>
      <c r="AK27" s="223" t="s">
        <v>3337</v>
      </c>
      <c r="AL27" s="109" t="s">
        <v>3356</v>
      </c>
      <c r="AM27" s="110" t="s">
        <v>3357</v>
      </c>
      <c r="AN27" s="75" t="s">
        <v>3358</v>
      </c>
      <c r="AO27" s="223" t="s">
        <v>3337</v>
      </c>
      <c r="AP27" s="120" t="s">
        <v>3343</v>
      </c>
      <c r="AQ27" s="121" t="s">
        <v>3344</v>
      </c>
      <c r="AR27" s="72" t="s">
        <v>3345</v>
      </c>
      <c r="AS27" s="75"/>
    </row>
    <row r="28">
      <c r="A28" s="223" t="s">
        <v>3359</v>
      </c>
      <c r="B28" s="120" t="s">
        <v>3360</v>
      </c>
      <c r="C28" s="121" t="s">
        <v>3361</v>
      </c>
      <c r="D28" s="72" t="s">
        <v>3362</v>
      </c>
      <c r="E28" s="223" t="s">
        <v>3359</v>
      </c>
      <c r="F28" s="120" t="s">
        <v>3363</v>
      </c>
      <c r="G28" s="121" t="s">
        <v>3364</v>
      </c>
      <c r="H28" s="72" t="s">
        <v>3114</v>
      </c>
      <c r="I28" s="223" t="s">
        <v>3359</v>
      </c>
      <c r="J28" s="120" t="s">
        <v>3365</v>
      </c>
      <c r="K28" s="121" t="s">
        <v>3366</v>
      </c>
      <c r="L28" s="72" t="s">
        <v>3367</v>
      </c>
      <c r="M28" s="223" t="s">
        <v>3359</v>
      </c>
      <c r="N28" s="120" t="s">
        <v>3368</v>
      </c>
      <c r="O28" s="121" t="s">
        <v>3369</v>
      </c>
      <c r="P28" s="72" t="s">
        <v>3370</v>
      </c>
      <c r="Q28" s="223" t="s">
        <v>3359</v>
      </c>
      <c r="R28" s="109" t="s">
        <v>3371</v>
      </c>
      <c r="S28" s="121" t="s">
        <v>3372</v>
      </c>
      <c r="T28" s="75" t="str">
        <f>IFERROR(__xludf.DUMMYFUNCTION("GOOGLETRANSLATE(D28,""zh-tw"",""es-MX"")"),"Obtener arma - Xuejian")</f>
        <v>Obtener arma - Xuejian</v>
      </c>
      <c r="U28" s="223" t="s">
        <v>3359</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3359</v>
      </c>
      <c r="Z28" s="120"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23" t="s">
        <v>3359</v>
      </c>
      <c r="AD28" s="120" t="s">
        <v>3373</v>
      </c>
      <c r="AE28" s="224" t="str">
        <f>IFERROR(__xludf.DUMMYFUNCTION("GOOGLETRANSLATE(C28,""zh-tw"",""DE"")"),"Vergessenes Grab-1, eine Schatztruhe in der Nähe des Eis in der Mitte.")</f>
        <v>Vergessenes Grab-1, eine Schatztruhe in der Nähe des Eis in der Mitte.</v>
      </c>
      <c r="AF28" s="134" t="s">
        <v>3374</v>
      </c>
      <c r="AG28" s="223" t="s">
        <v>3359</v>
      </c>
      <c r="AH28" s="226" t="s">
        <v>3375</v>
      </c>
      <c r="AI28" s="115" t="s">
        <v>3376</v>
      </c>
      <c r="AJ28" s="116" t="s">
        <v>3377</v>
      </c>
      <c r="AK28" s="223" t="s">
        <v>3359</v>
      </c>
      <c r="AL28" s="109" t="s">
        <v>3378</v>
      </c>
      <c r="AM28" s="110" t="s">
        <v>3379</v>
      </c>
      <c r="AN28" s="75" t="s">
        <v>3380</v>
      </c>
      <c r="AO28" s="223" t="s">
        <v>3359</v>
      </c>
      <c r="AP28" s="120" t="s">
        <v>3365</v>
      </c>
      <c r="AQ28" s="121" t="s">
        <v>3366</v>
      </c>
      <c r="AR28" s="72" t="s">
        <v>3367</v>
      </c>
      <c r="AS28" s="75"/>
    </row>
    <row r="29">
      <c r="A29" s="223" t="s">
        <v>3381</v>
      </c>
      <c r="B29" s="120" t="s">
        <v>3382</v>
      </c>
      <c r="C29" s="121" t="s">
        <v>3383</v>
      </c>
      <c r="D29" s="72" t="s">
        <v>3384</v>
      </c>
      <c r="E29" s="223" t="s">
        <v>3381</v>
      </c>
      <c r="F29" s="120" t="str">
        <f>IFERROR(__xludf.DUMMYFUNCTION("GOOGLETRANSLATE(B29,""zh-tw"",""ja"")"),"ダウンロードコンテンツ")</f>
        <v>ダウンロードコンテンツ</v>
      </c>
      <c r="G29" s="121" t="s">
        <v>3385</v>
      </c>
      <c r="H29" s="72" t="s">
        <v>3386</v>
      </c>
      <c r="I29" s="223" t="s">
        <v>3381</v>
      </c>
      <c r="J29" s="120" t="s">
        <v>3382</v>
      </c>
      <c r="K29" s="121" t="s">
        <v>3387</v>
      </c>
      <c r="L29" s="72" t="s">
        <v>3388</v>
      </c>
      <c r="M29" s="223" t="s">
        <v>3381</v>
      </c>
      <c r="N29" s="120" t="s">
        <v>3382</v>
      </c>
      <c r="O29" s="121" t="s">
        <v>3389</v>
      </c>
      <c r="P29" s="72" t="s">
        <v>3384</v>
      </c>
      <c r="Q29" s="223" t="s">
        <v>3381</v>
      </c>
      <c r="R29" s="109" t="s">
        <v>3390</v>
      </c>
      <c r="S29" s="121" t="s">
        <v>3391</v>
      </c>
      <c r="T29" s="75" t="str">
        <f>IFERROR(__xludf.DUMMYFUNCTION("GOOGLETRANSLATE(D29,""zh-tw"",""es-MX"")"),"Almas de las Sombras - DLC")</f>
        <v>Almas de las Sombras - DLC</v>
      </c>
      <c r="U29" s="223" t="s">
        <v>3381</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3381</v>
      </c>
      <c r="Z29" s="120"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23" t="s">
        <v>3381</v>
      </c>
      <c r="AD29" s="120" t="s">
        <v>3382</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3392</v>
      </c>
      <c r="AG29" s="223" t="s">
        <v>3381</v>
      </c>
      <c r="AH29" s="226" t="s">
        <v>3382</v>
      </c>
      <c r="AI29" s="115" t="s">
        <v>3393</v>
      </c>
      <c r="AJ29" s="116" t="s">
        <v>3394</v>
      </c>
      <c r="AK29" s="223" t="s">
        <v>3381</v>
      </c>
      <c r="AL29" s="109" t="s">
        <v>3382</v>
      </c>
      <c r="AM29" s="110" t="s">
        <v>3395</v>
      </c>
      <c r="AN29" s="75" t="s">
        <v>3396</v>
      </c>
      <c r="AO29" s="223" t="s">
        <v>3381</v>
      </c>
      <c r="AP29" s="120" t="s">
        <v>3382</v>
      </c>
      <c r="AQ29" s="121" t="s">
        <v>3387</v>
      </c>
      <c r="AR29" s="72" t="s">
        <v>3397</v>
      </c>
      <c r="AS29" s="75"/>
    </row>
    <row r="30">
      <c r="A30" s="223" t="s">
        <v>3398</v>
      </c>
      <c r="B30" s="120" t="s">
        <v>3399</v>
      </c>
      <c r="C30" s="121" t="s">
        <v>3400</v>
      </c>
      <c r="D30" s="72" t="s">
        <v>3401</v>
      </c>
      <c r="E30" s="223" t="s">
        <v>3398</v>
      </c>
      <c r="F30" s="120" t="s">
        <v>3402</v>
      </c>
      <c r="G30" s="121" t="s">
        <v>3403</v>
      </c>
      <c r="H30" s="72" t="s">
        <v>3404</v>
      </c>
      <c r="I30" s="223" t="s">
        <v>3398</v>
      </c>
      <c r="J30" s="120" t="s">
        <v>3405</v>
      </c>
      <c r="K30" s="121" t="s">
        <v>3406</v>
      </c>
      <c r="L30" s="72" t="s">
        <v>3407</v>
      </c>
      <c r="M30" s="223" t="s">
        <v>3398</v>
      </c>
      <c r="N30" s="120" t="s">
        <v>3408</v>
      </c>
      <c r="O30" s="121" t="s">
        <v>3409</v>
      </c>
      <c r="P30" s="72" t="s">
        <v>3410</v>
      </c>
      <c r="Q30" s="223" t="s">
        <v>3398</v>
      </c>
      <c r="R30" s="120" t="s">
        <v>3411</v>
      </c>
      <c r="S30" s="121" t="s">
        <v>3412</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3398</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3398</v>
      </c>
      <c r="Z30" s="120"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23" t="s">
        <v>3398</v>
      </c>
      <c r="AD30" s="120" t="s">
        <v>3413</v>
      </c>
      <c r="AE30" s="225" t="s">
        <v>3414</v>
      </c>
      <c r="AF30" s="134" t="s">
        <v>3415</v>
      </c>
      <c r="AG30" s="223" t="s">
        <v>3398</v>
      </c>
      <c r="AH30" s="226" t="s">
        <v>3416</v>
      </c>
      <c r="AI30" s="115" t="s">
        <v>3417</v>
      </c>
      <c r="AJ30" s="116" t="s">
        <v>3418</v>
      </c>
      <c r="AK30" s="223" t="s">
        <v>3398</v>
      </c>
      <c r="AL30" s="109" t="s">
        <v>3419</v>
      </c>
      <c r="AM30" s="110" t="s">
        <v>3420</v>
      </c>
      <c r="AN30" s="75" t="s">
        <v>3421</v>
      </c>
      <c r="AO30" s="223" t="s">
        <v>3398</v>
      </c>
      <c r="AP30" s="120" t="s">
        <v>3405</v>
      </c>
      <c r="AQ30" s="121" t="s">
        <v>3406</v>
      </c>
      <c r="AR30" s="72" t="s">
        <v>3407</v>
      </c>
      <c r="AS30" s="75"/>
    </row>
    <row r="31">
      <c r="A31" s="223" t="s">
        <v>3422</v>
      </c>
      <c r="B31" s="120" t="s">
        <v>3423</v>
      </c>
      <c r="C31" s="121" t="s">
        <v>3424</v>
      </c>
      <c r="D31" s="72" t="s">
        <v>3425</v>
      </c>
      <c r="E31" s="223" t="s">
        <v>3422</v>
      </c>
      <c r="F31" s="120" t="s">
        <v>3426</v>
      </c>
      <c r="G31" s="121" t="s">
        <v>3427</v>
      </c>
      <c r="H31" s="72" t="s">
        <v>3428</v>
      </c>
      <c r="I31" s="223" t="s">
        <v>3422</v>
      </c>
      <c r="J31" s="120" t="s">
        <v>3429</v>
      </c>
      <c r="K31" s="121" t="s">
        <v>3430</v>
      </c>
      <c r="L31" s="72" t="s">
        <v>3431</v>
      </c>
      <c r="M31" s="223" t="s">
        <v>3422</v>
      </c>
      <c r="N31" s="120" t="s">
        <v>3432</v>
      </c>
      <c r="O31" s="121" t="s">
        <v>3433</v>
      </c>
      <c r="P31" s="72" t="s">
        <v>3434</v>
      </c>
      <c r="Q31" s="223" t="s">
        <v>3422</v>
      </c>
      <c r="R31" s="109" t="s">
        <v>3435</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3422</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3422</v>
      </c>
      <c r="Z31" s="120"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23" t="s">
        <v>3422</v>
      </c>
      <c r="AD31" s="120" t="s">
        <v>3436</v>
      </c>
      <c r="AE31" s="225" t="s">
        <v>3437</v>
      </c>
      <c r="AF31" s="134" t="s">
        <v>3438</v>
      </c>
      <c r="AG31" s="223" t="s">
        <v>3422</v>
      </c>
      <c r="AH31" s="226" t="s">
        <v>3439</v>
      </c>
      <c r="AI31" s="115" t="s">
        <v>3440</v>
      </c>
      <c r="AJ31" s="116" t="s">
        <v>3441</v>
      </c>
      <c r="AK31" s="223" t="s">
        <v>3422</v>
      </c>
      <c r="AL31" s="109" t="s">
        <v>3442</v>
      </c>
      <c r="AM31" s="110" t="s">
        <v>3443</v>
      </c>
      <c r="AN31" s="75" t="s">
        <v>3444</v>
      </c>
      <c r="AO31" s="223" t="s">
        <v>3422</v>
      </c>
      <c r="AP31" s="120" t="s">
        <v>3429</v>
      </c>
      <c r="AQ31" s="121" t="s">
        <v>3430</v>
      </c>
      <c r="AR31" s="72" t="s">
        <v>3431</v>
      </c>
      <c r="AS31" s="75"/>
    </row>
    <row r="32">
      <c r="A32" s="223" t="s">
        <v>3445</v>
      </c>
      <c r="B32" s="120" t="s">
        <v>3446</v>
      </c>
      <c r="C32" s="121" t="s">
        <v>3447</v>
      </c>
      <c r="D32" s="72" t="s">
        <v>3448</v>
      </c>
      <c r="E32" s="223" t="s">
        <v>3445</v>
      </c>
      <c r="F32" s="120" t="s">
        <v>3449</v>
      </c>
      <c r="G32" s="121" t="s">
        <v>3450</v>
      </c>
      <c r="H32" s="72" t="s">
        <v>3451</v>
      </c>
      <c r="I32" s="223" t="s">
        <v>3445</v>
      </c>
      <c r="J32" s="120" t="s">
        <v>3452</v>
      </c>
      <c r="K32" s="121" t="s">
        <v>3453</v>
      </c>
      <c r="L32" s="72" t="s">
        <v>3454</v>
      </c>
      <c r="M32" s="223" t="s">
        <v>3445</v>
      </c>
      <c r="N32" s="120" t="s">
        <v>3455</v>
      </c>
      <c r="O32" s="121" t="s">
        <v>3456</v>
      </c>
      <c r="P32" s="72" t="s">
        <v>3457</v>
      </c>
      <c r="Q32" s="223" t="s">
        <v>3445</v>
      </c>
      <c r="R32" s="120" t="s">
        <v>3458</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3445</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3445</v>
      </c>
      <c r="Z32" s="120"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23" t="s">
        <v>3445</v>
      </c>
      <c r="AD32" s="120" t="s">
        <v>3459</v>
      </c>
      <c r="AE32" s="225" t="s">
        <v>3460</v>
      </c>
      <c r="AF32" s="134" t="s">
        <v>3461</v>
      </c>
      <c r="AG32" s="223" t="s">
        <v>3445</v>
      </c>
      <c r="AH32" s="226" t="s">
        <v>3462</v>
      </c>
      <c r="AI32" s="115" t="s">
        <v>3463</v>
      </c>
      <c r="AJ32" s="116" t="s">
        <v>3464</v>
      </c>
      <c r="AK32" s="223" t="s">
        <v>3445</v>
      </c>
      <c r="AL32" s="109" t="s">
        <v>3465</v>
      </c>
      <c r="AM32" s="110" t="s">
        <v>3466</v>
      </c>
      <c r="AN32" s="75" t="s">
        <v>3467</v>
      </c>
      <c r="AO32" s="223" t="s">
        <v>3445</v>
      </c>
      <c r="AP32" s="120" t="s">
        <v>3452</v>
      </c>
      <c r="AQ32" s="121" t="s">
        <v>3453</v>
      </c>
      <c r="AR32" s="72" t="s">
        <v>3454</v>
      </c>
      <c r="AS32" s="75"/>
    </row>
    <row r="33">
      <c r="A33" s="223" t="s">
        <v>3468</v>
      </c>
      <c r="B33" s="120" t="s">
        <v>3469</v>
      </c>
      <c r="C33" s="121" t="s">
        <v>3470</v>
      </c>
      <c r="D33" s="72" t="s">
        <v>3471</v>
      </c>
      <c r="E33" s="223" t="s">
        <v>3468</v>
      </c>
      <c r="F33" s="120" t="s">
        <v>3472</v>
      </c>
      <c r="G33" s="121" t="s">
        <v>3473</v>
      </c>
      <c r="H33" s="72" t="s">
        <v>3474</v>
      </c>
      <c r="I33" s="223" t="s">
        <v>3468</v>
      </c>
      <c r="J33" s="120" t="s">
        <v>3475</v>
      </c>
      <c r="K33" s="121" t="s">
        <v>3476</v>
      </c>
      <c r="L33" s="72" t="s">
        <v>3477</v>
      </c>
      <c r="M33" s="223" t="s">
        <v>3468</v>
      </c>
      <c r="N33" s="120" t="s">
        <v>3478</v>
      </c>
      <c r="O33" s="121" t="s">
        <v>3479</v>
      </c>
      <c r="P33" s="72" t="s">
        <v>3480</v>
      </c>
      <c r="Q33" s="223" t="s">
        <v>3468</v>
      </c>
      <c r="R33" s="120" t="s">
        <v>3481</v>
      </c>
      <c r="S33" s="121" t="s">
        <v>3482</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3468</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3468</v>
      </c>
      <c r="Z33" s="120"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23" t="s">
        <v>3468</v>
      </c>
      <c r="AD33" s="120" t="s">
        <v>3483</v>
      </c>
      <c r="AE33" s="225" t="s">
        <v>3484</v>
      </c>
      <c r="AF33" s="134" t="s">
        <v>3485</v>
      </c>
      <c r="AG33" s="223" t="s">
        <v>3468</v>
      </c>
      <c r="AH33" s="226" t="s">
        <v>3486</v>
      </c>
      <c r="AI33" s="115" t="s">
        <v>3487</v>
      </c>
      <c r="AJ33" s="116" t="s">
        <v>3488</v>
      </c>
      <c r="AK33" s="223" t="s">
        <v>3468</v>
      </c>
      <c r="AL33" s="109" t="s">
        <v>3489</v>
      </c>
      <c r="AM33" s="110" t="s">
        <v>3490</v>
      </c>
      <c r="AN33" s="75" t="s">
        <v>3491</v>
      </c>
      <c r="AO33" s="223" t="s">
        <v>3468</v>
      </c>
      <c r="AP33" s="120" t="s">
        <v>3475</v>
      </c>
      <c r="AQ33" s="121" t="s">
        <v>3476</v>
      </c>
      <c r="AR33" s="72" t="s">
        <v>3477</v>
      </c>
      <c r="AS33" s="75"/>
    </row>
    <row r="34">
      <c r="A34" s="223" t="s">
        <v>3492</v>
      </c>
      <c r="B34" s="120" t="s">
        <v>3493</v>
      </c>
      <c r="C34" s="121" t="s">
        <v>3494</v>
      </c>
      <c r="D34" s="72" t="s">
        <v>3495</v>
      </c>
      <c r="E34" s="223" t="s">
        <v>3492</v>
      </c>
      <c r="F34" s="120" t="s">
        <v>3496</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3497</v>
      </c>
      <c r="I34" s="223" t="s">
        <v>3492</v>
      </c>
      <c r="J34" s="120" t="s">
        <v>3498</v>
      </c>
      <c r="K34" s="121" t="s">
        <v>3499</v>
      </c>
      <c r="L34" s="72" t="s">
        <v>3500</v>
      </c>
      <c r="M34" s="223" t="s">
        <v>3492</v>
      </c>
      <c r="N34" s="120" t="s">
        <v>3501</v>
      </c>
      <c r="O34" s="121" t="s">
        <v>3502</v>
      </c>
      <c r="P34" s="72" t="s">
        <v>3503</v>
      </c>
      <c r="Q34" s="223" t="s">
        <v>3492</v>
      </c>
      <c r="R34" s="120" t="s">
        <v>3504</v>
      </c>
      <c r="S34" s="121" t="s">
        <v>3505</v>
      </c>
      <c r="T34" s="75" t="str">
        <f>IFERROR(__xludf.DUMMYFUNCTION("GOOGLETRANSLATE(D34,""zh-tw"",""es-MX"")"),"Consigue un ventilador eléctrico. Historia paralela del calor.")</f>
        <v>Consigue un ventilador eléctrico. Historia paralela del calor.</v>
      </c>
      <c r="U34" s="223" t="s">
        <v>3492</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3492</v>
      </c>
      <c r="Z34" s="120"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23" t="s">
        <v>3492</v>
      </c>
      <c r="AD34" s="120" t="s">
        <v>3506</v>
      </c>
      <c r="AE34" s="225" t="s">
        <v>3507</v>
      </c>
      <c r="AF34" s="134" t="s">
        <v>3508</v>
      </c>
      <c r="AG34" s="223" t="s">
        <v>3492</v>
      </c>
      <c r="AH34" s="226" t="s">
        <v>3509</v>
      </c>
      <c r="AI34" s="115" t="s">
        <v>3510</v>
      </c>
      <c r="AJ34" s="116" t="s">
        <v>3511</v>
      </c>
      <c r="AK34" s="223" t="s">
        <v>3492</v>
      </c>
      <c r="AL34" s="109" t="s">
        <v>3512</v>
      </c>
      <c r="AM34" s="110" t="s">
        <v>3513</v>
      </c>
      <c r="AN34" s="75" t="s">
        <v>3514</v>
      </c>
      <c r="AO34" s="223" t="s">
        <v>3492</v>
      </c>
      <c r="AP34" s="120" t="s">
        <v>3498</v>
      </c>
      <c r="AQ34" s="121" t="s">
        <v>3499</v>
      </c>
      <c r="AR34" s="72" t="s">
        <v>3500</v>
      </c>
      <c r="AS34" s="75"/>
    </row>
    <row r="35">
      <c r="A35" s="223" t="s">
        <v>3515</v>
      </c>
      <c r="B35" s="109" t="s">
        <v>3516</v>
      </c>
      <c r="C35" s="110" t="s">
        <v>3517</v>
      </c>
      <c r="D35" s="75" t="s">
        <v>3518</v>
      </c>
      <c r="E35" s="223" t="s">
        <v>3515</v>
      </c>
      <c r="F35" s="109" t="s">
        <v>3519</v>
      </c>
      <c r="G35" s="110" t="s">
        <v>3520</v>
      </c>
      <c r="H35" s="75" t="s">
        <v>3521</v>
      </c>
      <c r="I35" s="223" t="s">
        <v>3515</v>
      </c>
      <c r="J35" s="109" t="s">
        <v>3522</v>
      </c>
      <c r="K35" s="110" t="s">
        <v>3523</v>
      </c>
      <c r="L35" s="75" t="s">
        <v>3524</v>
      </c>
      <c r="M35" s="223" t="s">
        <v>3515</v>
      </c>
      <c r="N35" s="109" t="s">
        <v>3516</v>
      </c>
      <c r="O35" s="110" t="s">
        <v>3525</v>
      </c>
      <c r="P35" s="72" t="s">
        <v>3526</v>
      </c>
      <c r="Q35" s="223" t="s">
        <v>3515</v>
      </c>
      <c r="R35" s="109" t="s">
        <v>3527</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3515</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3515</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3" t="s">
        <v>3515</v>
      </c>
      <c r="AD35" s="147" t="str">
        <f>IFERROR(__xludf.DUMMYFUNCTION("IF(N35="""", """", GOOGLETRANSLATE(J35,""en"",""DE""))"),"Ich bin nicht der Rattenfänger von Hameln")</f>
        <v>Ich bin nicht der Rattenfänger von Hameln</v>
      </c>
      <c r="AE35" s="110" t="s">
        <v>3528</v>
      </c>
      <c r="AF35" s="75" t="s">
        <v>3529</v>
      </c>
      <c r="AG35" s="223" t="s">
        <v>3515</v>
      </c>
      <c r="AH35" s="228" t="s">
        <v>3530</v>
      </c>
      <c r="AI35" s="229" t="s">
        <v>3531</v>
      </c>
      <c r="AJ35" s="230" t="s">
        <v>3532</v>
      </c>
      <c r="AK35" s="223" t="s">
        <v>3515</v>
      </c>
      <c r="AL35" s="109" t="s">
        <v>3533</v>
      </c>
      <c r="AM35" s="110" t="s">
        <v>3534</v>
      </c>
      <c r="AN35" s="72" t="s">
        <v>3535</v>
      </c>
      <c r="AO35" s="223" t="s">
        <v>3515</v>
      </c>
      <c r="AP35" s="120" t="s">
        <v>3522</v>
      </c>
      <c r="AQ35" s="121" t="s">
        <v>3523</v>
      </c>
      <c r="AR35" s="72" t="s">
        <v>3524</v>
      </c>
      <c r="AS35" s="231"/>
    </row>
    <row r="36">
      <c r="A36" s="223" t="s">
        <v>3536</v>
      </c>
      <c r="B36" s="120" t="s">
        <v>3537</v>
      </c>
      <c r="C36" s="121" t="s">
        <v>3538</v>
      </c>
      <c r="D36" s="72" t="s">
        <v>3539</v>
      </c>
      <c r="E36" s="223" t="s">
        <v>3536</v>
      </c>
      <c r="F36" s="120" t="s">
        <v>3540</v>
      </c>
      <c r="G36" s="121" t="s">
        <v>3541</v>
      </c>
      <c r="H36" s="72" t="s">
        <v>3542</v>
      </c>
      <c r="I36" s="223" t="s">
        <v>3536</v>
      </c>
      <c r="J36" s="120" t="s">
        <v>3543</v>
      </c>
      <c r="K36" s="121" t="s">
        <v>3544</v>
      </c>
      <c r="L36" s="72" t="s">
        <v>3545</v>
      </c>
      <c r="M36" s="223" t="s">
        <v>3536</v>
      </c>
      <c r="N36" s="120" t="s">
        <v>3537</v>
      </c>
      <c r="O36" s="121" t="s">
        <v>3546</v>
      </c>
      <c r="P36" s="72" t="s">
        <v>3547</v>
      </c>
      <c r="Q36" s="223" t="s">
        <v>3536</v>
      </c>
      <c r="R36" s="120" t="s">
        <v>3548</v>
      </c>
      <c r="S36" s="121" t="s">
        <v>3549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3536</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3536</v>
      </c>
      <c r="Z36" s="120"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23" t="s">
        <v>3536</v>
      </c>
      <c r="AD36" s="120" t="s">
        <v>3550</v>
      </c>
      <c r="AE36" s="225" t="s">
        <v>3551</v>
      </c>
      <c r="AF36" s="134" t="s">
        <v>3552</v>
      </c>
      <c r="AG36" s="223" t="s">
        <v>3536</v>
      </c>
      <c r="AH36" s="226" t="s">
        <v>3553</v>
      </c>
      <c r="AI36" s="115" t="s">
        <v>3554</v>
      </c>
      <c r="AJ36" s="133" t="s">
        <v>3555</v>
      </c>
      <c r="AK36" s="223" t="s">
        <v>3536</v>
      </c>
      <c r="AL36" s="109" t="s">
        <v>3556</v>
      </c>
      <c r="AM36" s="110" t="s">
        <v>3557</v>
      </c>
      <c r="AN36" s="72" t="s">
        <v>3558</v>
      </c>
      <c r="AO36" s="223" t="s">
        <v>3536</v>
      </c>
      <c r="AP36" s="120" t="s">
        <v>3543</v>
      </c>
      <c r="AQ36" s="121" t="s">
        <v>3544</v>
      </c>
      <c r="AR36" s="72" t="s">
        <v>3545</v>
      </c>
      <c r="AS36" s="75"/>
    </row>
    <row r="37">
      <c r="A37" s="223" t="s">
        <v>3559</v>
      </c>
      <c r="B37" s="120" t="s">
        <v>3560</v>
      </c>
      <c r="C37" s="121" t="s">
        <v>3561</v>
      </c>
      <c r="D37" s="72" t="s">
        <v>3562</v>
      </c>
      <c r="E37" s="223" t="s">
        <v>3559</v>
      </c>
      <c r="F37" s="120" t="s">
        <v>3563</v>
      </c>
      <c r="G37" s="121" t="s">
        <v>3564</v>
      </c>
      <c r="H37" s="72" t="s">
        <v>3565</v>
      </c>
      <c r="I37" s="223" t="s">
        <v>3559</v>
      </c>
      <c r="J37" s="120" t="s">
        <v>3566</v>
      </c>
      <c r="K37" s="121" t="s">
        <v>3567</v>
      </c>
      <c r="L37" s="72" t="s">
        <v>3568</v>
      </c>
      <c r="M37" s="223" t="s">
        <v>3559</v>
      </c>
      <c r="N37" s="120" t="s">
        <v>3569</v>
      </c>
      <c r="O37" s="121" t="s">
        <v>3570</v>
      </c>
      <c r="P37" s="72" t="s">
        <v>3571</v>
      </c>
      <c r="Q37" s="223" t="s">
        <v>3559</v>
      </c>
      <c r="R37" s="120" t="s">
        <v>3572</v>
      </c>
      <c r="S37" s="121" t="s">
        <v>3573</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3559</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3559</v>
      </c>
      <c r="Z37" s="120"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23" t="s">
        <v>3559</v>
      </c>
      <c r="AD37" s="120" t="s">
        <v>3574</v>
      </c>
      <c r="AE37" s="225" t="s">
        <v>3575</v>
      </c>
      <c r="AF37" s="134" t="s">
        <v>3576</v>
      </c>
      <c r="AG37" s="223" t="s">
        <v>3559</v>
      </c>
      <c r="AH37" s="226" t="s">
        <v>3577</v>
      </c>
      <c r="AI37" s="115" t="s">
        <v>3578</v>
      </c>
      <c r="AJ37" s="116" t="s">
        <v>3579</v>
      </c>
      <c r="AK37" s="223" t="s">
        <v>3559</v>
      </c>
      <c r="AL37" s="109" t="s">
        <v>3580</v>
      </c>
      <c r="AM37" s="110" t="s">
        <v>3581</v>
      </c>
      <c r="AN37" s="75" t="s">
        <v>3582</v>
      </c>
      <c r="AO37" s="223" t="s">
        <v>3559</v>
      </c>
      <c r="AP37" s="120" t="s">
        <v>3566</v>
      </c>
      <c r="AQ37" s="121" t="s">
        <v>3567</v>
      </c>
      <c r="AR37" s="72" t="s">
        <v>3568</v>
      </c>
      <c r="AS37" s="75"/>
    </row>
    <row r="38">
      <c r="A38" s="223" t="s">
        <v>3583</v>
      </c>
      <c r="B38" s="120" t="s">
        <v>3584</v>
      </c>
      <c r="C38" s="121" t="s">
        <v>3585</v>
      </c>
      <c r="D38" s="72" t="s">
        <v>3586</v>
      </c>
      <c r="E38" s="223" t="s">
        <v>3583</v>
      </c>
      <c r="F38" s="120" t="s">
        <v>3587</v>
      </c>
      <c r="G38" s="121" t="s">
        <v>3588</v>
      </c>
      <c r="H38" s="72" t="s">
        <v>3589</v>
      </c>
      <c r="I38" s="223" t="s">
        <v>3583</v>
      </c>
      <c r="J38" s="120" t="s">
        <v>3590</v>
      </c>
      <c r="K38" s="121" t="s">
        <v>3591</v>
      </c>
      <c r="L38" s="72" t="s">
        <v>3592</v>
      </c>
      <c r="M38" s="223" t="s">
        <v>3583</v>
      </c>
      <c r="N38" s="120" t="s">
        <v>3584</v>
      </c>
      <c r="O38" s="121" t="s">
        <v>3593</v>
      </c>
      <c r="P38" s="72" t="s">
        <v>3594</v>
      </c>
      <c r="Q38" s="223" t="s">
        <v>3583</v>
      </c>
      <c r="R38" s="120" t="s">
        <v>3595</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3583</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3583</v>
      </c>
      <c r="Z38" s="120"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23" t="s">
        <v>3583</v>
      </c>
      <c r="AD38" s="120" t="s">
        <v>3596</v>
      </c>
      <c r="AE38" s="225" t="s">
        <v>3597</v>
      </c>
      <c r="AF38" s="134" t="s">
        <v>3598</v>
      </c>
      <c r="AG38" s="223" t="s">
        <v>3583</v>
      </c>
      <c r="AH38" s="226" t="s">
        <v>3599</v>
      </c>
      <c r="AI38" s="115" t="s">
        <v>3600</v>
      </c>
      <c r="AJ38" s="133" t="s">
        <v>3601</v>
      </c>
      <c r="AK38" s="223" t="s">
        <v>3583</v>
      </c>
      <c r="AL38" s="109" t="s">
        <v>3602</v>
      </c>
      <c r="AM38" s="110" t="s">
        <v>3603</v>
      </c>
      <c r="AN38" s="75" t="s">
        <v>3604</v>
      </c>
      <c r="AO38" s="223" t="s">
        <v>3583</v>
      </c>
      <c r="AP38" s="120" t="s">
        <v>3590</v>
      </c>
      <c r="AQ38" s="121" t="s">
        <v>3591</v>
      </c>
      <c r="AR38" s="72" t="s">
        <v>3592</v>
      </c>
      <c r="AS38" s="75"/>
    </row>
    <row r="39">
      <c r="A39" s="223" t="s">
        <v>3605</v>
      </c>
      <c r="B39" s="120" t="s">
        <v>3606</v>
      </c>
      <c r="C39" s="121" t="s">
        <v>3607</v>
      </c>
      <c r="D39" s="72" t="s">
        <v>3608</v>
      </c>
      <c r="E39" s="223" t="s">
        <v>3605</v>
      </c>
      <c r="F39" s="120" t="s">
        <v>3609</v>
      </c>
      <c r="G39" s="121" t="s">
        <v>3610</v>
      </c>
      <c r="H39" s="72" t="s">
        <v>3611</v>
      </c>
      <c r="I39" s="223" t="s">
        <v>3605</v>
      </c>
      <c r="J39" s="120" t="s">
        <v>3612</v>
      </c>
      <c r="K39" s="121" t="s">
        <v>3613</v>
      </c>
      <c r="L39" s="72" t="s">
        <v>3614</v>
      </c>
      <c r="M39" s="223" t="s">
        <v>3605</v>
      </c>
      <c r="N39" s="120" t="s">
        <v>3606</v>
      </c>
      <c r="O39" s="121" t="s">
        <v>3615</v>
      </c>
      <c r="P39" s="72" t="s">
        <v>3616</v>
      </c>
      <c r="Q39" s="223" t="s">
        <v>3605</v>
      </c>
      <c r="R39" s="120" t="s">
        <v>3617</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3605</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3605</v>
      </c>
      <c r="Z39" s="120"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23" t="s">
        <v>3605</v>
      </c>
      <c r="AD39" s="120" t="s">
        <v>3618</v>
      </c>
      <c r="AE39" s="225" t="s">
        <v>3619</v>
      </c>
      <c r="AF39" s="134" t="s">
        <v>3620</v>
      </c>
      <c r="AG39" s="223" t="s">
        <v>3605</v>
      </c>
      <c r="AH39" s="226" t="s">
        <v>3621</v>
      </c>
      <c r="AI39" s="115" t="s">
        <v>3622</v>
      </c>
      <c r="AJ39" s="116" t="s">
        <v>3623</v>
      </c>
      <c r="AK39" s="223" t="s">
        <v>3605</v>
      </c>
      <c r="AL39" s="109" t="s">
        <v>3624</v>
      </c>
      <c r="AM39" s="110" t="s">
        <v>3625</v>
      </c>
      <c r="AN39" s="75" t="s">
        <v>3626</v>
      </c>
      <c r="AO39" s="223" t="s">
        <v>3605</v>
      </c>
      <c r="AP39" s="120" t="s">
        <v>3612</v>
      </c>
      <c r="AQ39" s="121" t="s">
        <v>3613</v>
      </c>
      <c r="AR39" s="72" t="s">
        <v>3614</v>
      </c>
      <c r="AS39" s="75"/>
    </row>
    <row r="40">
      <c r="A40" s="223" t="s">
        <v>3627</v>
      </c>
      <c r="B40" s="120" t="s">
        <v>3628</v>
      </c>
      <c r="C40" s="121" t="s">
        <v>3629</v>
      </c>
      <c r="D40" s="72" t="s">
        <v>3630</v>
      </c>
      <c r="E40" s="223" t="s">
        <v>3627</v>
      </c>
      <c r="F40" s="120" t="s">
        <v>3631</v>
      </c>
      <c r="G40" s="121" t="s">
        <v>3632</v>
      </c>
      <c r="H40" s="72" t="s">
        <v>3633</v>
      </c>
      <c r="I40" s="223" t="s">
        <v>3627</v>
      </c>
      <c r="J40" s="120" t="s">
        <v>3634</v>
      </c>
      <c r="K40" s="121" t="s">
        <v>3635</v>
      </c>
      <c r="L40" s="72" t="s">
        <v>3636</v>
      </c>
      <c r="M40" s="223" t="s">
        <v>3627</v>
      </c>
      <c r="N40" s="120" t="s">
        <v>3628</v>
      </c>
      <c r="O40" s="121" t="s">
        <v>3637</v>
      </c>
      <c r="P40" s="72" t="s">
        <v>3638</v>
      </c>
      <c r="Q40" s="223" t="s">
        <v>3627</v>
      </c>
      <c r="R40" s="120" t="s">
        <v>3639</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3627</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3627</v>
      </c>
      <c r="Z40" s="120"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23" t="s">
        <v>3627</v>
      </c>
      <c r="AD40" s="120" t="s">
        <v>3640</v>
      </c>
      <c r="AE40" s="225" t="s">
        <v>3641</v>
      </c>
      <c r="AF40" s="134" t="s">
        <v>3642</v>
      </c>
      <c r="AG40" s="223" t="s">
        <v>3627</v>
      </c>
      <c r="AH40" s="226" t="s">
        <v>3643</v>
      </c>
      <c r="AI40" s="115" t="s">
        <v>3644</v>
      </c>
      <c r="AJ40" s="116" t="s">
        <v>3645</v>
      </c>
      <c r="AK40" s="223" t="s">
        <v>3627</v>
      </c>
      <c r="AL40" s="109" t="s">
        <v>3646</v>
      </c>
      <c r="AM40" s="110" t="s">
        <v>3635</v>
      </c>
      <c r="AN40" s="75" t="s">
        <v>3636</v>
      </c>
      <c r="AO40" s="223" t="s">
        <v>3627</v>
      </c>
      <c r="AP40" s="120" t="s">
        <v>3634</v>
      </c>
      <c r="AQ40" s="121" t="s">
        <v>3635</v>
      </c>
      <c r="AR40" s="72" t="s">
        <v>3636</v>
      </c>
      <c r="AS40" s="75"/>
    </row>
    <row r="41">
      <c r="A41" s="223" t="s">
        <v>3647</v>
      </c>
      <c r="B41" s="120" t="s">
        <v>3648</v>
      </c>
      <c r="C41" s="121" t="s">
        <v>3649</v>
      </c>
      <c r="D41" s="72" t="s">
        <v>3650</v>
      </c>
      <c r="E41" s="223" t="s">
        <v>3647</v>
      </c>
      <c r="F41" s="120" t="s">
        <v>3651</v>
      </c>
      <c r="G41" s="121" t="s">
        <v>3652</v>
      </c>
      <c r="H41" s="72" t="s">
        <v>3653</v>
      </c>
      <c r="I41" s="223" t="s">
        <v>3647</v>
      </c>
      <c r="J41" s="120" t="s">
        <v>3654</v>
      </c>
      <c r="K41" s="121" t="s">
        <v>3655</v>
      </c>
      <c r="L41" s="72" t="s">
        <v>3656</v>
      </c>
      <c r="M41" s="223" t="s">
        <v>3647</v>
      </c>
      <c r="N41" s="120" t="s">
        <v>3648</v>
      </c>
      <c r="O41" s="121" t="s">
        <v>3657</v>
      </c>
      <c r="P41" s="72" t="s">
        <v>3658</v>
      </c>
      <c r="Q41" s="223" t="s">
        <v>3647</v>
      </c>
      <c r="R41" s="120" t="s">
        <v>3659</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3647</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3647</v>
      </c>
      <c r="Z41" s="120"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23" t="s">
        <v>3647</v>
      </c>
      <c r="AD41" s="120" t="s">
        <v>3660</v>
      </c>
      <c r="AE41" s="225" t="s">
        <v>3661</v>
      </c>
      <c r="AF41" s="134" t="s">
        <v>3662</v>
      </c>
      <c r="AG41" s="223" t="s">
        <v>3647</v>
      </c>
      <c r="AH41" s="226" t="s">
        <v>3663</v>
      </c>
      <c r="AI41" s="115" t="s">
        <v>3664</v>
      </c>
      <c r="AJ41" s="116" t="s">
        <v>3665</v>
      </c>
      <c r="AK41" s="223" t="s">
        <v>3647</v>
      </c>
      <c r="AL41" s="109" t="s">
        <v>3666</v>
      </c>
      <c r="AM41" s="110" t="s">
        <v>3667</v>
      </c>
      <c r="AN41" s="75" t="s">
        <v>3668</v>
      </c>
      <c r="AO41" s="223" t="s">
        <v>3647</v>
      </c>
      <c r="AP41" s="120" t="s">
        <v>3654</v>
      </c>
      <c r="AQ41" s="121" t="s">
        <v>3655</v>
      </c>
      <c r="AR41" s="72" t="s">
        <v>3656</v>
      </c>
      <c r="AS41" s="75"/>
    </row>
    <row r="42">
      <c r="A42" s="223" t="s">
        <v>3669</v>
      </c>
      <c r="B42" s="120" t="s">
        <v>3670</v>
      </c>
      <c r="C42" s="121" t="s">
        <v>3671</v>
      </c>
      <c r="D42" s="72" t="s">
        <v>3672</v>
      </c>
      <c r="E42" s="223" t="s">
        <v>3669</v>
      </c>
      <c r="F42" s="120" t="s">
        <v>3673</v>
      </c>
      <c r="G42" s="121" t="s">
        <v>3674</v>
      </c>
      <c r="H42" s="72" t="s">
        <v>3675</v>
      </c>
      <c r="I42" s="223" t="s">
        <v>3669</v>
      </c>
      <c r="J42" s="120" t="s">
        <v>3676</v>
      </c>
      <c r="K42" s="121" t="s">
        <v>3677</v>
      </c>
      <c r="L42" s="72" t="s">
        <v>3678</v>
      </c>
      <c r="M42" s="223" t="s">
        <v>3669</v>
      </c>
      <c r="N42" s="120" t="s">
        <v>3679</v>
      </c>
      <c r="O42" s="121" t="s">
        <v>3680</v>
      </c>
      <c r="P42" s="72" t="s">
        <v>3681</v>
      </c>
      <c r="Q42" s="223" t="s">
        <v>3669</v>
      </c>
      <c r="R42" s="109" t="s">
        <v>3682</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3669</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3669</v>
      </c>
      <c r="Z42" s="120"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23" t="s">
        <v>3669</v>
      </c>
      <c r="AD42" s="120" t="s">
        <v>3683</v>
      </c>
      <c r="AE42" s="225" t="s">
        <v>3684</v>
      </c>
      <c r="AF42" s="134" t="s">
        <v>3685</v>
      </c>
      <c r="AG42" s="223" t="s">
        <v>3669</v>
      </c>
      <c r="AH42" s="226" t="s">
        <v>3686</v>
      </c>
      <c r="AI42" s="115" t="s">
        <v>3687</v>
      </c>
      <c r="AJ42" s="116" t="s">
        <v>3688</v>
      </c>
      <c r="AK42" s="223" t="s">
        <v>3669</v>
      </c>
      <c r="AL42" s="109" t="s">
        <v>3689</v>
      </c>
      <c r="AM42" s="110" t="s">
        <v>3690</v>
      </c>
      <c r="AN42" s="75" t="s">
        <v>3691</v>
      </c>
      <c r="AO42" s="223" t="s">
        <v>3669</v>
      </c>
      <c r="AP42" s="120" t="s">
        <v>3676</v>
      </c>
      <c r="AQ42" s="121" t="s">
        <v>3677</v>
      </c>
      <c r="AR42" s="72" t="s">
        <v>3678</v>
      </c>
      <c r="AS42" s="75"/>
    </row>
    <row r="43" ht="113.25" customHeight="1">
      <c r="A43" s="223" t="s">
        <v>3692</v>
      </c>
      <c r="B43" s="120" t="s">
        <v>3693</v>
      </c>
      <c r="C43" s="121" t="s">
        <v>3694</v>
      </c>
      <c r="D43" s="72" t="s">
        <v>3695</v>
      </c>
      <c r="E43" s="223" t="s">
        <v>3692</v>
      </c>
      <c r="F43" s="120" t="s">
        <v>3696</v>
      </c>
      <c r="G43" s="121" t="s">
        <v>3697</v>
      </c>
      <c r="H43" s="72" t="s">
        <v>3698</v>
      </c>
      <c r="I43" s="223" t="s">
        <v>3692</v>
      </c>
      <c r="J43" s="120" t="s">
        <v>3699</v>
      </c>
      <c r="K43" s="121" t="s">
        <v>3700</v>
      </c>
      <c r="L43" s="72" t="s">
        <v>3701</v>
      </c>
      <c r="M43" s="223" t="s">
        <v>3692</v>
      </c>
      <c r="N43" s="120" t="s">
        <v>3702</v>
      </c>
      <c r="O43" s="121" t="s">
        <v>3703</v>
      </c>
      <c r="P43" s="72" t="s">
        <v>3704</v>
      </c>
      <c r="Q43" s="223" t="s">
        <v>3692</v>
      </c>
      <c r="R43" s="109" t="s">
        <v>3705</v>
      </c>
      <c r="S43" s="121" t="s">
        <v>3706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3692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3692</v>
      </c>
      <c r="Z43" s="120"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23" t="s">
        <v>3692</v>
      </c>
      <c r="AD43" s="120" t="s">
        <v>3707</v>
      </c>
      <c r="AE43" s="225" t="s">
        <v>3708</v>
      </c>
      <c r="AF43" s="134" t="s">
        <v>3709</v>
      </c>
      <c r="AG43" s="223" t="s">
        <v>3692</v>
      </c>
      <c r="AH43" s="226" t="s">
        <v>3710</v>
      </c>
      <c r="AI43" s="115" t="s">
        <v>3711</v>
      </c>
      <c r="AJ43" s="116" t="s">
        <v>3712</v>
      </c>
      <c r="AK43" s="223" t="s">
        <v>3692</v>
      </c>
      <c r="AL43" s="109" t="s">
        <v>3713</v>
      </c>
      <c r="AM43" s="110" t="s">
        <v>3714</v>
      </c>
      <c r="AN43" s="75" t="s">
        <v>3715</v>
      </c>
      <c r="AO43" s="223" t="s">
        <v>3692</v>
      </c>
      <c r="AP43" s="120" t="s">
        <v>3699</v>
      </c>
      <c r="AQ43" s="121" t="s">
        <v>3700</v>
      </c>
      <c r="AR43" s="72" t="s">
        <v>3701</v>
      </c>
      <c r="AS43" s="75"/>
    </row>
    <row r="44">
      <c r="A44" s="223" t="s">
        <v>3716</v>
      </c>
      <c r="B44" s="120" t="s">
        <v>3717</v>
      </c>
      <c r="C44" s="121" t="s">
        <v>3718</v>
      </c>
      <c r="D44" s="72" t="s">
        <v>3719</v>
      </c>
      <c r="E44" s="223" t="s">
        <v>3716</v>
      </c>
      <c r="F44" s="120" t="s">
        <v>3720</v>
      </c>
      <c r="G44" s="121" t="s">
        <v>3721</v>
      </c>
      <c r="H44" s="72" t="s">
        <v>3722</v>
      </c>
      <c r="I44" s="223" t="s">
        <v>3716</v>
      </c>
      <c r="J44" s="120" t="s">
        <v>3723</v>
      </c>
      <c r="K44" s="121" t="s">
        <v>3724</v>
      </c>
      <c r="L44" s="72" t="s">
        <v>3725</v>
      </c>
      <c r="M44" s="223" t="s">
        <v>3716</v>
      </c>
      <c r="N44" s="120" t="s">
        <v>3717</v>
      </c>
      <c r="O44" s="121" t="s">
        <v>3726</v>
      </c>
      <c r="P44" s="72" t="s">
        <v>3727</v>
      </c>
      <c r="Q44" s="223" t="s">
        <v>3716</v>
      </c>
      <c r="R44" s="109" t="s">
        <v>3728</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3716</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3716</v>
      </c>
      <c r="Z44" s="120"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23" t="s">
        <v>3716</v>
      </c>
      <c r="AD44" s="120" t="s">
        <v>3729</v>
      </c>
      <c r="AE44" s="225" t="s">
        <v>3730</v>
      </c>
      <c r="AF44" s="134" t="s">
        <v>3731</v>
      </c>
      <c r="AG44" s="223" t="s">
        <v>3716</v>
      </c>
      <c r="AH44" s="226" t="s">
        <v>3732</v>
      </c>
      <c r="AI44" s="115" t="s">
        <v>3733</v>
      </c>
      <c r="AJ44" s="116" t="s">
        <v>3734</v>
      </c>
      <c r="AK44" s="223" t="s">
        <v>3716</v>
      </c>
      <c r="AL44" s="109" t="s">
        <v>3735</v>
      </c>
      <c r="AM44" s="110" t="s">
        <v>3736</v>
      </c>
      <c r="AN44" s="75" t="s">
        <v>3737</v>
      </c>
      <c r="AO44" s="223" t="s">
        <v>3716</v>
      </c>
      <c r="AP44" s="120" t="s">
        <v>3723</v>
      </c>
      <c r="AQ44" s="121" t="s">
        <v>3724</v>
      </c>
      <c r="AR44" s="72" t="s">
        <v>3725</v>
      </c>
      <c r="AS44" s="75"/>
    </row>
    <row r="45">
      <c r="A45" s="223" t="s">
        <v>3738</v>
      </c>
      <c r="B45" s="120" t="s">
        <v>3739</v>
      </c>
      <c r="C45" s="121" t="s">
        <v>3740</v>
      </c>
      <c r="D45" s="72" t="s">
        <v>3741</v>
      </c>
      <c r="E45" s="223" t="s">
        <v>3738</v>
      </c>
      <c r="F45" s="120" t="s">
        <v>3742</v>
      </c>
      <c r="G45" s="121" t="s">
        <v>3743</v>
      </c>
      <c r="H45" s="72" t="s">
        <v>3744</v>
      </c>
      <c r="I45" s="223" t="s">
        <v>3738</v>
      </c>
      <c r="J45" s="120" t="s">
        <v>3745</v>
      </c>
      <c r="K45" s="121" t="s">
        <v>3746</v>
      </c>
      <c r="L45" s="72" t="s">
        <v>3747</v>
      </c>
      <c r="M45" s="223" t="s">
        <v>3738</v>
      </c>
      <c r="N45" s="120" t="s">
        <v>3739</v>
      </c>
      <c r="O45" s="121" t="s">
        <v>3748</v>
      </c>
      <c r="P45" s="72" t="s">
        <v>3749</v>
      </c>
      <c r="Q45" s="223" t="s">
        <v>3738</v>
      </c>
      <c r="R45" s="109" t="s">
        <v>3750</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3738</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3738</v>
      </c>
      <c r="Z45" s="120"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23" t="s">
        <v>3738</v>
      </c>
      <c r="AD45" s="120" t="s">
        <v>3751</v>
      </c>
      <c r="AE45" s="225" t="s">
        <v>3752</v>
      </c>
      <c r="AF45" s="134" t="s">
        <v>3753</v>
      </c>
      <c r="AG45" s="223" t="s">
        <v>3738</v>
      </c>
      <c r="AH45" s="226" t="s">
        <v>3754</v>
      </c>
      <c r="AI45" s="115" t="s">
        <v>3755</v>
      </c>
      <c r="AJ45" s="116" t="s">
        <v>3756</v>
      </c>
      <c r="AK45" s="223" t="s">
        <v>3738</v>
      </c>
      <c r="AL45" s="109" t="s">
        <v>3757</v>
      </c>
      <c r="AM45" s="110" t="s">
        <v>3758</v>
      </c>
      <c r="AN45" s="75" t="s">
        <v>3759</v>
      </c>
      <c r="AO45" s="223" t="s">
        <v>3738</v>
      </c>
      <c r="AP45" s="120" t="s">
        <v>3745</v>
      </c>
      <c r="AQ45" s="121" t="s">
        <v>3746</v>
      </c>
      <c r="AR45" s="72" t="s">
        <v>3747</v>
      </c>
      <c r="AS45" s="75"/>
    </row>
    <row r="46">
      <c r="A46" s="223" t="s">
        <v>3760</v>
      </c>
      <c r="B46" s="120" t="s">
        <v>3761</v>
      </c>
      <c r="C46" s="121" t="s">
        <v>3762</v>
      </c>
      <c r="D46" s="72" t="s">
        <v>3763</v>
      </c>
      <c r="E46" s="223" t="s">
        <v>3760</v>
      </c>
      <c r="F46" s="120" t="s">
        <v>3764</v>
      </c>
      <c r="G46" s="121" t="s">
        <v>3765</v>
      </c>
      <c r="H46" s="72" t="s">
        <v>3766</v>
      </c>
      <c r="I46" s="223" t="s">
        <v>3760</v>
      </c>
      <c r="J46" s="120" t="s">
        <v>3767</v>
      </c>
      <c r="K46" s="121" t="s">
        <v>3768</v>
      </c>
      <c r="L46" s="72" t="s">
        <v>3769</v>
      </c>
      <c r="M46" s="223" t="s">
        <v>3760</v>
      </c>
      <c r="N46" s="120" t="s">
        <v>3770</v>
      </c>
      <c r="O46" s="121" t="s">
        <v>3771</v>
      </c>
      <c r="P46" s="72" t="s">
        <v>3772</v>
      </c>
      <c r="Q46" s="223" t="s">
        <v>3760</v>
      </c>
      <c r="R46" s="120" t="s">
        <v>3773</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3" t="s">
        <v>3760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3" t="s">
        <v>3760</v>
      </c>
      <c r="Z46" s="120"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6" s="223" t="s">
        <v>3760</v>
      </c>
      <c r="AD46" s="120" t="s">
        <v>3774</v>
      </c>
      <c r="AE46" s="225" t="s">
        <v>3775</v>
      </c>
      <c r="AF46" s="134" t="s">
        <v>3776</v>
      </c>
      <c r="AG46" s="223" t="s">
        <v>3760</v>
      </c>
      <c r="AH46" s="226" t="s">
        <v>3777</v>
      </c>
      <c r="AI46" s="129" t="s">
        <v>3778</v>
      </c>
      <c r="AJ46" s="116" t="s">
        <v>3779</v>
      </c>
      <c r="AK46" s="223" t="s">
        <v>3760</v>
      </c>
      <c r="AL46" s="109" t="s">
        <v>3780</v>
      </c>
      <c r="AM46" s="121" t="s">
        <v>3781</v>
      </c>
      <c r="AN46" s="75" t="s">
        <v>3782</v>
      </c>
      <c r="AO46" s="223" t="s">
        <v>3760</v>
      </c>
      <c r="AP46" s="120" t="s">
        <v>3767</v>
      </c>
      <c r="AQ46" s="121" t="s">
        <v>3768</v>
      </c>
      <c r="AR46" s="72" t="s">
        <v>3769</v>
      </c>
      <c r="AS46" s="75"/>
    </row>
    <row r="47">
      <c r="A47" s="223" t="s">
        <v>3783</v>
      </c>
      <c r="B47" s="120" t="s">
        <v>3784</v>
      </c>
      <c r="C47" s="121" t="s">
        <v>3785</v>
      </c>
      <c r="D47" s="72" t="s">
        <v>3786</v>
      </c>
      <c r="E47" s="223" t="s">
        <v>3783</v>
      </c>
      <c r="F47" s="120" t="s">
        <v>3787</v>
      </c>
      <c r="G47" s="121" t="s">
        <v>3788</v>
      </c>
      <c r="H47" s="72" t="s">
        <v>3789</v>
      </c>
      <c r="I47" s="223" t="s">
        <v>3783</v>
      </c>
      <c r="J47" s="120" t="s">
        <v>3790</v>
      </c>
      <c r="K47" s="121" t="s">
        <v>3791</v>
      </c>
      <c r="L47" s="72" t="s">
        <v>3792</v>
      </c>
      <c r="M47" s="223" t="s">
        <v>3783</v>
      </c>
      <c r="N47" s="120" t="s">
        <v>3793</v>
      </c>
      <c r="O47" s="121" t="s">
        <v>3794</v>
      </c>
      <c r="P47" s="72" t="s">
        <v>3795</v>
      </c>
      <c r="Q47" s="223" t="s">
        <v>3783</v>
      </c>
      <c r="R47" s="109" t="s">
        <v>3796</v>
      </c>
      <c r="S47" s="121" t="s">
        <v>3797</v>
      </c>
      <c r="T47" s="75" t="str">
        <f>IFERROR(__xludf.DUMMYFUNCTION("GOOGLETRANSLATE(D47,""zh-tw"",""es-MX"")"),"Equipo: Misericordia de la Santa Doncella")</f>
        <v>Equipo: Misericordia de la Santa Doncella</v>
      </c>
      <c r="U47" s="223" t="s">
        <v>3783</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3783</v>
      </c>
      <c r="Z47" s="120"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23" t="s">
        <v>3783</v>
      </c>
      <c r="AD47" s="120" t="s">
        <v>3798</v>
      </c>
      <c r="AE47" s="225" t="s">
        <v>3799</v>
      </c>
      <c r="AF47" s="134" t="s">
        <v>3800</v>
      </c>
      <c r="AG47" s="223" t="s">
        <v>3783</v>
      </c>
      <c r="AH47" s="226" t="s">
        <v>3801</v>
      </c>
      <c r="AI47" s="115" t="s">
        <v>3802</v>
      </c>
      <c r="AJ47" s="116" t="s">
        <v>3803</v>
      </c>
      <c r="AK47" s="223" t="s">
        <v>3783</v>
      </c>
      <c r="AL47" s="109" t="s">
        <v>3804</v>
      </c>
      <c r="AM47" s="110" t="s">
        <v>3805</v>
      </c>
      <c r="AN47" s="75" t="s">
        <v>3806</v>
      </c>
      <c r="AO47" s="223" t="s">
        <v>3783</v>
      </c>
      <c r="AP47" s="120" t="s">
        <v>3790</v>
      </c>
      <c r="AQ47" s="121" t="s">
        <v>3791</v>
      </c>
      <c r="AR47" s="72" t="s">
        <v>3792</v>
      </c>
      <c r="AS47" s="75"/>
    </row>
    <row r="48">
      <c r="A48" s="136" t="s">
        <v>3807</v>
      </c>
      <c r="B48" s="106" t="s">
        <v>3808</v>
      </c>
      <c r="C48" s="107" t="s">
        <v>3809</v>
      </c>
      <c r="D48" s="108" t="s">
        <v>3810</v>
      </c>
      <c r="E48" s="136" t="s">
        <v>3807</v>
      </c>
      <c r="F48" s="106" t="s">
        <v>3811</v>
      </c>
      <c r="G48" s="107" t="s">
        <v>3812</v>
      </c>
      <c r="H48" s="108" t="s">
        <v>3813</v>
      </c>
      <c r="I48" s="136" t="s">
        <v>3807</v>
      </c>
      <c r="J48" s="106" t="s">
        <v>3814</v>
      </c>
      <c r="K48" s="107" t="s">
        <v>3815</v>
      </c>
      <c r="L48" s="108" t="s">
        <v>3816</v>
      </c>
      <c r="M48" s="136" t="s">
        <v>3807</v>
      </c>
      <c r="N48" s="106" t="s">
        <v>3817</v>
      </c>
      <c r="O48" s="121" t="s">
        <v>3818</v>
      </c>
      <c r="P48" s="75" t="s">
        <v>3819</v>
      </c>
      <c r="Q48" s="136" t="s">
        <v>3807</v>
      </c>
      <c r="R48" s="109" t="s">
        <v>3820</v>
      </c>
      <c r="S48" s="121" t="s">
        <v>3797</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3807</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3807</v>
      </c>
      <c r="Z48" s="106" t="s">
        <v>3814</v>
      </c>
      <c r="AA48" s="110" t="s">
        <v>3815</v>
      </c>
      <c r="AB48" s="75" t="s">
        <v>3816</v>
      </c>
      <c r="AC48" s="136" t="s">
        <v>3807</v>
      </c>
      <c r="AD48" s="106" t="s">
        <v>3821</v>
      </c>
      <c r="AE48" s="107" t="s">
        <v>3822</v>
      </c>
      <c r="AF48" s="108" t="s">
        <v>3823</v>
      </c>
      <c r="AG48" s="136" t="s">
        <v>3807</v>
      </c>
      <c r="AH48" s="143" t="s">
        <v>3824</v>
      </c>
      <c r="AI48" s="144" t="s">
        <v>3825</v>
      </c>
      <c r="AJ48" s="145" t="s">
        <v>3826</v>
      </c>
      <c r="AK48" s="136" t="s">
        <v>3807</v>
      </c>
      <c r="AL48" s="109" t="s">
        <v>3827</v>
      </c>
      <c r="AM48" s="107" t="s">
        <v>3828</v>
      </c>
      <c r="AN48" s="108" t="s">
        <v>3829</v>
      </c>
      <c r="AO48" s="136" t="s">
        <v>3807</v>
      </c>
      <c r="AP48" s="106" t="s">
        <v>3830</v>
      </c>
      <c r="AQ48" s="107" t="s">
        <v>3831</v>
      </c>
      <c r="AR48" s="108" t="s">
        <v>3832</v>
      </c>
      <c r="AS48" s="231"/>
    </row>
    <row r="49" ht="396.0" customHeight="1">
      <c r="A49" s="136" t="s">
        <v>3833</v>
      </c>
      <c r="B49" s="106" t="s">
        <v>3834</v>
      </c>
      <c r="C49" s="107" t="s">
        <v>3835</v>
      </c>
      <c r="D49" s="108" t="s">
        <v>3836</v>
      </c>
      <c r="E49" s="136" t="s">
        <v>3833</v>
      </c>
      <c r="F49" s="106" t="s">
        <v>3837</v>
      </c>
      <c r="G49" s="107" t="s">
        <v>3838</v>
      </c>
      <c r="H49" s="108" t="s">
        <v>3839</v>
      </c>
      <c r="I49" s="136" t="s">
        <v>3833</v>
      </c>
      <c r="J49" s="106" t="s">
        <v>3840</v>
      </c>
      <c r="K49" s="107" t="s">
        <v>3841</v>
      </c>
      <c r="L49" s="72" t="s">
        <v>3842</v>
      </c>
      <c r="M49" s="136" t="s">
        <v>3833</v>
      </c>
      <c r="N49" s="106" t="s">
        <v>3843</v>
      </c>
      <c r="O49" s="110" t="s">
        <v>3844</v>
      </c>
      <c r="P49" s="72" t="s">
        <v>3845</v>
      </c>
      <c r="Q49" s="136" t="s">
        <v>3833</v>
      </c>
      <c r="R49" s="109" t="s">
        <v>3846</v>
      </c>
      <c r="S49" s="121" t="s">
        <v>3797</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3833</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3833</v>
      </c>
      <c r="Z49" s="106" t="s">
        <v>3840</v>
      </c>
      <c r="AA49" s="110" t="s">
        <v>3841</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136" t="s">
        <v>3833</v>
      </c>
      <c r="AD49" s="106" t="s">
        <v>3847</v>
      </c>
      <c r="AE49" s="107" t="s">
        <v>3848</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6" t="s">
        <v>3833</v>
      </c>
      <c r="AH49" s="143" t="s">
        <v>3849</v>
      </c>
      <c r="AI49" s="144" t="s">
        <v>3850</v>
      </c>
      <c r="AJ49" s="145" t="s">
        <v>3851</v>
      </c>
      <c r="AK49" s="136" t="s">
        <v>3833</v>
      </c>
      <c r="AL49" s="109" t="s">
        <v>3852</v>
      </c>
      <c r="AM49" s="110" t="s">
        <v>3853</v>
      </c>
      <c r="AN49" s="75" t="s">
        <v>3854</v>
      </c>
      <c r="AO49" s="136" t="s">
        <v>3833</v>
      </c>
      <c r="AP49" s="106" t="s">
        <v>3855</v>
      </c>
      <c r="AQ49" s="107" t="s">
        <v>3856</v>
      </c>
      <c r="AR49" s="108" t="s">
        <v>3857</v>
      </c>
      <c r="AS49" s="231"/>
    </row>
    <row r="50">
      <c r="A50" s="223" t="s">
        <v>3858</v>
      </c>
      <c r="B50" s="120" t="s">
        <v>3859</v>
      </c>
      <c r="C50" s="121" t="s">
        <v>3860</v>
      </c>
      <c r="D50" s="72" t="s">
        <v>3861</v>
      </c>
      <c r="E50" s="223" t="s">
        <v>3858</v>
      </c>
      <c r="F50" s="120" t="s">
        <v>3862</v>
      </c>
      <c r="G50" s="121" t="s">
        <v>3863</v>
      </c>
      <c r="H50" s="72" t="s">
        <v>3864</v>
      </c>
      <c r="I50" s="223" t="s">
        <v>3858</v>
      </c>
      <c r="J50" s="120" t="s">
        <v>3865</v>
      </c>
      <c r="K50" s="121" t="s">
        <v>3866</v>
      </c>
      <c r="L50" s="72" t="s">
        <v>3867</v>
      </c>
      <c r="M50" s="223" t="s">
        <v>3858</v>
      </c>
      <c r="N50" s="120" t="s">
        <v>3868</v>
      </c>
      <c r="O50" s="121" t="s">
        <v>3869</v>
      </c>
      <c r="P50" s="72" t="s">
        <v>3870</v>
      </c>
      <c r="Q50" s="223" t="s">
        <v>3858</v>
      </c>
      <c r="R50" s="109" t="s">
        <v>3871</v>
      </c>
      <c r="S50" s="121" t="s">
        <v>3872</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3858</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3858</v>
      </c>
      <c r="Z50" s="120"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3" t="s">
        <v>3858</v>
      </c>
      <c r="AD50" s="135" t="s">
        <v>3873</v>
      </c>
      <c r="AE50" s="225" t="s">
        <v>3874</v>
      </c>
      <c r="AF50" s="134" t="s">
        <v>3875</v>
      </c>
      <c r="AG50" s="223" t="s">
        <v>3858</v>
      </c>
      <c r="AH50" s="226" t="s">
        <v>3876</v>
      </c>
      <c r="AI50" s="115" t="s">
        <v>3877</v>
      </c>
      <c r="AJ50" s="116" t="s">
        <v>3878</v>
      </c>
      <c r="AK50" s="223" t="s">
        <v>3858</v>
      </c>
      <c r="AL50" s="109" t="s">
        <v>3879</v>
      </c>
      <c r="AM50" s="110" t="s">
        <v>3880</v>
      </c>
      <c r="AN50" s="75" t="s">
        <v>3881</v>
      </c>
      <c r="AO50" s="223" t="s">
        <v>3858</v>
      </c>
      <c r="AP50" s="120" t="s">
        <v>3865</v>
      </c>
      <c r="AQ50" s="121" t="s">
        <v>3866</v>
      </c>
      <c r="AR50" s="72" t="s">
        <v>3867</v>
      </c>
      <c r="AS50" s="75"/>
    </row>
    <row r="51">
      <c r="A51" s="223" t="s">
        <v>3882</v>
      </c>
      <c r="B51" s="120" t="s">
        <v>3883</v>
      </c>
      <c r="C51" s="121" t="s">
        <v>3860</v>
      </c>
      <c r="D51" s="72" t="s">
        <v>3884</v>
      </c>
      <c r="E51" s="223" t="s">
        <v>3882</v>
      </c>
      <c r="F51" s="120" t="s">
        <v>3885</v>
      </c>
      <c r="G51" s="121" t="s">
        <v>3886</v>
      </c>
      <c r="H51" s="72" t="s">
        <v>3887</v>
      </c>
      <c r="I51" s="223" t="s">
        <v>3882</v>
      </c>
      <c r="J51" s="120" t="s">
        <v>3888</v>
      </c>
      <c r="K51" s="121" t="s">
        <v>3866</v>
      </c>
      <c r="L51" s="72" t="s">
        <v>3889</v>
      </c>
      <c r="M51" s="223" t="s">
        <v>3882</v>
      </c>
      <c r="N51" s="120" t="s">
        <v>3890</v>
      </c>
      <c r="O51" s="121" t="s">
        <v>3869</v>
      </c>
      <c r="P51" s="72" t="s">
        <v>3891</v>
      </c>
      <c r="Q51" s="223" t="s">
        <v>3882</v>
      </c>
      <c r="R51" s="109" t="s">
        <v>3892</v>
      </c>
      <c r="S51" s="121" t="s">
        <v>3872</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3882</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3882</v>
      </c>
      <c r="Z51" s="120" t="str">
        <f>IFERROR(__xludf.DUMMYFUNCTION("GOOGLETRANSLATE(B51,""zh-tw"",""ru"")"),"Магазинный грузовик-4")</f>
        <v>Магазинный грузовик-4</v>
      </c>
      <c r="AA51" s="224"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23" t="s">
        <v>3882</v>
      </c>
      <c r="AD51" s="135" t="s">
        <v>3893</v>
      </c>
      <c r="AE51" s="225" t="s">
        <v>3874</v>
      </c>
      <c r="AF51" s="134" t="s">
        <v>3894</v>
      </c>
      <c r="AG51" s="223" t="s">
        <v>3882</v>
      </c>
      <c r="AH51" s="226" t="s">
        <v>3895</v>
      </c>
      <c r="AI51" s="115" t="s">
        <v>3877</v>
      </c>
      <c r="AJ51" s="116" t="s">
        <v>3896</v>
      </c>
      <c r="AK51" s="223" t="s">
        <v>3882</v>
      </c>
      <c r="AL51" s="109" t="s">
        <v>3897</v>
      </c>
      <c r="AM51" s="110" t="s">
        <v>3880</v>
      </c>
      <c r="AN51" s="75" t="s">
        <v>3898</v>
      </c>
      <c r="AO51" s="223" t="s">
        <v>3882</v>
      </c>
      <c r="AP51" s="120" t="s">
        <v>3888</v>
      </c>
      <c r="AQ51" s="121" t="s">
        <v>3866</v>
      </c>
      <c r="AR51" s="72" t="s">
        <v>3889</v>
      </c>
      <c r="AS51" s="75"/>
    </row>
    <row r="52">
      <c r="A52" s="223" t="s">
        <v>3899</v>
      </c>
      <c r="B52" s="120" t="s">
        <v>3900</v>
      </c>
      <c r="C52" s="121" t="s">
        <v>3901</v>
      </c>
      <c r="D52" s="72" t="s">
        <v>3902</v>
      </c>
      <c r="E52" s="223" t="s">
        <v>3899</v>
      </c>
      <c r="F52" s="120" t="s">
        <v>3903</v>
      </c>
      <c r="G52" s="121" t="s">
        <v>3904</v>
      </c>
      <c r="H52" s="72" t="s">
        <v>947</v>
      </c>
      <c r="I52" s="223" t="s">
        <v>3899</v>
      </c>
      <c r="J52" s="120" t="s">
        <v>3905</v>
      </c>
      <c r="K52" s="121" t="s">
        <v>3906</v>
      </c>
      <c r="L52" s="72" t="s">
        <v>2553</v>
      </c>
      <c r="M52" s="223" t="s">
        <v>3899</v>
      </c>
      <c r="N52" s="120" t="s">
        <v>3907</v>
      </c>
      <c r="O52" s="121" t="s">
        <v>3908</v>
      </c>
      <c r="P52" s="72" t="s">
        <v>2556</v>
      </c>
      <c r="Q52" s="223" t="s">
        <v>3899</v>
      </c>
      <c r="R52" s="109" t="s">
        <v>3909</v>
      </c>
      <c r="S52" s="121" t="s">
        <v>3910</v>
      </c>
      <c r="T52" s="75" t="str">
        <f>IFERROR(__xludf.DUMMYFUNCTION("GOOGLETRANSLATE(D52,""zh-tw"",""es-MX"")"),"No implementado")</f>
        <v>No implementado</v>
      </c>
      <c r="U52" s="223" t="s">
        <v>3899</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3899</v>
      </c>
      <c r="Z52" s="120"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23" t="s">
        <v>3899</v>
      </c>
      <c r="AD52" s="135" t="s">
        <v>3911</v>
      </c>
      <c r="AE52" s="225" t="s">
        <v>3912</v>
      </c>
      <c r="AF52" s="134" t="s">
        <v>3913</v>
      </c>
      <c r="AG52" s="223" t="s">
        <v>3899</v>
      </c>
      <c r="AH52" s="226" t="s">
        <v>3914</v>
      </c>
      <c r="AI52" s="115" t="s">
        <v>3915</v>
      </c>
      <c r="AJ52" s="116" t="s">
        <v>3916</v>
      </c>
      <c r="AK52" s="223" t="s">
        <v>3899</v>
      </c>
      <c r="AL52" s="109" t="s">
        <v>3917</v>
      </c>
      <c r="AM52" s="110" t="s">
        <v>3918</v>
      </c>
      <c r="AN52" s="75" t="s">
        <v>2563</v>
      </c>
      <c r="AO52" s="223" t="s">
        <v>3899</v>
      </c>
      <c r="AP52" s="120" t="s">
        <v>3905</v>
      </c>
      <c r="AQ52" s="121" t="s">
        <v>3906</v>
      </c>
      <c r="AR52" s="72" t="s">
        <v>2553</v>
      </c>
      <c r="AS52" s="75"/>
    </row>
    <row r="53">
      <c r="A53" s="223" t="s">
        <v>3919</v>
      </c>
      <c r="B53" s="106" t="s">
        <v>3920</v>
      </c>
      <c r="C53" s="107" t="s">
        <v>3921</v>
      </c>
      <c r="D53" s="108" t="s">
        <v>3922</v>
      </c>
      <c r="E53" s="223" t="s">
        <v>3919</v>
      </c>
      <c r="F53" s="106" t="s">
        <v>3923</v>
      </c>
      <c r="G53" s="107" t="s">
        <v>3924</v>
      </c>
      <c r="H53" s="108" t="s">
        <v>3925</v>
      </c>
      <c r="I53" s="223" t="s">
        <v>3919</v>
      </c>
      <c r="J53" s="106" t="s">
        <v>3926</v>
      </c>
      <c r="K53" s="107" t="s">
        <v>3927</v>
      </c>
      <c r="L53" s="108" t="s">
        <v>3928</v>
      </c>
      <c r="M53" s="223" t="s">
        <v>3919</v>
      </c>
      <c r="N53" s="120" t="s">
        <v>3920</v>
      </c>
      <c r="O53" s="121" t="s">
        <v>3929</v>
      </c>
      <c r="P53" s="72" t="s">
        <v>3930</v>
      </c>
      <c r="Q53" s="223" t="s">
        <v>3919</v>
      </c>
      <c r="R53" s="109" t="s">
        <v>3931</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3919</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3919</v>
      </c>
      <c r="Z53" s="106"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23" t="s">
        <v>3919</v>
      </c>
      <c r="AD53" s="106" t="s">
        <v>3932</v>
      </c>
      <c r="AE53" s="107" t="s">
        <v>3933</v>
      </c>
      <c r="AF53" s="108" t="s">
        <v>3934</v>
      </c>
      <c r="AG53" s="223" t="s">
        <v>3919</v>
      </c>
      <c r="AH53" s="226" t="s">
        <v>3935</v>
      </c>
      <c r="AI53" s="115" t="s">
        <v>3936</v>
      </c>
      <c r="AJ53" s="116" t="s">
        <v>3937</v>
      </c>
      <c r="AK53" s="223" t="s">
        <v>3919</v>
      </c>
      <c r="AL53" s="109" t="s">
        <v>3938</v>
      </c>
      <c r="AM53" s="110" t="s">
        <v>3939</v>
      </c>
      <c r="AN53" s="75" t="s">
        <v>3940</v>
      </c>
      <c r="AO53" s="223" t="s">
        <v>3919</v>
      </c>
      <c r="AP53" s="120" t="s">
        <v>3926</v>
      </c>
      <c r="AQ53" s="121" t="s">
        <v>3927</v>
      </c>
      <c r="AR53" s="72" t="s">
        <v>3928</v>
      </c>
      <c r="AS53" s="75"/>
    </row>
    <row r="54">
      <c r="A54" s="223" t="s">
        <v>3941</v>
      </c>
      <c r="B54" s="120" t="s">
        <v>3942</v>
      </c>
      <c r="C54" s="121" t="s">
        <v>3943</v>
      </c>
      <c r="D54" s="72" t="s">
        <v>3944</v>
      </c>
      <c r="E54" s="223" t="s">
        <v>3941</v>
      </c>
      <c r="F54" s="120" t="s">
        <v>3942</v>
      </c>
      <c r="G54" s="121" t="s">
        <v>3945</v>
      </c>
      <c r="H54" s="72" t="s">
        <v>3946</v>
      </c>
      <c r="I54" s="223" t="s">
        <v>3941</v>
      </c>
      <c r="J54" s="120" t="s">
        <v>3947</v>
      </c>
      <c r="K54" s="121" t="s">
        <v>3948</v>
      </c>
      <c r="L54" s="72" t="s">
        <v>3949</v>
      </c>
      <c r="M54" s="223" t="s">
        <v>3941</v>
      </c>
      <c r="N54" s="120" t="s">
        <v>3950</v>
      </c>
      <c r="O54" s="121" t="s">
        <v>3951</v>
      </c>
      <c r="P54" s="72" t="s">
        <v>3952</v>
      </c>
      <c r="Q54" s="223" t="s">
        <v>3941</v>
      </c>
      <c r="R54" s="120" t="s">
        <v>3953</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3941</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3941</v>
      </c>
      <c r="Z54" s="120"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23" t="s">
        <v>3941</v>
      </c>
      <c r="AD54" s="135" t="s">
        <v>3954</v>
      </c>
      <c r="AE54" s="225" t="s">
        <v>3955</v>
      </c>
      <c r="AF54" s="134" t="s">
        <v>3956</v>
      </c>
      <c r="AG54" s="223" t="s">
        <v>3941</v>
      </c>
      <c r="AH54" s="226" t="s">
        <v>3957</v>
      </c>
      <c r="AI54" s="115" t="s">
        <v>3958</v>
      </c>
      <c r="AJ54" s="116" t="s">
        <v>3959</v>
      </c>
      <c r="AK54" s="223" t="s">
        <v>3941</v>
      </c>
      <c r="AL54" s="109" t="s">
        <v>3947</v>
      </c>
      <c r="AM54" s="110" t="s">
        <v>3960</v>
      </c>
      <c r="AN54" s="75" t="s">
        <v>3961</v>
      </c>
      <c r="AO54" s="223" t="s">
        <v>3941</v>
      </c>
      <c r="AP54" s="120" t="s">
        <v>3947</v>
      </c>
      <c r="AQ54" s="121" t="s">
        <v>3948</v>
      </c>
      <c r="AR54" s="72" t="s">
        <v>3949</v>
      </c>
      <c r="AS54" s="75"/>
    </row>
    <row r="55">
      <c r="A55" s="223" t="s">
        <v>3962</v>
      </c>
      <c r="B55" s="120" t="s">
        <v>3963</v>
      </c>
      <c r="C55" s="121" t="s">
        <v>3964</v>
      </c>
      <c r="D55" s="72" t="s">
        <v>3965</v>
      </c>
      <c r="E55" s="223" t="s">
        <v>3962</v>
      </c>
      <c r="F55" s="120" t="s">
        <v>3963</v>
      </c>
      <c r="G55" s="121" t="s">
        <v>3966</v>
      </c>
      <c r="H55" s="72" t="s">
        <v>3967</v>
      </c>
      <c r="I55" s="223" t="s">
        <v>3962</v>
      </c>
      <c r="J55" s="120" t="s">
        <v>3968</v>
      </c>
      <c r="K55" s="121" t="s">
        <v>3969</v>
      </c>
      <c r="L55" s="72" t="s">
        <v>3970</v>
      </c>
      <c r="M55" s="223" t="s">
        <v>3962</v>
      </c>
      <c r="N55" s="120" t="s">
        <v>3971</v>
      </c>
      <c r="O55" s="121" t="s">
        <v>3972</v>
      </c>
      <c r="P55" s="72" t="s">
        <v>3973</v>
      </c>
      <c r="Q55" s="223" t="s">
        <v>3962</v>
      </c>
      <c r="R55" s="120" t="s">
        <v>3974</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3962</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3962</v>
      </c>
      <c r="Z55" s="120"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5" s="223" t="s">
        <v>3962</v>
      </c>
      <c r="AD55" s="135" t="s">
        <v>3975</v>
      </c>
      <c r="AE55" s="225" t="s">
        <v>3976</v>
      </c>
      <c r="AF55" s="134" t="s">
        <v>3977</v>
      </c>
      <c r="AG55" s="223" t="s">
        <v>3962</v>
      </c>
      <c r="AH55" s="226" t="s">
        <v>3978</v>
      </c>
      <c r="AI55" s="115" t="s">
        <v>3979</v>
      </c>
      <c r="AJ55" s="116" t="s">
        <v>3980</v>
      </c>
      <c r="AK55" s="223" t="s">
        <v>3962</v>
      </c>
      <c r="AL55" s="109" t="s">
        <v>3968</v>
      </c>
      <c r="AM55" s="110" t="s">
        <v>3981</v>
      </c>
      <c r="AN55" s="75" t="s">
        <v>3982</v>
      </c>
      <c r="AO55" s="223" t="s">
        <v>3962</v>
      </c>
      <c r="AP55" s="120" t="s">
        <v>3968</v>
      </c>
      <c r="AQ55" s="121" t="s">
        <v>3969</v>
      </c>
      <c r="AR55" s="72" t="s">
        <v>3970</v>
      </c>
      <c r="AS55" s="75"/>
    </row>
    <row r="56">
      <c r="A56" s="223" t="s">
        <v>3983</v>
      </c>
      <c r="B56" s="120" t="s">
        <v>3984</v>
      </c>
      <c r="C56" s="121" t="s">
        <v>3985</v>
      </c>
      <c r="D56" s="72" t="s">
        <v>3986</v>
      </c>
      <c r="E56" s="223" t="s">
        <v>3983</v>
      </c>
      <c r="F56" s="120" t="s">
        <v>3987</v>
      </c>
      <c r="G56" s="121" t="s">
        <v>3988</v>
      </c>
      <c r="H56" s="72" t="s">
        <v>3989</v>
      </c>
      <c r="I56" s="223" t="s">
        <v>3983</v>
      </c>
      <c r="J56" s="120" t="s">
        <v>3990</v>
      </c>
      <c r="K56" s="121" t="s">
        <v>3991</v>
      </c>
      <c r="L56" s="72" t="s">
        <v>3992</v>
      </c>
      <c r="M56" s="223" t="s">
        <v>3983</v>
      </c>
      <c r="N56" s="120" t="s">
        <v>3993</v>
      </c>
      <c r="O56" s="121" t="s">
        <v>3994</v>
      </c>
      <c r="P56" s="72" t="s">
        <v>3995</v>
      </c>
      <c r="Q56" s="223" t="s">
        <v>3983</v>
      </c>
      <c r="R56" s="120" t="s">
        <v>3996</v>
      </c>
      <c r="S56" s="121" t="s">
        <v>3997</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3983</v>
      </c>
      <c r="V56" s="109" t="str">
        <f>IFERROR(__xludf.DUMMYFUNCTION("GOOGLETRANSLATE(B56,""zh-tw"",""KO"")"),"다자오 열 카르스트대")</f>
        <v>다자오 열 카르스트대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3983</v>
      </c>
      <c r="Z56" s="120" t="str">
        <f>IFERROR(__xludf.DUMMYFUNCTION("GOOGLETRANSLATE(B56,""zh-tw"",""ru"")"),"Термальный карстовый пояс Дацзяо")</f>
        <v>Термальный карстовый пояс Дацзяо</v>
      </c>
      <c r="AA56" s="224"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23" t="s">
        <v>3983</v>
      </c>
      <c r="AD56" s="135" t="s">
        <v>3998</v>
      </c>
      <c r="AE56" s="225" t="s">
        <v>3999</v>
      </c>
      <c r="AF56" s="134" t="s">
        <v>4000</v>
      </c>
      <c r="AG56" s="223" t="s">
        <v>3983</v>
      </c>
      <c r="AH56" s="226" t="s">
        <v>4001</v>
      </c>
      <c r="AI56" s="115" t="s">
        <v>4002</v>
      </c>
      <c r="AJ56" s="116" t="s">
        <v>4003</v>
      </c>
      <c r="AK56" s="223" t="s">
        <v>3983</v>
      </c>
      <c r="AL56" s="109" t="s">
        <v>4004</v>
      </c>
      <c r="AM56" s="110" t="s">
        <v>4005</v>
      </c>
      <c r="AN56" s="75" t="s">
        <v>4006</v>
      </c>
      <c r="AO56" s="223" t="s">
        <v>3983</v>
      </c>
      <c r="AP56" s="120" t="s">
        <v>3990</v>
      </c>
      <c r="AQ56" s="121" t="s">
        <v>3991</v>
      </c>
      <c r="AR56" s="72" t="s">
        <v>3992</v>
      </c>
      <c r="AS56" s="75"/>
    </row>
    <row r="57">
      <c r="A57" s="223" t="s">
        <v>4007</v>
      </c>
      <c r="B57" s="120" t="s">
        <v>4008</v>
      </c>
      <c r="C57" s="121" t="s">
        <v>4009</v>
      </c>
      <c r="D57" s="72" t="s">
        <v>4010</v>
      </c>
      <c r="E57" s="223" t="s">
        <v>4007</v>
      </c>
      <c r="F57" s="120" t="s">
        <v>4011</v>
      </c>
      <c r="G57" s="121" t="s">
        <v>4012</v>
      </c>
      <c r="H57" s="72" t="s">
        <v>4013</v>
      </c>
      <c r="I57" s="223" t="s">
        <v>4007</v>
      </c>
      <c r="J57" s="120" t="s">
        <v>4014</v>
      </c>
      <c r="K57" s="121" t="s">
        <v>4015</v>
      </c>
      <c r="L57" s="72" t="s">
        <v>4016</v>
      </c>
      <c r="M57" s="223" t="s">
        <v>4007</v>
      </c>
      <c r="N57" s="120" t="s">
        <v>4017</v>
      </c>
      <c r="O57" s="121" t="s">
        <v>4018</v>
      </c>
      <c r="P57" s="72" t="s">
        <v>4019</v>
      </c>
      <c r="Q57" s="223" t="s">
        <v>4007</v>
      </c>
      <c r="R57" s="109" t="s">
        <v>4020</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4007</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4007</v>
      </c>
      <c r="Z57" s="120"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23" t="s">
        <v>4007</v>
      </c>
      <c r="AD57" s="135" t="s">
        <v>4021</v>
      </c>
      <c r="AE57" s="225" t="s">
        <v>4022</v>
      </c>
      <c r="AF57" s="134" t="s">
        <v>4023</v>
      </c>
      <c r="AG57" s="223" t="s">
        <v>4007</v>
      </c>
      <c r="AH57" s="226" t="s">
        <v>4024</v>
      </c>
      <c r="AI57" s="115" t="s">
        <v>4025</v>
      </c>
      <c r="AJ57" s="116" t="s">
        <v>4026</v>
      </c>
      <c r="AK57" s="223" t="s">
        <v>4007</v>
      </c>
      <c r="AL57" s="109" t="s">
        <v>4027</v>
      </c>
      <c r="AM57" s="110" t="s">
        <v>4028</v>
      </c>
      <c r="AN57" s="75" t="s">
        <v>4029</v>
      </c>
      <c r="AO57" s="223" t="s">
        <v>4007</v>
      </c>
      <c r="AP57" s="120" t="s">
        <v>4014</v>
      </c>
      <c r="AQ57" s="121" t="s">
        <v>4015</v>
      </c>
      <c r="AR57" s="72" t="s">
        <v>4016</v>
      </c>
      <c r="AS57" s="75"/>
    </row>
    <row r="58">
      <c r="A58" s="223" t="s">
        <v>4030</v>
      </c>
      <c r="B58" s="120" t="s">
        <v>4031</v>
      </c>
      <c r="C58" s="121" t="s">
        <v>3860</v>
      </c>
      <c r="D58" s="72" t="s">
        <v>4032</v>
      </c>
      <c r="E58" s="223" t="s">
        <v>4030</v>
      </c>
      <c r="F58" s="120" t="s">
        <v>4033</v>
      </c>
      <c r="G58" s="121" t="s">
        <v>4034</v>
      </c>
      <c r="H58" s="72" t="s">
        <v>4035</v>
      </c>
      <c r="I58" s="223" t="s">
        <v>4030</v>
      </c>
      <c r="J58" s="120" t="s">
        <v>4036</v>
      </c>
      <c r="K58" s="121" t="s">
        <v>4037</v>
      </c>
      <c r="L58" s="72" t="s">
        <v>4038</v>
      </c>
      <c r="M58" s="223" t="s">
        <v>4030</v>
      </c>
      <c r="N58" s="120" t="s">
        <v>4039</v>
      </c>
      <c r="O58" s="121" t="s">
        <v>3869</v>
      </c>
      <c r="P58" s="72" t="s">
        <v>4040</v>
      </c>
      <c r="Q58" s="223" t="s">
        <v>4030</v>
      </c>
      <c r="R58" s="109" t="s">
        <v>4041</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4030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4030</v>
      </c>
      <c r="Z58" s="120"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23" t="s">
        <v>4030</v>
      </c>
      <c r="AD58" s="135" t="s">
        <v>4042</v>
      </c>
      <c r="AE58" s="225" t="s">
        <v>4043</v>
      </c>
      <c r="AF58" s="134" t="s">
        <v>4044</v>
      </c>
      <c r="AG58" s="223" t="s">
        <v>4030</v>
      </c>
      <c r="AH58" s="226" t="s">
        <v>4045</v>
      </c>
      <c r="AI58" s="115" t="s">
        <v>4046</v>
      </c>
      <c r="AJ58" s="116" t="s">
        <v>4047</v>
      </c>
      <c r="AK58" s="223" t="s">
        <v>4030</v>
      </c>
      <c r="AL58" s="109" t="s">
        <v>4048</v>
      </c>
      <c r="AM58" s="110" t="s">
        <v>4049</v>
      </c>
      <c r="AN58" s="75" t="s">
        <v>4050</v>
      </c>
      <c r="AO58" s="223" t="s">
        <v>4030</v>
      </c>
      <c r="AP58" s="120" t="s">
        <v>4036</v>
      </c>
      <c r="AQ58" s="121" t="s">
        <v>4037</v>
      </c>
      <c r="AR58" s="72" t="s">
        <v>4038</v>
      </c>
      <c r="AS58" s="75"/>
    </row>
    <row r="59">
      <c r="A59" s="223" t="s">
        <v>4051</v>
      </c>
      <c r="B59" s="120" t="s">
        <v>4052</v>
      </c>
      <c r="C59" s="121" t="s">
        <v>3860</v>
      </c>
      <c r="D59" s="72" t="s">
        <v>4053</v>
      </c>
      <c r="E59" s="223" t="s">
        <v>4051</v>
      </c>
      <c r="F59" s="120" t="s">
        <v>4054</v>
      </c>
      <c r="G59" s="121" t="s">
        <v>4034</v>
      </c>
      <c r="H59" s="72" t="s">
        <v>4055</v>
      </c>
      <c r="I59" s="223" t="s">
        <v>4051</v>
      </c>
      <c r="J59" s="120" t="s">
        <v>4056</v>
      </c>
      <c r="K59" s="121" t="s">
        <v>4037</v>
      </c>
      <c r="L59" s="72" t="s">
        <v>4057</v>
      </c>
      <c r="M59" s="223" t="s">
        <v>4051</v>
      </c>
      <c r="N59" s="120" t="s">
        <v>4058</v>
      </c>
      <c r="O59" s="121" t="s">
        <v>3869</v>
      </c>
      <c r="P59" s="72" t="s">
        <v>4059</v>
      </c>
      <c r="Q59" s="223" t="s">
        <v>4051</v>
      </c>
      <c r="R59" s="109" t="s">
        <v>4060</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3" t="s">
        <v>4051</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4051</v>
      </c>
      <c r="Z59" s="120"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23" t="s">
        <v>4051</v>
      </c>
      <c r="AD59" s="135" t="s">
        <v>4061</v>
      </c>
      <c r="AE59" s="225" t="s">
        <v>4062</v>
      </c>
      <c r="AF59" s="134" t="s">
        <v>4063</v>
      </c>
      <c r="AG59" s="223" t="s">
        <v>4051</v>
      </c>
      <c r="AH59" s="226" t="s">
        <v>4064</v>
      </c>
      <c r="AI59" s="115" t="s">
        <v>4046</v>
      </c>
      <c r="AJ59" s="116" t="s">
        <v>4065</v>
      </c>
      <c r="AK59" s="223" t="s">
        <v>4051</v>
      </c>
      <c r="AL59" s="109" t="s">
        <v>4066</v>
      </c>
      <c r="AM59" s="110" t="s">
        <v>4049</v>
      </c>
      <c r="AN59" s="75" t="s">
        <v>4067</v>
      </c>
      <c r="AO59" s="223" t="s">
        <v>4051</v>
      </c>
      <c r="AP59" s="120" t="s">
        <v>4056</v>
      </c>
      <c r="AQ59" s="121" t="s">
        <v>4037</v>
      </c>
      <c r="AR59" s="72" t="s">
        <v>4057</v>
      </c>
      <c r="AS59" s="75"/>
    </row>
    <row r="60">
      <c r="A60" s="136" t="s">
        <v>4068</v>
      </c>
      <c r="B60" s="109" t="s">
        <v>4069</v>
      </c>
      <c r="C60" s="110" t="s">
        <v>4070</v>
      </c>
      <c r="D60" s="75" t="s">
        <v>4071</v>
      </c>
      <c r="E60" s="136" t="s">
        <v>4068</v>
      </c>
      <c r="F60" s="109" t="s">
        <v>4072</v>
      </c>
      <c r="G60" s="110" t="s">
        <v>4073</v>
      </c>
      <c r="H60" s="75" t="s">
        <v>4074</v>
      </c>
      <c r="I60" s="136" t="s">
        <v>4068</v>
      </c>
      <c r="J60" s="109" t="s">
        <v>4075</v>
      </c>
      <c r="K60" s="110" t="s">
        <v>4076</v>
      </c>
      <c r="L60" s="75" t="s">
        <v>4077</v>
      </c>
      <c r="M60" s="136" t="s">
        <v>4068</v>
      </c>
      <c r="N60" s="120" t="s">
        <v>4078</v>
      </c>
      <c r="O60" s="121" t="s">
        <v>4079</v>
      </c>
      <c r="P60" s="72" t="s">
        <v>4080</v>
      </c>
      <c r="Q60" s="136" t="s">
        <v>4068</v>
      </c>
      <c r="R60" s="109" t="s">
        <v>4081</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4068</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4068</v>
      </c>
      <c r="Z60" s="120"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136" t="s">
        <v>4068</v>
      </c>
      <c r="AD60" s="109" t="s">
        <v>4082</v>
      </c>
      <c r="AE60" s="110" t="s">
        <v>4083</v>
      </c>
      <c r="AF60" s="75" t="s">
        <v>4084</v>
      </c>
      <c r="AG60" s="136" t="s">
        <v>4068</v>
      </c>
      <c r="AH60" s="232" t="s">
        <v>4085</v>
      </c>
      <c r="AI60" s="150" t="s">
        <v>4086</v>
      </c>
      <c r="AJ60" s="182" t="s">
        <v>4087</v>
      </c>
      <c r="AK60" s="136" t="s">
        <v>4068</v>
      </c>
      <c r="AL60" s="109" t="s">
        <v>4088</v>
      </c>
      <c r="AM60" s="110" t="s">
        <v>4089</v>
      </c>
      <c r="AN60" s="75" t="s">
        <v>4090</v>
      </c>
      <c r="AO60" s="136" t="s">
        <v>4068</v>
      </c>
      <c r="AP60" s="120" t="s">
        <v>4075</v>
      </c>
      <c r="AQ60" s="121" t="s">
        <v>4076</v>
      </c>
      <c r="AR60" s="72" t="s">
        <v>4077</v>
      </c>
      <c r="AS60" s="75"/>
    </row>
    <row r="61">
      <c r="A61" s="136" t="s">
        <v>4091</v>
      </c>
      <c r="B61" s="109" t="s">
        <v>4092</v>
      </c>
      <c r="C61" s="110" t="s">
        <v>4093</v>
      </c>
      <c r="D61" s="75" t="s">
        <v>4094</v>
      </c>
      <c r="E61" s="136" t="s">
        <v>4091</v>
      </c>
      <c r="F61" s="109" t="s">
        <v>4095</v>
      </c>
      <c r="G61" s="110" t="s">
        <v>4096</v>
      </c>
      <c r="H61" s="75" t="s">
        <v>4097</v>
      </c>
      <c r="I61" s="136" t="s">
        <v>4091</v>
      </c>
      <c r="J61" s="109" t="s">
        <v>4098</v>
      </c>
      <c r="K61" s="121" t="s">
        <v>4099</v>
      </c>
      <c r="L61" s="75" t="s">
        <v>4100</v>
      </c>
      <c r="M61" s="136" t="s">
        <v>4091</v>
      </c>
      <c r="N61" s="120" t="s">
        <v>4101</v>
      </c>
      <c r="O61" s="121" t="s">
        <v>4102</v>
      </c>
      <c r="P61" s="72" t="s">
        <v>4103</v>
      </c>
      <c r="Q61" s="136" t="s">
        <v>4091</v>
      </c>
      <c r="R61" s="109" t="s">
        <v>4104</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4091</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4091</v>
      </c>
      <c r="Z61" s="120"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136" t="s">
        <v>4091</v>
      </c>
      <c r="AD61" s="109" t="s">
        <v>4105</v>
      </c>
      <c r="AE61" s="110" t="s">
        <v>4106</v>
      </c>
      <c r="AF61" s="75" t="s">
        <v>4107</v>
      </c>
      <c r="AG61" s="136" t="s">
        <v>4091</v>
      </c>
      <c r="AH61" s="232" t="s">
        <v>4108</v>
      </c>
      <c r="AI61" s="150" t="s">
        <v>4109</v>
      </c>
      <c r="AJ61" s="182" t="s">
        <v>4110</v>
      </c>
      <c r="AK61" s="136" t="s">
        <v>4091</v>
      </c>
      <c r="AL61" s="109" t="s">
        <v>4111</v>
      </c>
      <c r="AM61" s="110" t="s">
        <v>4112</v>
      </c>
      <c r="AN61" s="75" t="s">
        <v>4113</v>
      </c>
      <c r="AO61" s="136" t="s">
        <v>4091</v>
      </c>
      <c r="AP61" s="120" t="s">
        <v>4098</v>
      </c>
      <c r="AQ61" s="121" t="s">
        <v>4099</v>
      </c>
      <c r="AR61" s="72" t="s">
        <v>4100</v>
      </c>
      <c r="AS61" s="75"/>
    </row>
    <row r="62">
      <c r="A62" s="136" t="s">
        <v>4114</v>
      </c>
      <c r="B62" s="109" t="s">
        <v>4115</v>
      </c>
      <c r="C62" s="110" t="s">
        <v>4116</v>
      </c>
      <c r="D62" s="75" t="s">
        <v>4117</v>
      </c>
      <c r="E62" s="136" t="s">
        <v>4114</v>
      </c>
      <c r="F62" s="109" t="s">
        <v>4118</v>
      </c>
      <c r="G62" s="110" t="s">
        <v>4119</v>
      </c>
      <c r="H62" s="75" t="s">
        <v>4120</v>
      </c>
      <c r="I62" s="136" t="s">
        <v>4114</v>
      </c>
      <c r="J62" s="109" t="s">
        <v>4121</v>
      </c>
      <c r="K62" s="110" t="s">
        <v>4122</v>
      </c>
      <c r="L62" s="75" t="s">
        <v>4123</v>
      </c>
      <c r="M62" s="136" t="s">
        <v>4114</v>
      </c>
      <c r="N62" s="120" t="s">
        <v>4124</v>
      </c>
      <c r="O62" s="121" t="s">
        <v>4125</v>
      </c>
      <c r="P62" s="72" t="s">
        <v>4126</v>
      </c>
      <c r="Q62" s="136" t="s">
        <v>4114</v>
      </c>
      <c r="R62" s="109" t="s">
        <v>4127</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4114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4114</v>
      </c>
      <c r="Z62" s="120"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136" t="s">
        <v>4114</v>
      </c>
      <c r="AD62" s="109" t="s">
        <v>4128</v>
      </c>
      <c r="AE62" s="110" t="s">
        <v>4129</v>
      </c>
      <c r="AF62" s="75" t="s">
        <v>4130</v>
      </c>
      <c r="AG62" s="136" t="s">
        <v>4114</v>
      </c>
      <c r="AH62" s="232" t="s">
        <v>4131</v>
      </c>
      <c r="AI62" s="150" t="s">
        <v>4132</v>
      </c>
      <c r="AJ62" s="182" t="s">
        <v>4133</v>
      </c>
      <c r="AK62" s="136" t="s">
        <v>4114</v>
      </c>
      <c r="AL62" s="109" t="s">
        <v>4134</v>
      </c>
      <c r="AM62" s="110" t="s">
        <v>4135</v>
      </c>
      <c r="AN62" s="75" t="s">
        <v>4136</v>
      </c>
      <c r="AO62" s="136" t="s">
        <v>4114</v>
      </c>
      <c r="AP62" s="120" t="s">
        <v>4121</v>
      </c>
      <c r="AQ62" s="121" t="s">
        <v>4122</v>
      </c>
      <c r="AR62" s="72" t="s">
        <v>4123</v>
      </c>
      <c r="AS62" s="75"/>
    </row>
    <row r="63">
      <c r="A63" s="136" t="s">
        <v>4137</v>
      </c>
      <c r="B63" s="109" t="s">
        <v>4138</v>
      </c>
      <c r="C63" s="110" t="s">
        <v>4139</v>
      </c>
      <c r="D63" s="75" t="s">
        <v>4140</v>
      </c>
      <c r="E63" s="136" t="s">
        <v>4137</v>
      </c>
      <c r="F63" s="109" t="s">
        <v>4141</v>
      </c>
      <c r="G63" s="110" t="s">
        <v>4142</v>
      </c>
      <c r="H63" s="75" t="s">
        <v>4143</v>
      </c>
      <c r="I63" s="136" t="s">
        <v>4137</v>
      </c>
      <c r="J63" s="109" t="s">
        <v>4144</v>
      </c>
      <c r="K63" s="110" t="s">
        <v>4145</v>
      </c>
      <c r="L63" s="75" t="s">
        <v>4146</v>
      </c>
      <c r="M63" s="136" t="s">
        <v>4137</v>
      </c>
      <c r="N63" s="120" t="s">
        <v>4147</v>
      </c>
      <c r="O63" s="121" t="s">
        <v>4148</v>
      </c>
      <c r="P63" s="72" t="s">
        <v>4149</v>
      </c>
      <c r="Q63" s="136" t="s">
        <v>4137</v>
      </c>
      <c r="R63" s="109" t="s">
        <v>4150</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4137</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4137</v>
      </c>
      <c r="Z63" s="120"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136" t="s">
        <v>4137</v>
      </c>
      <c r="AD63" s="109" t="s">
        <v>4151</v>
      </c>
      <c r="AE63" s="110" t="s">
        <v>4152</v>
      </c>
      <c r="AF63" s="75" t="s">
        <v>4153</v>
      </c>
      <c r="AG63" s="136" t="s">
        <v>4137</v>
      </c>
      <c r="AH63" s="232" t="s">
        <v>4085</v>
      </c>
      <c r="AI63" s="150" t="s">
        <v>4154</v>
      </c>
      <c r="AJ63" s="182" t="s">
        <v>4155</v>
      </c>
      <c r="AK63" s="136" t="s">
        <v>4137</v>
      </c>
      <c r="AL63" s="109" t="s">
        <v>4156</v>
      </c>
      <c r="AM63" s="110" t="s">
        <v>4157</v>
      </c>
      <c r="AN63" s="75" t="s">
        <v>4158</v>
      </c>
      <c r="AO63" s="136" t="s">
        <v>4137</v>
      </c>
      <c r="AP63" s="120" t="s">
        <v>4144</v>
      </c>
      <c r="AQ63" s="121" t="s">
        <v>4145</v>
      </c>
      <c r="AR63" s="72" t="s">
        <v>4146</v>
      </c>
      <c r="AS63" s="75"/>
    </row>
    <row r="64">
      <c r="A64" s="136" t="s">
        <v>4159</v>
      </c>
      <c r="B64" s="109" t="s">
        <v>4092</v>
      </c>
      <c r="C64" s="110" t="s">
        <v>4160</v>
      </c>
      <c r="D64" s="75" t="s">
        <v>4161</v>
      </c>
      <c r="E64" s="136" t="s">
        <v>4159</v>
      </c>
      <c r="F64" s="109" t="s">
        <v>4095</v>
      </c>
      <c r="G64" s="110" t="s">
        <v>4162</v>
      </c>
      <c r="H64" s="75" t="s">
        <v>4163</v>
      </c>
      <c r="I64" s="136" t="s">
        <v>4159</v>
      </c>
      <c r="J64" s="109" t="s">
        <v>4164</v>
      </c>
      <c r="K64" s="110" t="s">
        <v>4165</v>
      </c>
      <c r="L64" s="72" t="s">
        <v>4166</v>
      </c>
      <c r="M64" s="136" t="s">
        <v>4159</v>
      </c>
      <c r="N64" s="120" t="s">
        <v>4101</v>
      </c>
      <c r="O64" s="121" t="s">
        <v>4167</v>
      </c>
      <c r="P64" s="72" t="s">
        <v>4168</v>
      </c>
      <c r="Q64" s="136" t="s">
        <v>4159</v>
      </c>
      <c r="R64" s="109" t="s">
        <v>4104</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4159</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4159</v>
      </c>
      <c r="Z64" s="120"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136" t="s">
        <v>4159</v>
      </c>
      <c r="AD64" s="109" t="s">
        <v>4169</v>
      </c>
      <c r="AE64" s="110" t="s">
        <v>4170</v>
      </c>
      <c r="AF64" s="75" t="s">
        <v>4171</v>
      </c>
      <c r="AG64" s="136" t="s">
        <v>4159</v>
      </c>
      <c r="AH64" s="232" t="s">
        <v>4172</v>
      </c>
      <c r="AI64" s="150" t="s">
        <v>4173</v>
      </c>
      <c r="AJ64" s="182" t="s">
        <v>4174</v>
      </c>
      <c r="AK64" s="136" t="s">
        <v>4159</v>
      </c>
      <c r="AL64" s="109" t="s">
        <v>4175</v>
      </c>
      <c r="AM64" s="110" t="s">
        <v>4176</v>
      </c>
      <c r="AN64" s="75" t="s">
        <v>4177</v>
      </c>
      <c r="AO64" s="136" t="s">
        <v>4159</v>
      </c>
      <c r="AP64" s="120" t="s">
        <v>4164</v>
      </c>
      <c r="AQ64" s="121" t="s">
        <v>4165</v>
      </c>
      <c r="AR64" s="72" t="s">
        <v>4166</v>
      </c>
      <c r="AS64" s="75"/>
    </row>
    <row r="65">
      <c r="A65" s="136" t="s">
        <v>4178</v>
      </c>
      <c r="B65" s="109" t="s">
        <v>4179</v>
      </c>
      <c r="C65" s="121" t="s">
        <v>4180</v>
      </c>
      <c r="D65" s="75" t="s">
        <v>4181</v>
      </c>
      <c r="E65" s="136" t="s">
        <v>4178</v>
      </c>
      <c r="F65" s="109" t="s">
        <v>4182</v>
      </c>
      <c r="G65" s="110" t="s">
        <v>4183</v>
      </c>
      <c r="H65" s="75" t="s">
        <v>4184</v>
      </c>
      <c r="I65" s="136" t="s">
        <v>4178</v>
      </c>
      <c r="J65" s="120" t="s">
        <v>4185</v>
      </c>
      <c r="K65" s="121" t="s">
        <v>4186</v>
      </c>
      <c r="L65" s="72" t="s">
        <v>4187</v>
      </c>
      <c r="M65" s="136" t="s">
        <v>4178</v>
      </c>
      <c r="N65" s="120" t="s">
        <v>4188</v>
      </c>
      <c r="O65" s="121" t="s">
        <v>4189</v>
      </c>
      <c r="P65" s="72" t="s">
        <v>4190</v>
      </c>
      <c r="Q65" s="136" t="s">
        <v>4178</v>
      </c>
      <c r="R65" s="109" t="s">
        <v>4191</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4178</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4178</v>
      </c>
      <c r="Z65" s="120"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136" t="s">
        <v>4178</v>
      </c>
      <c r="AD65" s="120" t="s">
        <v>4192</v>
      </c>
      <c r="AE65" s="121" t="s">
        <v>4193</v>
      </c>
      <c r="AF65" s="72" t="s">
        <v>4194</v>
      </c>
      <c r="AG65" s="136" t="s">
        <v>4178</v>
      </c>
      <c r="AH65" s="232" t="s">
        <v>4195</v>
      </c>
      <c r="AI65" s="115" t="s">
        <v>4196</v>
      </c>
      <c r="AJ65" s="182" t="s">
        <v>4197</v>
      </c>
      <c r="AK65" s="136" t="s">
        <v>4178</v>
      </c>
      <c r="AL65" s="233" t="s">
        <v>4185</v>
      </c>
      <c r="AM65" s="110" t="s">
        <v>4198</v>
      </c>
      <c r="AN65" s="75" t="s">
        <v>4199</v>
      </c>
      <c r="AO65" s="136" t="s">
        <v>4178</v>
      </c>
      <c r="AP65" s="120" t="s">
        <v>4185</v>
      </c>
      <c r="AQ65" s="121" t="s">
        <v>4186</v>
      </c>
      <c r="AR65" s="72" t="s">
        <v>4187</v>
      </c>
      <c r="AS65" s="75"/>
    </row>
    <row r="66">
      <c r="A66" s="136" t="s">
        <v>4200</v>
      </c>
      <c r="B66" s="109" t="s">
        <v>4201</v>
      </c>
      <c r="C66" s="110" t="s">
        <v>4202</v>
      </c>
      <c r="D66" s="75" t="s">
        <v>4203</v>
      </c>
      <c r="E66" s="136" t="s">
        <v>4200</v>
      </c>
      <c r="F66" s="109" t="s">
        <v>4204</v>
      </c>
      <c r="G66" s="110" t="s">
        <v>4205</v>
      </c>
      <c r="H66" s="75" t="s">
        <v>4206</v>
      </c>
      <c r="I66" s="136" t="s">
        <v>4200</v>
      </c>
      <c r="J66" s="109" t="s">
        <v>4207</v>
      </c>
      <c r="K66" s="110" t="s">
        <v>4208</v>
      </c>
      <c r="L66" s="75" t="s">
        <v>4209</v>
      </c>
      <c r="M66" s="136" t="s">
        <v>4200</v>
      </c>
      <c r="N66" s="120" t="s">
        <v>4210</v>
      </c>
      <c r="O66" s="121" t="s">
        <v>4211</v>
      </c>
      <c r="P66" s="72" t="s">
        <v>4212</v>
      </c>
      <c r="Q66" s="136" t="s">
        <v>4200</v>
      </c>
      <c r="R66" s="109" t="s">
        <v>4213</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4200</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4200</v>
      </c>
      <c r="Z66" s="120"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136" t="s">
        <v>4200</v>
      </c>
      <c r="AD66" s="109" t="s">
        <v>4214</v>
      </c>
      <c r="AE66" s="110" t="s">
        <v>4215</v>
      </c>
      <c r="AF66" s="75" t="s">
        <v>4216</v>
      </c>
      <c r="AG66" s="136" t="s">
        <v>4200</v>
      </c>
      <c r="AH66" s="232" t="s">
        <v>4217</v>
      </c>
      <c r="AI66" s="150" t="s">
        <v>4218</v>
      </c>
      <c r="AJ66" s="182" t="s">
        <v>4219</v>
      </c>
      <c r="AK66" s="136" t="s">
        <v>4200</v>
      </c>
      <c r="AL66" s="109" t="s">
        <v>4220</v>
      </c>
      <c r="AM66" s="110" t="s">
        <v>4221</v>
      </c>
      <c r="AN66" s="75" t="s">
        <v>4222</v>
      </c>
      <c r="AO66" s="136" t="s">
        <v>4200</v>
      </c>
      <c r="AP66" s="120" t="s">
        <v>4207</v>
      </c>
      <c r="AQ66" s="121" t="s">
        <v>4208</v>
      </c>
      <c r="AR66" s="72" t="s">
        <v>4209</v>
      </c>
      <c r="AS66" s="75"/>
    </row>
    <row r="67">
      <c r="A67" s="136" t="s">
        <v>4223</v>
      </c>
      <c r="B67" s="109" t="s">
        <v>4224</v>
      </c>
      <c r="C67" s="110" t="s">
        <v>4225</v>
      </c>
      <c r="D67" s="72" t="s">
        <v>4226</v>
      </c>
      <c r="E67" s="136" t="s">
        <v>4223</v>
      </c>
      <c r="F67" s="109" t="s">
        <v>4227</v>
      </c>
      <c r="G67" s="110" t="s">
        <v>4228</v>
      </c>
      <c r="H67" s="72" t="s">
        <v>4229</v>
      </c>
      <c r="I67" s="136" t="s">
        <v>4223</v>
      </c>
      <c r="J67" s="109" t="s">
        <v>4230</v>
      </c>
      <c r="K67" s="110" t="s">
        <v>4231</v>
      </c>
      <c r="L67" s="72" t="s">
        <v>4232</v>
      </c>
      <c r="M67" s="136" t="s">
        <v>4223</v>
      </c>
      <c r="N67" s="120" t="s">
        <v>4233</v>
      </c>
      <c r="O67" s="110" t="s">
        <v>4234</v>
      </c>
      <c r="P67" s="75" t="s">
        <v>4235</v>
      </c>
      <c r="Q67" s="136" t="s">
        <v>4223</v>
      </c>
      <c r="R67" s="109" t="s">
        <v>4236</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4223</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4223</v>
      </c>
      <c r="Z67" s="120"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136" t="s">
        <v>4223</v>
      </c>
      <c r="AD67" s="109" t="s">
        <v>4237</v>
      </c>
      <c r="AE67" s="110" t="s">
        <v>4238</v>
      </c>
      <c r="AF67" s="75" t="s">
        <v>4239</v>
      </c>
      <c r="AG67" s="136" t="s">
        <v>4223</v>
      </c>
      <c r="AH67" s="232" t="s">
        <v>4240</v>
      </c>
      <c r="AI67" s="150" t="s">
        <v>4241</v>
      </c>
      <c r="AJ67" s="116" t="s">
        <v>4242</v>
      </c>
      <c r="AK67" s="136" t="s">
        <v>4223</v>
      </c>
      <c r="AL67" s="109" t="s">
        <v>4243</v>
      </c>
      <c r="AM67" s="110" t="s">
        <v>4244</v>
      </c>
      <c r="AN67" s="75" t="s">
        <v>4245</v>
      </c>
      <c r="AO67" s="136" t="s">
        <v>4223</v>
      </c>
      <c r="AP67" s="120" t="s">
        <v>4230</v>
      </c>
      <c r="AQ67" s="121" t="s">
        <v>4231</v>
      </c>
      <c r="AR67" s="72" t="s">
        <v>4232</v>
      </c>
      <c r="AS67" s="75"/>
    </row>
    <row r="68">
      <c r="A68" s="136" t="s">
        <v>4246</v>
      </c>
      <c r="B68" s="109" t="s">
        <v>4247</v>
      </c>
      <c r="C68" s="121" t="s">
        <v>4248</v>
      </c>
      <c r="D68" s="75" t="s">
        <v>4249</v>
      </c>
      <c r="E68" s="136" t="s">
        <v>4246</v>
      </c>
      <c r="F68" s="109" t="s">
        <v>4250</v>
      </c>
      <c r="G68" s="110" t="s">
        <v>4251</v>
      </c>
      <c r="H68" s="75" t="s">
        <v>4252</v>
      </c>
      <c r="I68" s="136" t="s">
        <v>4246</v>
      </c>
      <c r="J68" s="109" t="s">
        <v>4253</v>
      </c>
      <c r="K68" s="121" t="s">
        <v>4254</v>
      </c>
      <c r="L68" s="72" t="s">
        <v>4255</v>
      </c>
      <c r="M68" s="136" t="s">
        <v>4246</v>
      </c>
      <c r="N68" s="120" t="s">
        <v>4256</v>
      </c>
      <c r="O68" s="110" t="s">
        <v>4257</v>
      </c>
      <c r="P68" s="75" t="s">
        <v>4258</v>
      </c>
      <c r="Q68" s="136" t="s">
        <v>4246</v>
      </c>
      <c r="R68" s="109" t="s">
        <v>4259</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4246</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4246</v>
      </c>
      <c r="Z68" s="120" t="str">
        <f>IFERROR(__xludf.DUMMYFUNCTION("GOOGLETRANSLATE(B68,""zh-tw"",""ru"")"),"Зона босса Кролика-Горничной - 3")</f>
        <v>Зона босса Кролика-Горничной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4246</v>
      </c>
      <c r="AD68" s="109" t="s">
        <v>4260</v>
      </c>
      <c r="AE68" s="110" t="s">
        <v>4261</v>
      </c>
      <c r="AF68" s="75" t="s">
        <v>4262</v>
      </c>
      <c r="AG68" s="136" t="s">
        <v>4246</v>
      </c>
      <c r="AH68" s="232" t="s">
        <v>4263</v>
      </c>
      <c r="AI68" s="115" t="s">
        <v>4264</v>
      </c>
      <c r="AJ68" s="182" t="s">
        <v>4265</v>
      </c>
      <c r="AK68" s="136" t="s">
        <v>4246</v>
      </c>
      <c r="AL68" s="109" t="s">
        <v>4266</v>
      </c>
      <c r="AM68" s="110" t="s">
        <v>4267</v>
      </c>
      <c r="AN68" s="75" t="s">
        <v>4268</v>
      </c>
      <c r="AO68" s="136" t="s">
        <v>4246</v>
      </c>
      <c r="AP68" s="120" t="s">
        <v>4253</v>
      </c>
      <c r="AQ68" s="121" t="s">
        <v>4254</v>
      </c>
      <c r="AR68" s="72" t="s">
        <v>4255</v>
      </c>
      <c r="AS68" s="75"/>
    </row>
    <row r="69">
      <c r="A69" s="136" t="s">
        <v>4269</v>
      </c>
      <c r="B69" s="109" t="s">
        <v>4270</v>
      </c>
      <c r="C69" s="121" t="s">
        <v>4271</v>
      </c>
      <c r="D69" s="72" t="s">
        <v>4272</v>
      </c>
      <c r="E69" s="136" t="s">
        <v>4269</v>
      </c>
      <c r="F69" s="109" t="s">
        <v>4273</v>
      </c>
      <c r="G69" s="121" t="s">
        <v>4274</v>
      </c>
      <c r="H69" s="72" t="s">
        <v>4275</v>
      </c>
      <c r="I69" s="136" t="s">
        <v>4269</v>
      </c>
      <c r="J69" s="109" t="s">
        <v>4276</v>
      </c>
      <c r="K69" s="121" t="s">
        <v>4277</v>
      </c>
      <c r="L69" s="72" t="s">
        <v>4278</v>
      </c>
      <c r="M69" s="136" t="s">
        <v>4269</v>
      </c>
      <c r="N69" s="120" t="s">
        <v>4279</v>
      </c>
      <c r="O69" s="110" t="s">
        <v>4280</v>
      </c>
      <c r="P69" s="75" t="s">
        <v>4281</v>
      </c>
      <c r="Q69" s="136" t="s">
        <v>4269</v>
      </c>
      <c r="R69" s="109" t="s">
        <v>4282</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4269</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4269</v>
      </c>
      <c r="Z69" s="120"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4269</v>
      </c>
      <c r="AD69" s="109" t="s">
        <v>4283</v>
      </c>
      <c r="AE69" s="110" t="s">
        <v>4284</v>
      </c>
      <c r="AF69" s="75" t="s">
        <v>4285</v>
      </c>
      <c r="AG69" s="136" t="s">
        <v>4269</v>
      </c>
      <c r="AH69" s="232" t="s">
        <v>4286</v>
      </c>
      <c r="AI69" s="115" t="s">
        <v>4287</v>
      </c>
      <c r="AJ69" s="133" t="s">
        <v>4288</v>
      </c>
      <c r="AK69" s="136" t="s">
        <v>4269</v>
      </c>
      <c r="AL69" s="109" t="s">
        <v>4289</v>
      </c>
      <c r="AM69" s="110" t="s">
        <v>4290</v>
      </c>
      <c r="AN69" s="75" t="s">
        <v>4291</v>
      </c>
      <c r="AO69" s="136" t="s">
        <v>4269</v>
      </c>
      <c r="AP69" s="120" t="s">
        <v>4276</v>
      </c>
      <c r="AQ69" s="121" t="s">
        <v>4277</v>
      </c>
      <c r="AR69" s="72" t="s">
        <v>4278</v>
      </c>
      <c r="AS69" s="75"/>
    </row>
    <row r="70">
      <c r="A70" s="136" t="s">
        <v>4292</v>
      </c>
      <c r="B70" s="120" t="s">
        <v>4293</v>
      </c>
      <c r="C70" s="121" t="s">
        <v>4294</v>
      </c>
      <c r="D70" s="72" t="s">
        <v>4295</v>
      </c>
      <c r="E70" s="136" t="s">
        <v>4292</v>
      </c>
      <c r="F70" s="120" t="s">
        <v>4296</v>
      </c>
      <c r="G70" s="121" t="s">
        <v>4297</v>
      </c>
      <c r="H70" s="72" t="s">
        <v>4298</v>
      </c>
      <c r="I70" s="136" t="s">
        <v>4292</v>
      </c>
      <c r="J70" s="120" t="s">
        <v>4299</v>
      </c>
      <c r="K70" s="121" t="s">
        <v>4300</v>
      </c>
      <c r="L70" s="72" t="s">
        <v>4301</v>
      </c>
      <c r="M70" s="136" t="s">
        <v>4292</v>
      </c>
      <c r="N70" s="120" t="s">
        <v>4302</v>
      </c>
      <c r="O70" s="110" t="s">
        <v>4303</v>
      </c>
      <c r="P70" s="75" t="s">
        <v>4304</v>
      </c>
      <c r="Q70" s="136" t="s">
        <v>4292</v>
      </c>
      <c r="R70" s="109" t="s">
        <v>4305</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4292</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4292</v>
      </c>
      <c r="Z70" s="120"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4292</v>
      </c>
      <c r="AD70" s="120" t="s">
        <v>4306</v>
      </c>
      <c r="AE70" s="121" t="s">
        <v>4307</v>
      </c>
      <c r="AF70" s="72" t="s">
        <v>4308</v>
      </c>
      <c r="AG70" s="136" t="s">
        <v>4292</v>
      </c>
      <c r="AH70" s="226" t="s">
        <v>4309</v>
      </c>
      <c r="AI70" s="115" t="s">
        <v>4310</v>
      </c>
      <c r="AJ70" s="116" t="s">
        <v>4311</v>
      </c>
      <c r="AK70" s="136" t="s">
        <v>4292</v>
      </c>
      <c r="AL70" s="109" t="s">
        <v>4312</v>
      </c>
      <c r="AM70" s="110" t="s">
        <v>4313</v>
      </c>
      <c r="AN70" s="75" t="s">
        <v>4314</v>
      </c>
      <c r="AO70" s="136" t="s">
        <v>4292</v>
      </c>
      <c r="AP70" s="120" t="s">
        <v>4299</v>
      </c>
      <c r="AQ70" s="121" t="s">
        <v>4300</v>
      </c>
      <c r="AR70" s="72" t="s">
        <v>4301</v>
      </c>
      <c r="AS70" s="75"/>
    </row>
    <row r="71">
      <c r="A71" s="136" t="s">
        <v>4315</v>
      </c>
      <c r="B71" s="120" t="s">
        <v>4316</v>
      </c>
      <c r="C71" s="121" t="s">
        <v>4317</v>
      </c>
      <c r="D71" s="72" t="s">
        <v>4318</v>
      </c>
      <c r="E71" s="136" t="s">
        <v>4315</v>
      </c>
      <c r="F71" s="120" t="s">
        <v>4319</v>
      </c>
      <c r="G71" s="121" t="s">
        <v>4320</v>
      </c>
      <c r="H71" s="72" t="s">
        <v>4321</v>
      </c>
      <c r="I71" s="136" t="s">
        <v>4315</v>
      </c>
      <c r="J71" s="120" t="s">
        <v>4322</v>
      </c>
      <c r="K71" s="121" t="s">
        <v>4323</v>
      </c>
      <c r="L71" s="72" t="s">
        <v>4324</v>
      </c>
      <c r="M71" s="136" t="s">
        <v>4315</v>
      </c>
      <c r="N71" s="120" t="s">
        <v>4325</v>
      </c>
      <c r="O71" s="110" t="s">
        <v>4326</v>
      </c>
      <c r="P71" s="75" t="s">
        <v>4327</v>
      </c>
      <c r="Q71" s="136" t="s">
        <v>4315</v>
      </c>
      <c r="R71" s="109" t="s">
        <v>4328</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 los guardianes")</f>
        <v>Equipo adquirido: Daga del cazador, Insignia de los guardianes</v>
      </c>
      <c r="U71" s="136" t="s">
        <v>4315</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휘장")</f>
        <v>획득 장비: 사냥꾼의 단검, 수호자의 휘장</v>
      </c>
      <c r="Y71" s="136" t="s">
        <v>4315</v>
      </c>
      <c r="Z71" s="120"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4315</v>
      </c>
      <c r="AD71" s="120" t="s">
        <v>4329</v>
      </c>
      <c r="AE71" s="121" t="s">
        <v>4330</v>
      </c>
      <c r="AF71" s="72" t="s">
        <v>4331</v>
      </c>
      <c r="AG71" s="136" t="s">
        <v>4315</v>
      </c>
      <c r="AH71" s="226" t="s">
        <v>4332</v>
      </c>
      <c r="AI71" s="115" t="s">
        <v>4333</v>
      </c>
      <c r="AJ71" s="116" t="s">
        <v>4334</v>
      </c>
      <c r="AK71" s="136" t="s">
        <v>4315</v>
      </c>
      <c r="AL71" s="109" t="s">
        <v>4335</v>
      </c>
      <c r="AM71" s="110" t="s">
        <v>4336</v>
      </c>
      <c r="AN71" s="75" t="s">
        <v>4337</v>
      </c>
      <c r="AO71" s="136" t="s">
        <v>4315</v>
      </c>
      <c r="AP71" s="120" t="s">
        <v>4322</v>
      </c>
      <c r="AQ71" s="121" t="s">
        <v>4323</v>
      </c>
      <c r="AR71" s="72" t="s">
        <v>4324</v>
      </c>
      <c r="AS71" s="75"/>
    </row>
    <row r="72">
      <c r="A72" s="136" t="s">
        <v>4338</v>
      </c>
      <c r="B72" s="120" t="s">
        <v>4339</v>
      </c>
      <c r="C72" s="121" t="s">
        <v>4340</v>
      </c>
      <c r="D72" s="72" t="s">
        <v>4341</v>
      </c>
      <c r="E72" s="136" t="s">
        <v>4338</v>
      </c>
      <c r="F72" s="120" t="s">
        <v>4342</v>
      </c>
      <c r="G72" s="121" t="s">
        <v>4343</v>
      </c>
      <c r="H72" s="72" t="s">
        <v>4344</v>
      </c>
      <c r="I72" s="136" t="s">
        <v>4338</v>
      </c>
      <c r="J72" s="120" t="s">
        <v>4345</v>
      </c>
      <c r="K72" s="121" t="s">
        <v>4346</v>
      </c>
      <c r="L72" s="72" t="s">
        <v>4347</v>
      </c>
      <c r="M72" s="136" t="s">
        <v>4338</v>
      </c>
      <c r="N72" s="120" t="s">
        <v>4348</v>
      </c>
      <c r="O72" s="110" t="s">
        <v>4349</v>
      </c>
      <c r="P72" s="75" t="s">
        <v>4350</v>
      </c>
      <c r="Q72" s="136" t="s">
        <v>4338</v>
      </c>
      <c r="R72" s="109" t="s">
        <v>4351</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4338</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4338</v>
      </c>
      <c r="Z72" s="120"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4338</v>
      </c>
      <c r="AD72" s="120" t="s">
        <v>4352</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4353</v>
      </c>
      <c r="AG72" s="136" t="s">
        <v>4338</v>
      </c>
      <c r="AH72" s="226" t="s">
        <v>4354</v>
      </c>
      <c r="AI72" s="115" t="s">
        <v>4355</v>
      </c>
      <c r="AJ72" s="116" t="s">
        <v>4356</v>
      </c>
      <c r="AK72" s="136" t="s">
        <v>4338</v>
      </c>
      <c r="AL72" s="109" t="s">
        <v>4357</v>
      </c>
      <c r="AM72" s="110" t="s">
        <v>4358</v>
      </c>
      <c r="AN72" s="75" t="s">
        <v>4359</v>
      </c>
      <c r="AO72" s="136" t="s">
        <v>4338</v>
      </c>
      <c r="AP72" s="120" t="s">
        <v>4345</v>
      </c>
      <c r="AQ72" s="121" t="s">
        <v>4346</v>
      </c>
      <c r="AR72" s="72" t="s">
        <v>4347</v>
      </c>
      <c r="AS72" s="75"/>
    </row>
    <row r="73">
      <c r="A73" s="136" t="s">
        <v>4360</v>
      </c>
      <c r="B73" s="120" t="s">
        <v>4339</v>
      </c>
      <c r="C73" s="121" t="s">
        <v>4361</v>
      </c>
      <c r="D73" s="72" t="s">
        <v>4362</v>
      </c>
      <c r="E73" s="136" t="s">
        <v>4360</v>
      </c>
      <c r="F73" s="120" t="s">
        <v>4342</v>
      </c>
      <c r="G73" s="121" t="str">
        <f>IFERROR(__xludf.DUMMYFUNCTION("GOOGLETRANSLATE(C73,""zh-tw"",""ja"")"),"光る木箱は「開発区（鉱山）-3」に入って左側にあります。")</f>
        <v>光る木箱は「開発区（鉱山）-3」に入って左側にあります。</v>
      </c>
      <c r="H73" s="72" t="s">
        <v>4363</v>
      </c>
      <c r="I73" s="136" t="s">
        <v>4360</v>
      </c>
      <c r="J73" s="120" t="s">
        <v>4345</v>
      </c>
      <c r="K73" s="121" t="s">
        <v>4364</v>
      </c>
      <c r="L73" s="72" t="s">
        <v>4365</v>
      </c>
      <c r="M73" s="136" t="s">
        <v>4360</v>
      </c>
      <c r="N73" s="120" t="s">
        <v>4348</v>
      </c>
      <c r="O73" s="110" t="s">
        <v>4366</v>
      </c>
      <c r="P73" s="75" t="s">
        <v>4367</v>
      </c>
      <c r="Q73" s="136" t="s">
        <v>4360</v>
      </c>
      <c r="R73" s="109" t="s">
        <v>4351</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4360</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4360</v>
      </c>
      <c r="Z73" s="120"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4360</v>
      </c>
      <c r="AD73" s="120" t="s">
        <v>4352</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4368</v>
      </c>
      <c r="AG73" s="136" t="s">
        <v>4360</v>
      </c>
      <c r="AH73" s="226" t="s">
        <v>4354</v>
      </c>
      <c r="AI73" s="115" t="s">
        <v>4369</v>
      </c>
      <c r="AJ73" s="116" t="s">
        <v>4370</v>
      </c>
      <c r="AK73" s="136" t="s">
        <v>4360</v>
      </c>
      <c r="AL73" s="109" t="s">
        <v>4357</v>
      </c>
      <c r="AM73" s="110" t="s">
        <v>4371</v>
      </c>
      <c r="AN73" s="75" t="s">
        <v>4372</v>
      </c>
      <c r="AO73" s="136" t="s">
        <v>4360</v>
      </c>
      <c r="AP73" s="120" t="s">
        <v>4345</v>
      </c>
      <c r="AQ73" s="121" t="s">
        <v>4364</v>
      </c>
      <c r="AR73" s="72" t="s">
        <v>4365</v>
      </c>
      <c r="AS73" s="75"/>
    </row>
    <row r="74">
      <c r="A74" s="136" t="s">
        <v>4373</v>
      </c>
      <c r="B74" s="120" t="s">
        <v>4339</v>
      </c>
      <c r="C74" s="121" t="s">
        <v>4374</v>
      </c>
      <c r="D74" s="72" t="s">
        <v>4375</v>
      </c>
      <c r="E74" s="136" t="s">
        <v>4373</v>
      </c>
      <c r="F74" s="120" t="s">
        <v>4342</v>
      </c>
      <c r="G74" s="121" t="s">
        <v>4376</v>
      </c>
      <c r="H74" s="72" t="s">
        <v>4377</v>
      </c>
      <c r="I74" s="136" t="s">
        <v>4373</v>
      </c>
      <c r="J74" s="120" t="s">
        <v>4345</v>
      </c>
      <c r="K74" s="121" t="s">
        <v>4378</v>
      </c>
      <c r="L74" s="72" t="s">
        <v>4379</v>
      </c>
      <c r="M74" s="136" t="s">
        <v>4373</v>
      </c>
      <c r="N74" s="120" t="s">
        <v>4348</v>
      </c>
      <c r="O74" s="110" t="s">
        <v>4380</v>
      </c>
      <c r="P74" s="75" t="s">
        <v>4381</v>
      </c>
      <c r="Q74" s="136" t="s">
        <v>4373</v>
      </c>
      <c r="R74" s="109" t="s">
        <v>4351</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4373</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4373</v>
      </c>
      <c r="Z74" s="120"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4373</v>
      </c>
      <c r="AD74" s="120" t="s">
        <v>4352</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4382</v>
      </c>
      <c r="AG74" s="136" t="s">
        <v>4373</v>
      </c>
      <c r="AH74" s="226" t="s">
        <v>4354</v>
      </c>
      <c r="AI74" s="115" t="s">
        <v>4383</v>
      </c>
      <c r="AJ74" s="116" t="s">
        <v>4384</v>
      </c>
      <c r="AK74" s="136" t="s">
        <v>4373</v>
      </c>
      <c r="AL74" s="109" t="s">
        <v>4357</v>
      </c>
      <c r="AM74" s="110" t="s">
        <v>4385</v>
      </c>
      <c r="AN74" s="75" t="s">
        <v>4386</v>
      </c>
      <c r="AO74" s="136" t="s">
        <v>4373</v>
      </c>
      <c r="AP74" s="120" t="s">
        <v>4345</v>
      </c>
      <c r="AQ74" s="121" t="s">
        <v>4378</v>
      </c>
      <c r="AR74" s="72" t="s">
        <v>4379</v>
      </c>
      <c r="AS74" s="75"/>
    </row>
    <row r="75">
      <c r="A75" s="136" t="s">
        <v>4387</v>
      </c>
      <c r="B75" s="120" t="s">
        <v>4339</v>
      </c>
      <c r="C75" s="121" t="s">
        <v>4388</v>
      </c>
      <c r="D75" s="72" t="s">
        <v>4389</v>
      </c>
      <c r="E75" s="136" t="s">
        <v>4387</v>
      </c>
      <c r="F75" s="120" t="s">
        <v>4342</v>
      </c>
      <c r="G75" s="121" t="s">
        <v>4390</v>
      </c>
      <c r="H75" s="72" t="s">
        <v>4391</v>
      </c>
      <c r="I75" s="136" t="s">
        <v>4387</v>
      </c>
      <c r="J75" s="120" t="s">
        <v>4345</v>
      </c>
      <c r="K75" s="121" t="s">
        <v>4392</v>
      </c>
      <c r="L75" s="72" t="s">
        <v>4393</v>
      </c>
      <c r="M75" s="136" t="s">
        <v>4387</v>
      </c>
      <c r="N75" s="120" t="s">
        <v>4348</v>
      </c>
      <c r="O75" s="110" t="s">
        <v>4394</v>
      </c>
      <c r="P75" s="75" t="s">
        <v>4395</v>
      </c>
      <c r="Q75" s="136" t="s">
        <v>4387</v>
      </c>
      <c r="R75" s="109" t="s">
        <v>4351</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4387</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4387</v>
      </c>
      <c r="Z75" s="120"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4387</v>
      </c>
      <c r="AD75" s="120" t="s">
        <v>4352</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4396</v>
      </c>
      <c r="AG75" s="136" t="s">
        <v>4387</v>
      </c>
      <c r="AH75" s="226" t="s">
        <v>4354</v>
      </c>
      <c r="AI75" s="115" t="s">
        <v>4397</v>
      </c>
      <c r="AJ75" s="116" t="s">
        <v>4398</v>
      </c>
      <c r="AK75" s="136" t="s">
        <v>4387</v>
      </c>
      <c r="AL75" s="109" t="s">
        <v>4357</v>
      </c>
      <c r="AM75" s="110" t="s">
        <v>4399</v>
      </c>
      <c r="AN75" s="75" t="s">
        <v>4400</v>
      </c>
      <c r="AO75" s="136" t="s">
        <v>4387</v>
      </c>
      <c r="AP75" s="120" t="s">
        <v>4345</v>
      </c>
      <c r="AQ75" s="121" t="s">
        <v>4392</v>
      </c>
      <c r="AR75" s="72" t="s">
        <v>4393</v>
      </c>
      <c r="AS75" s="75"/>
    </row>
    <row r="76">
      <c r="A76" s="136" t="s">
        <v>4401</v>
      </c>
      <c r="B76" s="120" t="s">
        <v>4339</v>
      </c>
      <c r="C76" s="121" t="s">
        <v>4402</v>
      </c>
      <c r="D76" s="72" t="s">
        <v>4403</v>
      </c>
      <c r="E76" s="136" t="s">
        <v>4401</v>
      </c>
      <c r="F76" s="120" t="s">
        <v>4342</v>
      </c>
      <c r="G76" s="121" t="s">
        <v>4404</v>
      </c>
      <c r="H76" s="72" t="s">
        <v>4405</v>
      </c>
      <c r="I76" s="136" t="s">
        <v>4401</v>
      </c>
      <c r="J76" s="120" t="s">
        <v>4345</v>
      </c>
      <c r="K76" s="121" t="s">
        <v>4406</v>
      </c>
      <c r="L76" s="72" t="s">
        <v>4407</v>
      </c>
      <c r="M76" s="136" t="s">
        <v>4401</v>
      </c>
      <c r="N76" s="120" t="s">
        <v>4348</v>
      </c>
      <c r="O76" s="110" t="s">
        <v>4408</v>
      </c>
      <c r="P76" s="75" t="s">
        <v>4409</v>
      </c>
      <c r="Q76" s="136" t="s">
        <v>4401</v>
      </c>
      <c r="R76" s="109" t="s">
        <v>4351</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4401</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4401</v>
      </c>
      <c r="Z76" s="120"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4401</v>
      </c>
      <c r="AD76" s="120" t="s">
        <v>4352</v>
      </c>
      <c r="AE76" s="121" t="str">
        <f>IFERROR(__xludf.DUMMYFUNCTION("GOOGLETRANSLATE(C76,""zh-tw"",""de"")"),"Im Erschließungsbereich (Schacht) -4, links nach dem Abstieg über die zentrale Treppe.")</f>
        <v>Im Erschließungsbereich (Schacht) -4, links nach dem Abstieg über die zentrale Treppe.</v>
      </c>
      <c r="AF76" s="72" t="s">
        <v>4410</v>
      </c>
      <c r="AG76" s="136" t="s">
        <v>4401</v>
      </c>
      <c r="AH76" s="226" t="s">
        <v>4354</v>
      </c>
      <c r="AI76" s="115" t="s">
        <v>4411</v>
      </c>
      <c r="AJ76" s="116" t="s">
        <v>4412</v>
      </c>
      <c r="AK76" s="136" t="s">
        <v>4401</v>
      </c>
      <c r="AL76" s="109" t="s">
        <v>4357</v>
      </c>
      <c r="AM76" s="110" t="s">
        <v>4413</v>
      </c>
      <c r="AN76" s="75" t="s">
        <v>4414</v>
      </c>
      <c r="AO76" s="136" t="s">
        <v>4401</v>
      </c>
      <c r="AP76" s="120" t="s">
        <v>4345</v>
      </c>
      <c r="AQ76" s="121" t="s">
        <v>4406</v>
      </c>
      <c r="AR76" s="72" t="s">
        <v>4407</v>
      </c>
      <c r="AS76" s="75"/>
    </row>
    <row r="77">
      <c r="A77" s="136" t="s">
        <v>4415</v>
      </c>
      <c r="B77" s="120" t="s">
        <v>4339</v>
      </c>
      <c r="C77" s="121" t="s">
        <v>4416</v>
      </c>
      <c r="D77" s="72" t="s">
        <v>4417</v>
      </c>
      <c r="E77" s="136" t="s">
        <v>4415</v>
      </c>
      <c r="F77" s="120" t="s">
        <v>4342</v>
      </c>
      <c r="G77" s="121" t="s">
        <v>4418</v>
      </c>
      <c r="H77" s="72" t="s">
        <v>4419</v>
      </c>
      <c r="I77" s="136" t="s">
        <v>4415</v>
      </c>
      <c r="J77" s="120" t="s">
        <v>4345</v>
      </c>
      <c r="K77" s="121" t="s">
        <v>4420</v>
      </c>
      <c r="L77" s="72" t="s">
        <v>4421</v>
      </c>
      <c r="M77" s="136" t="s">
        <v>4415</v>
      </c>
      <c r="N77" s="120" t="s">
        <v>4348</v>
      </c>
      <c r="O77" s="110" t="s">
        <v>4422</v>
      </c>
      <c r="P77" s="75" t="s">
        <v>4423</v>
      </c>
      <c r="Q77" s="136" t="s">
        <v>4415</v>
      </c>
      <c r="R77" s="109" t="s">
        <v>4351</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4415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4415</v>
      </c>
      <c r="Z77" s="120"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4415</v>
      </c>
      <c r="AD77" s="120" t="s">
        <v>4352</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4424</v>
      </c>
      <c r="AG77" s="136" t="s">
        <v>4415</v>
      </c>
      <c r="AH77" s="226" t="s">
        <v>4354</v>
      </c>
      <c r="AI77" s="115" t="s">
        <v>4425</v>
      </c>
      <c r="AJ77" s="116" t="s">
        <v>4426</v>
      </c>
      <c r="AK77" s="136" t="s">
        <v>4415</v>
      </c>
      <c r="AL77" s="109" t="s">
        <v>4357</v>
      </c>
      <c r="AM77" s="110" t="s">
        <v>4427</v>
      </c>
      <c r="AN77" s="75" t="s">
        <v>4428</v>
      </c>
      <c r="AO77" s="136" t="s">
        <v>4415</v>
      </c>
      <c r="AP77" s="120" t="s">
        <v>4345</v>
      </c>
      <c r="AQ77" s="121" t="s">
        <v>4420</v>
      </c>
      <c r="AR77" s="72" t="s">
        <v>4421</v>
      </c>
      <c r="AS77" s="75"/>
    </row>
    <row r="78">
      <c r="A78" s="136" t="s">
        <v>4429</v>
      </c>
      <c r="B78" s="120" t="s">
        <v>4430</v>
      </c>
      <c r="C78" s="121" t="s">
        <v>4431</v>
      </c>
      <c r="D78" s="72" t="s">
        <v>4432</v>
      </c>
      <c r="E78" s="136" t="s">
        <v>4429</v>
      </c>
      <c r="F78" s="120" t="s">
        <v>4433</v>
      </c>
      <c r="G78" s="121" t="s">
        <v>4434</v>
      </c>
      <c r="H78" s="72" t="s">
        <v>4435</v>
      </c>
      <c r="I78" s="136" t="s">
        <v>4429</v>
      </c>
      <c r="J78" s="120" t="s">
        <v>4436</v>
      </c>
      <c r="K78" s="121" t="s">
        <v>4437</v>
      </c>
      <c r="L78" s="72" t="s">
        <v>4438</v>
      </c>
      <c r="M78" s="136" t="s">
        <v>4429</v>
      </c>
      <c r="N78" s="120" t="s">
        <v>4430</v>
      </c>
      <c r="O78" s="110" t="s">
        <v>4439</v>
      </c>
      <c r="P78" s="75" t="s">
        <v>4440</v>
      </c>
      <c r="Q78" s="136" t="s">
        <v>4429</v>
      </c>
      <c r="R78" s="109" t="s">
        <v>4430</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4429</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4429</v>
      </c>
      <c r="Z78" s="120"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4429</v>
      </c>
      <c r="AD78" s="120" t="str">
        <f>IFERROR(__xludf.DUMMYFUNCTION("GOOGLETRANSLATE(B78,""zh-tw"",""de"")"),"ASABA-1")</f>
        <v>ASABA-1</v>
      </c>
      <c r="AE78" s="121" t="str">
        <f>IFERROR(__xludf.DUMMYFUNCTION("GOOGLETRANSLATE(C78,""zh-tw"",""de"")"),"ASABA füttern – „normales Futter“")</f>
        <v>ASABA füttern – „normales Futter“</v>
      </c>
      <c r="AF78" s="72" t="s">
        <v>4441</v>
      </c>
      <c r="AG78" s="136" t="s">
        <v>4429</v>
      </c>
      <c r="AH78" s="226" t="s">
        <v>4436</v>
      </c>
      <c r="AI78" s="115" t="s">
        <v>4442</v>
      </c>
      <c r="AJ78" s="116" t="s">
        <v>4443</v>
      </c>
      <c r="AK78" s="136" t="s">
        <v>4429</v>
      </c>
      <c r="AL78" s="109" t="s">
        <v>4436</v>
      </c>
      <c r="AM78" s="110" t="s">
        <v>4444</v>
      </c>
      <c r="AN78" s="75" t="s">
        <v>4445</v>
      </c>
      <c r="AO78" s="136" t="s">
        <v>4429</v>
      </c>
      <c r="AP78" s="120" t="s">
        <v>4436</v>
      </c>
      <c r="AQ78" s="121" t="s">
        <v>4437</v>
      </c>
      <c r="AR78" s="72" t="s">
        <v>4438</v>
      </c>
      <c r="AS78" s="75"/>
    </row>
    <row r="79">
      <c r="A79" s="136" t="s">
        <v>4446</v>
      </c>
      <c r="B79" s="120" t="s">
        <v>4447</v>
      </c>
      <c r="C79" s="121" t="s">
        <v>4448</v>
      </c>
      <c r="D79" s="72" t="s">
        <v>4449</v>
      </c>
      <c r="E79" s="136" t="s">
        <v>4446</v>
      </c>
      <c r="F79" s="120" t="s">
        <v>4450</v>
      </c>
      <c r="G79" s="121" t="s">
        <v>4451</v>
      </c>
      <c r="H79" s="72" t="s">
        <v>4452</v>
      </c>
      <c r="I79" s="136" t="s">
        <v>4446</v>
      </c>
      <c r="J79" s="120" t="s">
        <v>4453</v>
      </c>
      <c r="K79" s="121" t="s">
        <v>4454</v>
      </c>
      <c r="L79" s="72" t="s">
        <v>4455</v>
      </c>
      <c r="M79" s="136" t="s">
        <v>4446</v>
      </c>
      <c r="N79" s="120" t="s">
        <v>4447</v>
      </c>
      <c r="O79" s="110" t="s">
        <v>4456</v>
      </c>
      <c r="P79" s="75" t="s">
        <v>4457</v>
      </c>
      <c r="Q79" s="136" t="s">
        <v>4446</v>
      </c>
      <c r="R79" s="109" t="s">
        <v>4447</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4446</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4446</v>
      </c>
      <c r="Z79" s="120"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4446</v>
      </c>
      <c r="AD79" s="120" t="str">
        <f>IFERROR(__xludf.DUMMYFUNCTION("GOOGLETRANSLATE(B79,""zh-tw"",""de"")"),"ASABA-2")</f>
        <v>ASABA-2</v>
      </c>
      <c r="AE79" s="121" t="str">
        <f>IFERROR(__xludf.DUMMYFUNCTION("GOOGLETRANSLATE(C79,""zh-tw"",""de"")"),"Fütterung von ASABA – „Schwesters Ahoge“")</f>
        <v>Fütterung von ASABA – „Schwesters Ahoge“</v>
      </c>
      <c r="AF79" s="72" t="s">
        <v>4458</v>
      </c>
      <c r="AG79" s="136" t="s">
        <v>4446</v>
      </c>
      <c r="AH79" s="226" t="s">
        <v>4453</v>
      </c>
      <c r="AI79" s="115" t="s">
        <v>4459</v>
      </c>
      <c r="AJ79" s="116" t="s">
        <v>4460</v>
      </c>
      <c r="AK79" s="136" t="s">
        <v>4446</v>
      </c>
      <c r="AL79" s="109" t="s">
        <v>4453</v>
      </c>
      <c r="AM79" s="110" t="s">
        <v>4461</v>
      </c>
      <c r="AN79" s="75" t="s">
        <v>4462</v>
      </c>
      <c r="AO79" s="136" t="s">
        <v>4446</v>
      </c>
      <c r="AP79" s="120" t="s">
        <v>4453</v>
      </c>
      <c r="AQ79" s="121" t="s">
        <v>4454</v>
      </c>
      <c r="AR79" s="72" t="s">
        <v>4455</v>
      </c>
      <c r="AS79" s="75"/>
    </row>
    <row r="80">
      <c r="A80" s="136" t="s">
        <v>4463</v>
      </c>
      <c r="B80" s="120" t="s">
        <v>4464</v>
      </c>
      <c r="C80" s="121" t="s">
        <v>4465</v>
      </c>
      <c r="D80" s="72" t="s">
        <v>4466</v>
      </c>
      <c r="E80" s="136" t="s">
        <v>4463</v>
      </c>
      <c r="F80" s="120" t="s">
        <v>4467</v>
      </c>
      <c r="G80" s="121" t="s">
        <v>4468</v>
      </c>
      <c r="H80" s="72" t="str">
        <f>IFERROR(__xludf.DUMMYFUNCTION("GOOGLETRANSLATE(D80,""zh-tw"",""ja"")"),"BUFFを取得")</f>
        <v>BUFFを取得</v>
      </c>
      <c r="I80" s="136" t="s">
        <v>4463</v>
      </c>
      <c r="J80" s="120" t="s">
        <v>4469</v>
      </c>
      <c r="K80" s="121" t="s">
        <v>4470</v>
      </c>
      <c r="L80" s="72" t="s">
        <v>4471</v>
      </c>
      <c r="M80" s="136" t="s">
        <v>4463</v>
      </c>
      <c r="N80" s="120" t="s">
        <v>4464</v>
      </c>
      <c r="O80" s="110" t="s">
        <v>4472</v>
      </c>
      <c r="P80" s="75" t="s">
        <v>4473</v>
      </c>
      <c r="Q80" s="136" t="s">
        <v>4463</v>
      </c>
      <c r="R80" s="109" t="s">
        <v>4464</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4463</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4463</v>
      </c>
      <c r="Z80" s="120"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4463</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4474</v>
      </c>
      <c r="AG80" s="136" t="s">
        <v>4463</v>
      </c>
      <c r="AH80" s="226" t="s">
        <v>4469</v>
      </c>
      <c r="AI80" s="115" t="s">
        <v>4475</v>
      </c>
      <c r="AJ80" s="116" t="s">
        <v>4476</v>
      </c>
      <c r="AK80" s="136" t="s">
        <v>4463</v>
      </c>
      <c r="AL80" s="109" t="s">
        <v>4469</v>
      </c>
      <c r="AM80" s="110" t="s">
        <v>4477</v>
      </c>
      <c r="AN80" s="75" t="s">
        <v>4478</v>
      </c>
      <c r="AO80" s="136" t="s">
        <v>4463</v>
      </c>
      <c r="AP80" s="120" t="s">
        <v>4469</v>
      </c>
      <c r="AQ80" s="121" t="s">
        <v>4470</v>
      </c>
      <c r="AR80" s="72" t="s">
        <v>4471</v>
      </c>
      <c r="AS80" s="75"/>
    </row>
    <row r="81">
      <c r="A81" s="136" t="s">
        <v>4479</v>
      </c>
      <c r="B81" s="120" t="s">
        <v>4480</v>
      </c>
      <c r="C81" s="121" t="s">
        <v>4481</v>
      </c>
      <c r="D81" s="72" t="s">
        <v>4482</v>
      </c>
      <c r="E81" s="136" t="s">
        <v>4479</v>
      </c>
      <c r="F81" s="120" t="s">
        <v>4483</v>
      </c>
      <c r="G81" s="121" t="str">
        <f>IFERROR(__xludf.DUMMYFUNCTION("GOOGLETRANSLATE(C81,""zh-tw"",""ja"")"),"通常のASABAを倒すと報酬として「ASABAのイチゴ」がもらえます。")</f>
        <v>通常のASABAを倒すと報酬として「ASABAのイチゴ」がもらえます。</v>
      </c>
      <c r="H81" s="72" t="s">
        <v>4484</v>
      </c>
      <c r="I81" s="136" t="s">
        <v>4479</v>
      </c>
      <c r="J81" s="120" t="s">
        <v>4485</v>
      </c>
      <c r="K81" s="121" t="s">
        <v>4486</v>
      </c>
      <c r="L81" s="72" t="s">
        <v>4487</v>
      </c>
      <c r="M81" s="136" t="s">
        <v>4479</v>
      </c>
      <c r="N81" s="120" t="s">
        <v>4480</v>
      </c>
      <c r="O81" s="110" t="s">
        <v>4488</v>
      </c>
      <c r="P81" s="75" t="s">
        <v>4489</v>
      </c>
      <c r="Q81" s="136" t="s">
        <v>4479</v>
      </c>
      <c r="R81" s="109" t="s">
        <v>4480</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4479</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4479</v>
      </c>
      <c r="Z81" s="120"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4479</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4490</v>
      </c>
      <c r="AG81" s="136" t="s">
        <v>4479</v>
      </c>
      <c r="AH81" s="226" t="s">
        <v>4485</v>
      </c>
      <c r="AI81" s="115" t="s">
        <v>4491</v>
      </c>
      <c r="AJ81" s="116" t="s">
        <v>4492</v>
      </c>
      <c r="AK81" s="136" t="s">
        <v>4479</v>
      </c>
      <c r="AL81" s="109" t="s">
        <v>4485</v>
      </c>
      <c r="AM81" s="110" t="s">
        <v>4493</v>
      </c>
      <c r="AN81" s="75" t="s">
        <v>4494</v>
      </c>
      <c r="AO81" s="136" t="s">
        <v>4479</v>
      </c>
      <c r="AP81" s="120" t="s">
        <v>4485</v>
      </c>
      <c r="AQ81" s="121" t="s">
        <v>4486</v>
      </c>
      <c r="AR81" s="72" t="s">
        <v>4487</v>
      </c>
      <c r="AS81" s="75"/>
    </row>
    <row r="82">
      <c r="A82" s="136" t="s">
        <v>4495</v>
      </c>
      <c r="B82" s="120" t="s">
        <v>4496</v>
      </c>
      <c r="C82" s="121" t="s">
        <v>4497</v>
      </c>
      <c r="D82" s="72" t="s">
        <v>4498</v>
      </c>
      <c r="E82" s="136" t="s">
        <v>4495</v>
      </c>
      <c r="F82" s="120" t="s">
        <v>4499</v>
      </c>
      <c r="G82" s="121" t="s">
        <v>4500</v>
      </c>
      <c r="H82" s="72" t="s">
        <v>4501</v>
      </c>
      <c r="I82" s="136" t="s">
        <v>4495</v>
      </c>
      <c r="J82" s="120" t="s">
        <v>4502</v>
      </c>
      <c r="K82" s="121" t="s">
        <v>4503</v>
      </c>
      <c r="L82" s="72" t="s">
        <v>4504</v>
      </c>
      <c r="M82" s="136" t="s">
        <v>4495</v>
      </c>
      <c r="N82" s="120" t="s">
        <v>4496</v>
      </c>
      <c r="O82" s="110" t="s">
        <v>4505</v>
      </c>
      <c r="P82" s="75" t="s">
        <v>4506</v>
      </c>
      <c r="Q82" s="136" t="s">
        <v>4495</v>
      </c>
      <c r="R82" s="109" t="s">
        <v>4496</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4495</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4495</v>
      </c>
      <c r="Z82" s="120" t="str">
        <f>IFERROR(__xludf.DUMMYFUNCTION("GOOGLETRANSLATE(B82,""zh-tw"",""ru"")"),"АСАБА-5")</f>
        <v>АСАБА-5</v>
      </c>
      <c r="AA82" s="224"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4495</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4507</v>
      </c>
      <c r="AG82" s="136" t="s">
        <v>4495</v>
      </c>
      <c r="AH82" s="226" t="s">
        <v>4502</v>
      </c>
      <c r="AI82" s="115" t="s">
        <v>4508</v>
      </c>
      <c r="AJ82" s="116" t="s">
        <v>4509</v>
      </c>
      <c r="AK82" s="136" t="s">
        <v>4495</v>
      </c>
      <c r="AL82" s="109" t="s">
        <v>4502</v>
      </c>
      <c r="AM82" s="110" t="s">
        <v>4510</v>
      </c>
      <c r="AN82" s="75" t="s">
        <v>4511</v>
      </c>
      <c r="AO82" s="136" t="s">
        <v>4495</v>
      </c>
      <c r="AP82" s="120" t="s">
        <v>4502</v>
      </c>
      <c r="AQ82" s="121" t="s">
        <v>4503</v>
      </c>
      <c r="AR82" s="72" t="s">
        <v>4504</v>
      </c>
      <c r="AS82" s="75"/>
    </row>
    <row r="83">
      <c r="A83" s="136" t="s">
        <v>4512</v>
      </c>
      <c r="B83" s="120" t="s">
        <v>4513</v>
      </c>
      <c r="C83" s="121" t="s">
        <v>4514</v>
      </c>
      <c r="D83" s="72" t="s">
        <v>4515</v>
      </c>
      <c r="E83" s="136" t="s">
        <v>4512</v>
      </c>
      <c r="F83" s="120" t="s">
        <v>4516</v>
      </c>
      <c r="G83" s="121" t="s">
        <v>4517</v>
      </c>
      <c r="H83" s="72" t="s">
        <v>4518</v>
      </c>
      <c r="I83" s="136" t="s">
        <v>4512</v>
      </c>
      <c r="J83" s="120" t="s">
        <v>4519</v>
      </c>
      <c r="K83" s="121" t="s">
        <v>4520</v>
      </c>
      <c r="L83" s="72" t="s">
        <v>4521</v>
      </c>
      <c r="M83" s="136" t="s">
        <v>4512</v>
      </c>
      <c r="N83" s="120" t="s">
        <v>4513</v>
      </c>
      <c r="O83" s="110" t="s">
        <v>4522</v>
      </c>
      <c r="P83" s="75" t="s">
        <v>4523</v>
      </c>
      <c r="Q83" s="136" t="s">
        <v>4512</v>
      </c>
      <c r="R83" s="109" t="s">
        <v>4513</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4512</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4512</v>
      </c>
      <c r="Z83" s="120"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4512</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4512</v>
      </c>
      <c r="AH83" s="226" t="s">
        <v>4519</v>
      </c>
      <c r="AI83" s="115" t="s">
        <v>4524</v>
      </c>
      <c r="AJ83" s="116" t="s">
        <v>4525</v>
      </c>
      <c r="AK83" s="136" t="s">
        <v>4512</v>
      </c>
      <c r="AL83" s="109" t="s">
        <v>4519</v>
      </c>
      <c r="AM83" s="110" t="s">
        <v>4526</v>
      </c>
      <c r="AN83" s="75" t="s">
        <v>4527</v>
      </c>
      <c r="AO83" s="136" t="s">
        <v>4512</v>
      </c>
      <c r="AP83" s="120" t="s">
        <v>4519</v>
      </c>
      <c r="AQ83" s="121" t="s">
        <v>4520</v>
      </c>
      <c r="AR83" s="72" t="s">
        <v>4521</v>
      </c>
      <c r="AS83" s="75"/>
    </row>
    <row r="84">
      <c r="A84" s="136" t="s">
        <v>4528</v>
      </c>
      <c r="B84" s="120" t="s">
        <v>4529</v>
      </c>
      <c r="C84" s="121" t="s">
        <v>4530</v>
      </c>
      <c r="D84" s="72" t="s">
        <v>4531</v>
      </c>
      <c r="E84" s="136" t="s">
        <v>4528</v>
      </c>
      <c r="F84" s="120" t="s">
        <v>4529</v>
      </c>
      <c r="G84" s="121" t="s">
        <v>4532</v>
      </c>
      <c r="H84" s="72" t="s">
        <v>4533</v>
      </c>
      <c r="I84" s="136" t="s">
        <v>4528</v>
      </c>
      <c r="J84" s="120" t="s">
        <v>4529</v>
      </c>
      <c r="K84" s="121" t="s">
        <v>4534</v>
      </c>
      <c r="L84" s="72" t="s">
        <v>4535</v>
      </c>
      <c r="M84" s="136" t="s">
        <v>4528</v>
      </c>
      <c r="N84" s="120" t="s">
        <v>4529</v>
      </c>
      <c r="O84" s="110" t="s">
        <v>4536</v>
      </c>
      <c r="P84" s="75" t="s">
        <v>4537</v>
      </c>
      <c r="Q84" s="136" t="s">
        <v>4528</v>
      </c>
      <c r="R84" s="109" t="s">
        <v>4529</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4528</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4528</v>
      </c>
      <c r="Z84" s="120"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4528</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4528</v>
      </c>
      <c r="AH84" s="226" t="s">
        <v>4529</v>
      </c>
      <c r="AI84" s="115" t="s">
        <v>4538</v>
      </c>
      <c r="AJ84" s="116" t="s">
        <v>4539</v>
      </c>
      <c r="AK84" s="136" t="s">
        <v>4528</v>
      </c>
      <c r="AL84" s="109" t="s">
        <v>4529</v>
      </c>
      <c r="AM84" s="110" t="s">
        <v>4540</v>
      </c>
      <c r="AN84" s="75" t="s">
        <v>4541</v>
      </c>
      <c r="AO84" s="136" t="s">
        <v>4528</v>
      </c>
      <c r="AP84" s="120" t="s">
        <v>4529</v>
      </c>
      <c r="AQ84" s="121" t="s">
        <v>4534</v>
      </c>
      <c r="AR84" s="72" t="s">
        <v>4535</v>
      </c>
      <c r="AS84" s="75"/>
    </row>
    <row r="85">
      <c r="A85" s="136" t="s">
        <v>4542</v>
      </c>
      <c r="B85" s="120" t="s">
        <v>4543</v>
      </c>
      <c r="C85" s="121" t="s">
        <v>4544</v>
      </c>
      <c r="D85" s="72" t="s">
        <v>4545</v>
      </c>
      <c r="E85" s="136" t="s">
        <v>4542</v>
      </c>
      <c r="F85" s="120" t="s">
        <v>4543</v>
      </c>
      <c r="G85" s="121" t="s">
        <v>4546</v>
      </c>
      <c r="H85" s="72" t="s">
        <v>4547</v>
      </c>
      <c r="I85" s="136" t="s">
        <v>4542</v>
      </c>
      <c r="J85" s="120" t="s">
        <v>4543</v>
      </c>
      <c r="K85" s="121" t="s">
        <v>4548</v>
      </c>
      <c r="L85" s="72" t="s">
        <v>4549</v>
      </c>
      <c r="M85" s="136" t="s">
        <v>4542</v>
      </c>
      <c r="N85" s="120" t="s">
        <v>4543</v>
      </c>
      <c r="O85" s="110" t="s">
        <v>4550</v>
      </c>
      <c r="P85" s="75" t="s">
        <v>4551</v>
      </c>
      <c r="Q85" s="136" t="s">
        <v>4542</v>
      </c>
      <c r="R85" s="109" t="s">
        <v>4543</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4542</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4542</v>
      </c>
      <c r="Z85" s="120"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4542</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4542</v>
      </c>
      <c r="AH85" s="226" t="s">
        <v>4543</v>
      </c>
      <c r="AI85" s="115" t="s">
        <v>4552</v>
      </c>
      <c r="AJ85" s="116" t="s">
        <v>4553</v>
      </c>
      <c r="AK85" s="136" t="s">
        <v>4542</v>
      </c>
      <c r="AL85" s="109" t="s">
        <v>4543</v>
      </c>
      <c r="AM85" s="110" t="s">
        <v>4554</v>
      </c>
      <c r="AN85" s="75" t="s">
        <v>4555</v>
      </c>
      <c r="AO85" s="136" t="s">
        <v>4542</v>
      </c>
      <c r="AP85" s="120" t="s">
        <v>4543</v>
      </c>
      <c r="AQ85" s="121" t="s">
        <v>4548</v>
      </c>
      <c r="AR85" s="72" t="s">
        <v>4549</v>
      </c>
      <c r="AS85" s="75"/>
    </row>
    <row r="86">
      <c r="A86" s="136" t="s">
        <v>4556</v>
      </c>
      <c r="B86" s="120" t="s">
        <v>4557</v>
      </c>
      <c r="C86" s="121" t="s">
        <v>4558</v>
      </c>
      <c r="D86" s="72" t="s">
        <v>4559</v>
      </c>
      <c r="E86" s="136" t="s">
        <v>4556</v>
      </c>
      <c r="F86" s="120" t="s">
        <v>4557</v>
      </c>
      <c r="G86" s="121" t="s">
        <v>4560</v>
      </c>
      <c r="H86" s="72" t="s">
        <v>4561</v>
      </c>
      <c r="I86" s="136" t="s">
        <v>4556</v>
      </c>
      <c r="J86" s="120" t="s">
        <v>4557</v>
      </c>
      <c r="K86" s="121" t="s">
        <v>4562</v>
      </c>
      <c r="L86" s="72" t="s">
        <v>4563</v>
      </c>
      <c r="M86" s="136" t="s">
        <v>4556</v>
      </c>
      <c r="N86" s="120" t="s">
        <v>4557</v>
      </c>
      <c r="O86" s="110" t="s">
        <v>4564</v>
      </c>
      <c r="P86" s="75" t="s">
        <v>4565</v>
      </c>
      <c r="Q86" s="136" t="s">
        <v>4556</v>
      </c>
      <c r="R86" s="109" t="s">
        <v>4566</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4556</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4556</v>
      </c>
      <c r="Z86" s="120"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4556</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4556</v>
      </c>
      <c r="AH86" s="226" t="s">
        <v>4557</v>
      </c>
      <c r="AI86" s="115" t="s">
        <v>4567</v>
      </c>
      <c r="AJ86" s="133" t="s">
        <v>4568</v>
      </c>
      <c r="AK86" s="136" t="s">
        <v>4556</v>
      </c>
      <c r="AL86" s="109" t="s">
        <v>4557</v>
      </c>
      <c r="AM86" s="110" t="s">
        <v>4569</v>
      </c>
      <c r="AN86" s="72" t="s">
        <v>4570</v>
      </c>
      <c r="AO86" s="136" t="s">
        <v>4556</v>
      </c>
      <c r="AP86" s="120" t="s">
        <v>4557</v>
      </c>
      <c r="AQ86" s="121" t="s">
        <v>4562</v>
      </c>
      <c r="AR86" s="72" t="s">
        <v>4563</v>
      </c>
      <c r="AS86" s="75"/>
    </row>
    <row r="87">
      <c r="A87" s="136" t="s">
        <v>4571</v>
      </c>
      <c r="B87" s="120" t="s">
        <v>4572</v>
      </c>
      <c r="C87" s="121" t="s">
        <v>4573</v>
      </c>
      <c r="D87" s="72" t="s">
        <v>4574</v>
      </c>
      <c r="E87" s="136" t="s">
        <v>4571</v>
      </c>
      <c r="F87" s="120" t="s">
        <v>4575</v>
      </c>
      <c r="G87" s="121" t="s">
        <v>4576</v>
      </c>
      <c r="H87" s="72" t="s">
        <v>4577</v>
      </c>
      <c r="I87" s="136" t="s">
        <v>4571</v>
      </c>
      <c r="J87" s="120" t="s">
        <v>4578</v>
      </c>
      <c r="K87" s="121" t="s">
        <v>4579</v>
      </c>
      <c r="L87" s="72" t="s">
        <v>4580</v>
      </c>
      <c r="M87" s="136" t="s">
        <v>4571</v>
      </c>
      <c r="N87" s="120" t="s">
        <v>4581</v>
      </c>
      <c r="O87" s="110" t="s">
        <v>4582</v>
      </c>
      <c r="P87" s="75" t="s">
        <v>4583</v>
      </c>
      <c r="Q87" s="136" t="s">
        <v>4571</v>
      </c>
      <c r="R87" s="109" t="s">
        <v>4584</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4571</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4571</v>
      </c>
      <c r="Z87" s="120"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4571</v>
      </c>
      <c r="AD87" s="120" t="s">
        <v>4585</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4586</v>
      </c>
      <c r="AG87" s="136" t="s">
        <v>4571</v>
      </c>
      <c r="AH87" s="226" t="s">
        <v>4587</v>
      </c>
      <c r="AI87" s="115" t="s">
        <v>4588</v>
      </c>
      <c r="AJ87" s="116" t="s">
        <v>4589</v>
      </c>
      <c r="AK87" s="136" t="s">
        <v>4571</v>
      </c>
      <c r="AL87" s="109" t="s">
        <v>4590</v>
      </c>
      <c r="AM87" s="121" t="s">
        <v>4591</v>
      </c>
      <c r="AN87" s="75" t="s">
        <v>4592</v>
      </c>
      <c r="AO87" s="136" t="s">
        <v>4571</v>
      </c>
      <c r="AP87" s="120" t="s">
        <v>4578</v>
      </c>
      <c r="AQ87" s="121" t="s">
        <v>4579</v>
      </c>
      <c r="AR87" s="72" t="s">
        <v>4580</v>
      </c>
      <c r="AS87" s="75"/>
    </row>
    <row r="88">
      <c r="A88" s="136" t="s">
        <v>4593</v>
      </c>
      <c r="B88" s="120" t="s">
        <v>4594</v>
      </c>
      <c r="C88" s="121" t="s">
        <v>4595</v>
      </c>
      <c r="D88" s="72" t="s">
        <v>4596</v>
      </c>
      <c r="E88" s="136" t="s">
        <v>4593</v>
      </c>
      <c r="F88" s="120" t="s">
        <v>4597</v>
      </c>
      <c r="G88" s="121" t="s">
        <v>4598</v>
      </c>
      <c r="H88" s="72" t="s">
        <v>4599</v>
      </c>
      <c r="I88" s="136" t="s">
        <v>4593</v>
      </c>
      <c r="J88" s="120" t="s">
        <v>4600</v>
      </c>
      <c r="K88" s="121" t="s">
        <v>4601</v>
      </c>
      <c r="L88" s="72" t="s">
        <v>4602</v>
      </c>
      <c r="M88" s="136" t="s">
        <v>4593</v>
      </c>
      <c r="N88" s="120" t="s">
        <v>4603</v>
      </c>
      <c r="O88" s="110" t="s">
        <v>4604</v>
      </c>
      <c r="P88" s="75" t="s">
        <v>4605</v>
      </c>
      <c r="Q88" s="136" t="s">
        <v>4593</v>
      </c>
      <c r="R88" s="109" t="s">
        <v>4606</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4593</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4593</v>
      </c>
      <c r="Z88" s="120"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4593</v>
      </c>
      <c r="AD88" s="120" t="s">
        <v>4607</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4608</v>
      </c>
      <c r="AG88" s="136" t="s">
        <v>4593</v>
      </c>
      <c r="AH88" s="226" t="s">
        <v>4609</v>
      </c>
      <c r="AI88" s="115" t="s">
        <v>4610</v>
      </c>
      <c r="AJ88" s="133" t="s">
        <v>4611</v>
      </c>
      <c r="AK88" s="136" t="s">
        <v>4593</v>
      </c>
      <c r="AL88" s="109" t="s">
        <v>4612</v>
      </c>
      <c r="AM88" s="110" t="s">
        <v>4613</v>
      </c>
      <c r="AN88" s="75" t="s">
        <v>4614</v>
      </c>
      <c r="AO88" s="136" t="s">
        <v>4593</v>
      </c>
      <c r="AP88" s="120" t="s">
        <v>4600</v>
      </c>
      <c r="AQ88" s="121" t="s">
        <v>4601</v>
      </c>
      <c r="AR88" s="72" t="s">
        <v>4602</v>
      </c>
      <c r="AS88" s="75"/>
    </row>
    <row r="89">
      <c r="A89" s="136" t="s">
        <v>4615</v>
      </c>
      <c r="B89" s="120" t="s">
        <v>4616</v>
      </c>
      <c r="C89" s="121" t="s">
        <v>4617</v>
      </c>
      <c r="D89" s="72" t="s">
        <v>944</v>
      </c>
      <c r="E89" s="136" t="s">
        <v>4615</v>
      </c>
      <c r="F89" s="120" t="s">
        <v>4618</v>
      </c>
      <c r="G89" s="121" t="s">
        <v>4619</v>
      </c>
      <c r="H89" s="72" t="s">
        <v>947</v>
      </c>
      <c r="I89" s="136" t="s">
        <v>4615</v>
      </c>
      <c r="J89" s="120" t="s">
        <v>4620</v>
      </c>
      <c r="K89" s="121" t="s">
        <v>4621</v>
      </c>
      <c r="L89" s="72" t="s">
        <v>2553</v>
      </c>
      <c r="M89" s="136" t="s">
        <v>4615</v>
      </c>
      <c r="N89" s="120" t="s">
        <v>4622</v>
      </c>
      <c r="O89" s="110" t="s">
        <v>4623</v>
      </c>
      <c r="P89" s="75" t="s">
        <v>2556</v>
      </c>
      <c r="Q89" s="136" t="s">
        <v>4615</v>
      </c>
      <c r="R89" s="109" t="s">
        <v>4624</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4615</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4615</v>
      </c>
      <c r="Z89" s="120"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4615</v>
      </c>
      <c r="AD89" s="120" t="s">
        <v>4625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4615</v>
      </c>
      <c r="AH89" s="226" t="s">
        <v>4626</v>
      </c>
      <c r="AI89" s="129" t="s">
        <v>4627</v>
      </c>
      <c r="AJ89" s="116" t="s">
        <v>2560</v>
      </c>
      <c r="AK89" s="136" t="s">
        <v>4615</v>
      </c>
      <c r="AL89" s="109" t="s">
        <v>4628</v>
      </c>
      <c r="AM89" s="110" t="s">
        <v>4629</v>
      </c>
      <c r="AN89" s="75" t="s">
        <v>2563</v>
      </c>
      <c r="AO89" s="136" t="s">
        <v>4615</v>
      </c>
      <c r="AP89" s="120" t="s">
        <v>4620</v>
      </c>
      <c r="AQ89" s="121" t="s">
        <v>4621</v>
      </c>
      <c r="AR89" s="72" t="s">
        <v>2553</v>
      </c>
      <c r="AS89" s="75"/>
    </row>
    <row r="90">
      <c r="A90" s="136" t="s">
        <v>4630</v>
      </c>
      <c r="B90" s="120" t="s">
        <v>4631</v>
      </c>
      <c r="C90" s="121" t="s">
        <v>4632</v>
      </c>
      <c r="D90" s="72" t="s">
        <v>944</v>
      </c>
      <c r="E90" s="136" t="s">
        <v>4630</v>
      </c>
      <c r="F90" s="120" t="s">
        <v>4633</v>
      </c>
      <c r="G90" s="121" t="s">
        <v>4634</v>
      </c>
      <c r="H90" s="72" t="s">
        <v>947</v>
      </c>
      <c r="I90" s="136" t="s">
        <v>4630</v>
      </c>
      <c r="J90" s="120" t="s">
        <v>4635</v>
      </c>
      <c r="K90" s="121" t="s">
        <v>4636</v>
      </c>
      <c r="L90" s="72" t="s">
        <v>2553</v>
      </c>
      <c r="M90" s="136" t="s">
        <v>4630</v>
      </c>
      <c r="N90" s="120" t="s">
        <v>4637</v>
      </c>
      <c r="O90" s="110" t="s">
        <v>4638</v>
      </c>
      <c r="P90" s="75" t="s">
        <v>2556</v>
      </c>
      <c r="Q90" s="136" t="s">
        <v>4630</v>
      </c>
      <c r="R90" s="109" t="s">
        <v>4639</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4630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4630</v>
      </c>
      <c r="Z90" s="120"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4630</v>
      </c>
      <c r="AD90" s="120" t="s">
        <v>4640</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4630</v>
      </c>
      <c r="AH90" s="226" t="s">
        <v>4641</v>
      </c>
      <c r="AI90" s="115" t="s">
        <v>4642</v>
      </c>
      <c r="AJ90" s="116" t="s">
        <v>2560</v>
      </c>
      <c r="AK90" s="136" t="s">
        <v>4630</v>
      </c>
      <c r="AL90" s="109" t="s">
        <v>4643</v>
      </c>
      <c r="AM90" s="110" t="s">
        <v>4644</v>
      </c>
      <c r="AN90" s="75" t="s">
        <v>2563</v>
      </c>
      <c r="AO90" s="136" t="s">
        <v>4630</v>
      </c>
      <c r="AP90" s="120" t="s">
        <v>4635</v>
      </c>
      <c r="AQ90" s="121" t="s">
        <v>4636</v>
      </c>
      <c r="AR90" s="72" t="s">
        <v>2553</v>
      </c>
      <c r="AS90" s="75"/>
    </row>
    <row r="91">
      <c r="A91" s="136" t="s">
        <v>4645</v>
      </c>
      <c r="B91" s="109" t="s">
        <v>4646</v>
      </c>
      <c r="C91" s="107" t="s">
        <v>4647</v>
      </c>
      <c r="D91" s="108" t="s">
        <v>4648</v>
      </c>
      <c r="E91" s="136" t="s">
        <v>4645</v>
      </c>
      <c r="F91" s="109" t="s">
        <v>4649</v>
      </c>
      <c r="G91" s="110" t="s">
        <v>4650</v>
      </c>
      <c r="H91" s="75" t="s">
        <v>4651</v>
      </c>
      <c r="I91" s="136" t="s">
        <v>4645</v>
      </c>
      <c r="J91" s="109" t="s">
        <v>4652</v>
      </c>
      <c r="K91" s="121" t="s">
        <v>4653</v>
      </c>
      <c r="L91" s="75" t="s">
        <v>4654</v>
      </c>
      <c r="M91" s="136" t="s">
        <v>4645</v>
      </c>
      <c r="N91" s="109" t="s">
        <v>4655</v>
      </c>
      <c r="O91" s="110" t="s">
        <v>4656</v>
      </c>
      <c r="P91" s="75" t="s">
        <v>4657</v>
      </c>
      <c r="Q91" s="136" t="s">
        <v>4645</v>
      </c>
      <c r="R91" s="109" t="s">
        <v>4658</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4645</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4645</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4645</v>
      </c>
      <c r="AD91" s="120" t="str">
        <f>IFERROR(__xludf.DUMMYFUNCTION("GOOGLETRANSLATE(B91,""zh-tw"",""de"")"),"Eine gute Wahl für lange Nächte.")</f>
        <v>Eine gute Wahl für lange Nächte.</v>
      </c>
      <c r="AE91" s="110" t="s">
        <v>4659</v>
      </c>
      <c r="AF91" s="75" t="s">
        <v>4660</v>
      </c>
      <c r="AG91" s="136" t="s">
        <v>4645</v>
      </c>
      <c r="AH91" s="228" t="s">
        <v>4661</v>
      </c>
      <c r="AI91" s="229" t="s">
        <v>4662</v>
      </c>
      <c r="AJ91" s="234" t="s">
        <v>4663</v>
      </c>
      <c r="AK91" s="136" t="s">
        <v>4645</v>
      </c>
      <c r="AL91" s="109" t="s">
        <v>4664</v>
      </c>
      <c r="AM91" s="121" t="s">
        <v>4665</v>
      </c>
      <c r="AN91" s="75" t="s">
        <v>4666</v>
      </c>
      <c r="AO91" s="136" t="s">
        <v>4645</v>
      </c>
      <c r="AP91" s="120" t="s">
        <v>4652</v>
      </c>
      <c r="AQ91" s="121" t="s">
        <v>4653</v>
      </c>
      <c r="AR91" s="72" t="s">
        <v>4654</v>
      </c>
      <c r="AS91" s="231"/>
    </row>
    <row r="92">
      <c r="A92" s="136" t="s">
        <v>4667</v>
      </c>
      <c r="B92" s="109" t="s">
        <v>4646</v>
      </c>
      <c r="C92" s="110" t="s">
        <v>4668</v>
      </c>
      <c r="D92" s="72" t="s">
        <v>4669</v>
      </c>
      <c r="E92" s="136" t="s">
        <v>4667</v>
      </c>
      <c r="F92" s="109" t="s">
        <v>4649</v>
      </c>
      <c r="G92" s="110" t="s">
        <v>4670</v>
      </c>
      <c r="H92" s="72" t="s">
        <v>4671</v>
      </c>
      <c r="I92" s="136" t="s">
        <v>4667</v>
      </c>
      <c r="J92" s="109" t="s">
        <v>4652</v>
      </c>
      <c r="K92" s="121" t="s">
        <v>4672</v>
      </c>
      <c r="L92" s="72" t="s">
        <v>4673</v>
      </c>
      <c r="M92" s="136" t="s">
        <v>4667</v>
      </c>
      <c r="N92" s="109" t="s">
        <v>4655</v>
      </c>
      <c r="O92" s="110" t="s">
        <v>4674</v>
      </c>
      <c r="P92" s="75" t="s">
        <v>4675</v>
      </c>
      <c r="Q92" s="136" t="s">
        <v>4667</v>
      </c>
      <c r="R92" s="109" t="s">
        <v>4658</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4667</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4667</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4667</v>
      </c>
      <c r="AD92" s="120" t="str">
        <f>IFERROR(__xludf.DUMMYFUNCTION("GOOGLETRANSLATE(B92,""zh-tw"",""de"")"),"Eine gute Wahl für lange Nächte.")</f>
        <v>Eine gute Wahl für lange Nächte.</v>
      </c>
      <c r="AE92" s="110" t="s">
        <v>4676</v>
      </c>
      <c r="AF92" s="72" t="s">
        <v>4677</v>
      </c>
      <c r="AG92" s="136" t="s">
        <v>4667</v>
      </c>
      <c r="AH92" s="228" t="s">
        <v>4661</v>
      </c>
      <c r="AI92" s="229" t="s">
        <v>4678</v>
      </c>
      <c r="AJ92" s="234" t="s">
        <v>4679</v>
      </c>
      <c r="AK92" s="136" t="s">
        <v>4667</v>
      </c>
      <c r="AL92" s="109" t="s">
        <v>4664</v>
      </c>
      <c r="AM92" s="121" t="s">
        <v>4680</v>
      </c>
      <c r="AN92" s="72" t="s">
        <v>4681</v>
      </c>
      <c r="AO92" s="136" t="s">
        <v>4667</v>
      </c>
      <c r="AP92" s="120" t="s">
        <v>4652</v>
      </c>
      <c r="AQ92" s="121" t="s">
        <v>4672</v>
      </c>
      <c r="AR92" s="72" t="s">
        <v>4682</v>
      </c>
      <c r="AS92" s="231"/>
    </row>
    <row r="93">
      <c r="A93" s="136" t="s">
        <v>4683</v>
      </c>
      <c r="B93" s="109" t="s">
        <v>4684</v>
      </c>
      <c r="C93" s="121" t="s">
        <v>4685</v>
      </c>
      <c r="D93" s="72" t="s">
        <v>4686</v>
      </c>
      <c r="E93" s="136" t="s">
        <v>4683</v>
      </c>
      <c r="F93" s="109" t="s">
        <v>4687</v>
      </c>
      <c r="G93" s="110" t="s">
        <v>4688</v>
      </c>
      <c r="H93" s="75" t="s">
        <v>4689</v>
      </c>
      <c r="I93" s="136" t="s">
        <v>4683</v>
      </c>
      <c r="J93" s="109" t="s">
        <v>4690</v>
      </c>
      <c r="K93" s="121" t="s">
        <v>4691</v>
      </c>
      <c r="L93" s="72" t="s">
        <v>4692</v>
      </c>
      <c r="M93" s="136" t="s">
        <v>4683</v>
      </c>
      <c r="N93" s="109" t="s">
        <v>4693</v>
      </c>
      <c r="O93" s="110" t="s">
        <v>4694</v>
      </c>
      <c r="P93" s="75" t="s">
        <v>4695</v>
      </c>
      <c r="Q93" s="136" t="s">
        <v>4683</v>
      </c>
      <c r="R93" s="109" t="s">
        <v>4696</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4683</v>
      </c>
      <c r="V93" s="109" t="str">
        <f>IFERROR(__xludf.DUMMYFUNCTION("GOOGLETRANSLATE(B93,""zh-tw"",""KO"")"),"회개하라")</f>
        <v>회개하라</v>
      </c>
      <c r="W93" s="110"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4683</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4683</v>
      </c>
      <c r="AD93" s="120" t="str">
        <f>IFERROR(__xludf.DUMMYFUNCTION("GOOGLETRANSLATE(B93,""zh-tw"",""de"")"),"Bereuen")</f>
        <v>Bereuen</v>
      </c>
      <c r="AE93" s="110" t="s">
        <v>4697</v>
      </c>
      <c r="AF93" s="75" t="s">
        <v>4698</v>
      </c>
      <c r="AG93" s="136" t="s">
        <v>4683</v>
      </c>
      <c r="AH93" s="228" t="s">
        <v>4699</v>
      </c>
      <c r="AI93" s="229" t="s">
        <v>4700</v>
      </c>
      <c r="AJ93" s="234" t="s">
        <v>4701</v>
      </c>
      <c r="AK93" s="136" t="s">
        <v>4683</v>
      </c>
      <c r="AL93" s="109" t="s">
        <v>4702</v>
      </c>
      <c r="AM93" s="121" t="s">
        <v>4703</v>
      </c>
      <c r="AN93" s="72" t="s">
        <v>4704</v>
      </c>
      <c r="AO93" s="136" t="s">
        <v>4683</v>
      </c>
      <c r="AP93" s="120" t="s">
        <v>4690</v>
      </c>
      <c r="AQ93" s="121" t="s">
        <v>4691</v>
      </c>
      <c r="AR93" s="72" t="s">
        <v>4692</v>
      </c>
      <c r="AS93" s="231"/>
    </row>
    <row r="94">
      <c r="A94" s="136" t="s">
        <v>4705</v>
      </c>
      <c r="B94" s="109" t="s">
        <v>4706</v>
      </c>
      <c r="C94" s="110" t="s">
        <v>4707</v>
      </c>
      <c r="D94" s="75" t="s">
        <v>4708</v>
      </c>
      <c r="E94" s="136" t="s">
        <v>4705</v>
      </c>
      <c r="F94" s="109" t="s">
        <v>4709</v>
      </c>
      <c r="G94" s="110" t="s">
        <v>4710</v>
      </c>
      <c r="H94" s="75" t="s">
        <v>4711</v>
      </c>
      <c r="I94" s="136" t="s">
        <v>4705</v>
      </c>
      <c r="J94" s="109" t="s">
        <v>4712</v>
      </c>
      <c r="K94" s="110" t="s">
        <v>4713</v>
      </c>
      <c r="L94" s="75" t="s">
        <v>4714</v>
      </c>
      <c r="M94" s="136" t="s">
        <v>4705</v>
      </c>
      <c r="N94" s="109" t="s">
        <v>4715</v>
      </c>
      <c r="O94" s="110" t="s">
        <v>4716</v>
      </c>
      <c r="P94" s="75" t="s">
        <v>4717</v>
      </c>
      <c r="Q94" s="136" t="s">
        <v>4705</v>
      </c>
      <c r="R94" s="109" t="s">
        <v>4718</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4705</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4705</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4705</v>
      </c>
      <c r="AD94" s="120" t="str">
        <f>IFERROR(__xludf.DUMMYFUNCTION("GOOGLETRANSLATE(B94,""zh-tw"",""de"")"),"Bereue - 1")</f>
        <v>Bereue - 1</v>
      </c>
      <c r="AE94" s="110" t="s">
        <v>4719</v>
      </c>
      <c r="AF94" s="75" t="s">
        <v>4720</v>
      </c>
      <c r="AG94" s="136" t="s">
        <v>4705</v>
      </c>
      <c r="AH94" s="228" t="s">
        <v>4721</v>
      </c>
      <c r="AI94" s="229" t="s">
        <v>4722</v>
      </c>
      <c r="AJ94" s="230" t="s">
        <v>4723</v>
      </c>
      <c r="AK94" s="136" t="s">
        <v>4705</v>
      </c>
      <c r="AL94" s="109" t="s">
        <v>4724</v>
      </c>
      <c r="AM94" s="110" t="s">
        <v>4725</v>
      </c>
      <c r="AN94" s="75" t="s">
        <v>4726</v>
      </c>
      <c r="AO94" s="136" t="s">
        <v>4705</v>
      </c>
      <c r="AP94" s="120" t="s">
        <v>4712</v>
      </c>
      <c r="AQ94" s="121" t="s">
        <v>4713</v>
      </c>
      <c r="AR94" s="72" t="s">
        <v>4714</v>
      </c>
      <c r="AS94" s="231"/>
    </row>
    <row r="95">
      <c r="A95" s="223" t="s">
        <v>4727</v>
      </c>
      <c r="B95" s="120" t="s">
        <v>4339</v>
      </c>
      <c r="C95" s="121" t="s">
        <v>4728</v>
      </c>
      <c r="D95" s="72" t="s">
        <v>4729</v>
      </c>
      <c r="E95" s="223" t="s">
        <v>4727</v>
      </c>
      <c r="F95" s="120" t="s">
        <v>4342</v>
      </c>
      <c r="G95" s="121" t="s">
        <v>4730</v>
      </c>
      <c r="H95" s="72" t="s">
        <v>4731</v>
      </c>
      <c r="I95" s="223" t="s">
        <v>4727</v>
      </c>
      <c r="J95" s="120" t="s">
        <v>4732</v>
      </c>
      <c r="K95" s="121" t="s">
        <v>4733</v>
      </c>
      <c r="L95" s="72" t="s">
        <v>4734</v>
      </c>
      <c r="M95" s="223" t="s">
        <v>4727</v>
      </c>
      <c r="N95" s="109" t="s">
        <v>4735</v>
      </c>
      <c r="O95" s="110" t="s">
        <v>4736</v>
      </c>
      <c r="P95" s="75" t="s">
        <v>4737</v>
      </c>
      <c r="Q95" s="223" t="s">
        <v>4727</v>
      </c>
      <c r="R95" s="109" t="s">
        <v>4351</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4727</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4727</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3" t="s">
        <v>4727</v>
      </c>
      <c r="AD95" s="120" t="s">
        <v>4738</v>
      </c>
      <c r="AE95" s="225" t="s">
        <v>4739</v>
      </c>
      <c r="AF95" s="134" t="s">
        <v>4740</v>
      </c>
      <c r="AG95" s="223" t="s">
        <v>4727</v>
      </c>
      <c r="AH95" s="235" t="s">
        <v>4741</v>
      </c>
      <c r="AI95" s="236" t="s">
        <v>4742</v>
      </c>
      <c r="AJ95" s="234" t="s">
        <v>4743</v>
      </c>
      <c r="AK95" s="223" t="s">
        <v>4727</v>
      </c>
      <c r="AL95" s="120" t="s">
        <v>4744</v>
      </c>
      <c r="AM95" s="121" t="s">
        <v>4745</v>
      </c>
      <c r="AN95" s="72" t="s">
        <v>4746</v>
      </c>
      <c r="AO95" s="223" t="s">
        <v>4727</v>
      </c>
      <c r="AP95" s="120" t="s">
        <v>4732</v>
      </c>
      <c r="AQ95" s="121" t="s">
        <v>4733</v>
      </c>
      <c r="AR95" s="72" t="s">
        <v>4734</v>
      </c>
      <c r="AS95" s="75"/>
    </row>
    <row r="96">
      <c r="A96" s="237" t="s">
        <v>4747</v>
      </c>
      <c r="B96" s="109" t="s">
        <v>4748</v>
      </c>
      <c r="C96" s="110" t="s">
        <v>4749</v>
      </c>
      <c r="D96" s="75" t="s">
        <v>4750</v>
      </c>
      <c r="E96" s="237" t="s">
        <v>4747</v>
      </c>
      <c r="F96" s="109" t="s">
        <v>4751</v>
      </c>
      <c r="G96" s="110" t="s">
        <v>4752</v>
      </c>
      <c r="H96" s="75" t="s">
        <v>4753</v>
      </c>
      <c r="I96" s="237" t="s">
        <v>4747</v>
      </c>
      <c r="J96" s="109" t="s">
        <v>4754</v>
      </c>
      <c r="K96" s="110" t="s">
        <v>4755</v>
      </c>
      <c r="L96" s="75" t="s">
        <v>4756</v>
      </c>
      <c r="M96" s="237" t="s">
        <v>4747</v>
      </c>
      <c r="N96" s="109" t="s">
        <v>4757</v>
      </c>
      <c r="O96" s="121" t="s">
        <v>4758</v>
      </c>
      <c r="P96" s="75" t="s">
        <v>4759</v>
      </c>
      <c r="Q96" s="237" t="s">
        <v>4747</v>
      </c>
      <c r="R96" s="109" t="s">
        <v>4760</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4747</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4747</v>
      </c>
      <c r="Z96" s="109" t="s">
        <v>4754</v>
      </c>
      <c r="AA96" s="110" t="s">
        <v>4755</v>
      </c>
      <c r="AB96" s="75" t="s">
        <v>4756</v>
      </c>
      <c r="AC96" s="237" t="s">
        <v>4747</v>
      </c>
      <c r="AD96" s="109" t="s">
        <v>4761</v>
      </c>
      <c r="AE96" s="110" t="s">
        <v>4762</v>
      </c>
      <c r="AF96" s="75" t="s">
        <v>4763</v>
      </c>
      <c r="AG96" s="237" t="s">
        <v>4747</v>
      </c>
      <c r="AH96" s="238" t="s">
        <v>3876</v>
      </c>
      <c r="AI96" s="239" t="s">
        <v>4764</v>
      </c>
      <c r="AJ96" s="231" t="s">
        <v>4765</v>
      </c>
      <c r="AK96" s="237" t="s">
        <v>4747</v>
      </c>
      <c r="AL96" s="109" t="s">
        <v>4766</v>
      </c>
      <c r="AM96" s="110" t="s">
        <v>4767</v>
      </c>
      <c r="AN96" s="75" t="s">
        <v>4768</v>
      </c>
      <c r="AO96" s="237" t="s">
        <v>4747</v>
      </c>
      <c r="AP96" s="109" t="s">
        <v>4769</v>
      </c>
      <c r="AQ96" s="110" t="s">
        <v>4770</v>
      </c>
      <c r="AR96" s="75" t="s">
        <v>4771</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4772</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4773</v>
      </c>
      <c r="D1" s="250" t="s">
        <v>4774</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0" t="s">
        <v>4775</v>
      </c>
      <c r="I1" s="182" t="s">
        <v>4776</v>
      </c>
      <c r="J1" s="251" t="s">
        <v>4777</v>
      </c>
      <c r="K1" s="75"/>
      <c r="L1" s="66"/>
      <c r="M1" s="66"/>
      <c r="N1" s="66"/>
      <c r="O1" s="66"/>
      <c r="P1" s="66"/>
      <c r="Q1" s="66"/>
      <c r="R1" s="66"/>
      <c r="S1" s="66"/>
      <c r="T1" s="66"/>
      <c r="U1" s="66"/>
      <c r="V1" s="66"/>
      <c r="W1" s="66"/>
      <c r="X1" s="66"/>
    </row>
    <row r="2">
      <c r="A2" s="72" t="s">
        <v>4778</v>
      </c>
      <c r="B2" s="250" t="s">
        <v>4779</v>
      </c>
      <c r="C2" s="72" t="s">
        <v>4780</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2" t="s">
        <v>4781</v>
      </c>
      <c r="I2" s="133" t="s">
        <v>4782</v>
      </c>
      <c r="J2" s="251" t="s">
        <v>4783</v>
      </c>
      <c r="K2" s="75"/>
      <c r="L2" s="66"/>
      <c r="M2" s="66"/>
      <c r="N2" s="66"/>
      <c r="O2" s="66"/>
      <c r="P2" s="66"/>
      <c r="Q2" s="66"/>
      <c r="R2" s="66"/>
      <c r="S2" s="66"/>
      <c r="T2" s="66"/>
      <c r="U2" s="66"/>
      <c r="V2" s="66"/>
      <c r="W2" s="66"/>
      <c r="X2" s="66"/>
    </row>
    <row r="3">
      <c r="A3" s="72" t="s">
        <v>4784</v>
      </c>
      <c r="B3" s="250" t="str">
        <f>IFERROR(__xludf.DUMMYFUNCTION("GOOGLETRANSLATE(A3,""zh-tw"",""ja"")"),"CTRL キーを押すと会話が速くなります。")</f>
        <v>CTRL キーを押すと会話が速くなります。</v>
      </c>
      <c r="C3" s="72" t="s">
        <v>4785</v>
      </c>
      <c r="D3" s="250" t="str">
        <f>IFERROR(__xludf.DUMMYFUNCTION("GOOGLETRANSLATE(A3,""zh-tw"",""zh"")"),"CTRL可加速对话")</f>
        <v>CTRL可加速对话</v>
      </c>
      <c r="E3" s="75" t="str">
        <f>IFERROR(__xludf.DUMMYFUNCTION("GOOGLETRANSLATE(A3,""zh-tw"",""es-MX"")"),"CTRL puede acelerar la conversación.")</f>
        <v>CTRL puede acelerar la conversación.</v>
      </c>
      <c r="F3" s="251"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0" t="s">
        <v>4786</v>
      </c>
      <c r="I3" s="182" t="s">
        <v>4787</v>
      </c>
      <c r="J3" s="251" t="s">
        <v>4788</v>
      </c>
      <c r="K3" s="75"/>
      <c r="L3" s="66"/>
      <c r="M3" s="66"/>
      <c r="N3" s="66"/>
      <c r="O3" s="66"/>
      <c r="P3" s="66"/>
      <c r="Q3" s="66"/>
      <c r="R3" s="66"/>
      <c r="S3" s="66"/>
      <c r="T3" s="66"/>
      <c r="U3" s="66"/>
      <c r="V3" s="66"/>
      <c r="W3" s="66"/>
      <c r="X3" s="66"/>
    </row>
    <row r="4">
      <c r="A4" s="72" t="s">
        <v>4789</v>
      </c>
      <c r="B4" s="250" t="str">
        <f>IFERROR(__xludf.DUMMYFUNCTION("GOOGLETRANSLATE(A4,""zh-tw"",""ja"")"),"Z キーを押すと、会話が進みます。")</f>
        <v>Z キーを押すと、会話が進みます。</v>
      </c>
      <c r="C4" s="72" t="s">
        <v>4790</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0" t="s">
        <v>4791</v>
      </c>
      <c r="I4" s="182" t="s">
        <v>4792</v>
      </c>
      <c r="J4" s="251" t="s">
        <v>4793</v>
      </c>
      <c r="K4" s="75"/>
      <c r="L4" s="66"/>
      <c r="M4" s="66"/>
      <c r="N4" s="66"/>
      <c r="O4" s="66"/>
      <c r="P4" s="66"/>
      <c r="Q4" s="66"/>
      <c r="R4" s="66"/>
      <c r="S4" s="66"/>
      <c r="T4" s="66"/>
      <c r="U4" s="66"/>
      <c r="V4" s="66"/>
      <c r="W4" s="66"/>
      <c r="X4" s="66"/>
    </row>
    <row r="5">
      <c r="A5" s="72" t="s">
        <v>4794</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4795</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0" t="s">
        <v>4796</v>
      </c>
      <c r="I5" s="182" t="s">
        <v>4797</v>
      </c>
      <c r="J5" s="251" t="s">
        <v>4798</v>
      </c>
      <c r="K5" s="75"/>
      <c r="L5" s="66"/>
      <c r="M5" s="66"/>
      <c r="N5" s="66"/>
      <c r="O5" s="66"/>
      <c r="P5" s="66"/>
      <c r="Q5" s="66"/>
      <c r="R5" s="66"/>
      <c r="S5" s="66"/>
      <c r="T5" s="66"/>
      <c r="U5" s="66"/>
      <c r="V5" s="66"/>
      <c r="W5" s="66"/>
      <c r="X5" s="66"/>
    </row>
    <row r="6">
      <c r="A6" s="72" t="s">
        <v>4799</v>
      </c>
      <c r="B6" s="250" t="str">
        <f>IFERROR(__xludf.DUMMYFUNCTION("GOOGLETRANSLATE(A6,""zh-tw"",""ja"")"),"F12 キーを押してコンソールを表示します。")</f>
        <v>F12 キーを押してコンソールを表示します。</v>
      </c>
      <c r="C6" s="72" t="s">
        <v>4800</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0" t="s">
        <v>4801</v>
      </c>
      <c r="I6" s="182" t="s">
        <v>4802</v>
      </c>
      <c r="J6" s="251" t="s">
        <v>4803</v>
      </c>
      <c r="K6" s="75"/>
      <c r="L6" s="66"/>
      <c r="M6" s="66"/>
      <c r="N6" s="66"/>
      <c r="O6" s="66"/>
      <c r="P6" s="66"/>
      <c r="Q6" s="66"/>
      <c r="R6" s="66"/>
      <c r="S6" s="66"/>
      <c r="T6" s="66"/>
      <c r="U6" s="66"/>
      <c r="V6" s="66"/>
      <c r="W6" s="66"/>
      <c r="X6" s="66"/>
    </row>
    <row r="7">
      <c r="A7" s="72" t="s">
        <v>4804</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4805</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4806</v>
      </c>
      <c r="H7" s="250" t="s">
        <v>4807</v>
      </c>
      <c r="I7" s="182" t="s">
        <v>4808</v>
      </c>
      <c r="J7" s="251" t="s">
        <v>4809</v>
      </c>
      <c r="K7" s="75"/>
      <c r="L7" s="66"/>
      <c r="M7" s="66"/>
      <c r="N7" s="66"/>
      <c r="O7" s="66"/>
      <c r="P7" s="66"/>
      <c r="Q7" s="66"/>
      <c r="R7" s="66"/>
      <c r="S7" s="66"/>
      <c r="T7" s="66"/>
      <c r="U7" s="66"/>
      <c r="V7" s="66"/>
      <c r="W7" s="66"/>
      <c r="X7" s="66"/>
    </row>
    <row r="8">
      <c r="A8" s="72" t="s">
        <v>4810</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4811</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0" t="s">
        <v>4812</v>
      </c>
      <c r="I8" s="182" t="s">
        <v>4813</v>
      </c>
      <c r="J8" s="251" t="s">
        <v>4814</v>
      </c>
      <c r="K8" s="75"/>
      <c r="L8" s="66"/>
      <c r="M8" s="66"/>
      <c r="N8" s="66"/>
      <c r="O8" s="66"/>
      <c r="P8" s="66"/>
      <c r="Q8" s="66"/>
      <c r="R8" s="66"/>
      <c r="S8" s="66"/>
      <c r="T8" s="66"/>
      <c r="U8" s="66"/>
      <c r="V8" s="66"/>
      <c r="W8" s="66"/>
      <c r="X8" s="66"/>
    </row>
    <row r="9">
      <c r="A9" s="72" t="s">
        <v>4815</v>
      </c>
      <c r="B9" s="250" t="s">
        <v>4816</v>
      </c>
      <c r="C9" s="72" t="s">
        <v>4817</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0" t="s">
        <v>4818</v>
      </c>
      <c r="I9" s="182" t="s">
        <v>4819</v>
      </c>
      <c r="J9" s="251" t="s">
        <v>4820</v>
      </c>
      <c r="K9" s="75"/>
      <c r="L9" s="66"/>
      <c r="M9" s="66"/>
      <c r="N9" s="66"/>
      <c r="O9" s="66"/>
      <c r="P9" s="66"/>
      <c r="Q9" s="66"/>
      <c r="R9" s="66"/>
      <c r="S9" s="66"/>
      <c r="T9" s="66"/>
      <c r="U9" s="66"/>
      <c r="V9" s="66"/>
      <c r="W9" s="66"/>
      <c r="X9" s="66"/>
    </row>
    <row r="10">
      <c r="A10" s="72" t="s">
        <v>4821</v>
      </c>
      <c r="B10" s="250" t="s">
        <v>4822</v>
      </c>
      <c r="C10" s="72" t="s">
        <v>4823</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0" t="s">
        <v>4824</v>
      </c>
      <c r="I10" s="182" t="s">
        <v>4825</v>
      </c>
      <c r="J10" s="251" t="s">
        <v>4826</v>
      </c>
      <c r="K10" s="75"/>
      <c r="L10" s="66"/>
      <c r="M10" s="66"/>
      <c r="N10" s="66"/>
      <c r="O10" s="66"/>
      <c r="P10" s="66"/>
      <c r="Q10" s="66"/>
      <c r="R10" s="66"/>
      <c r="S10" s="66"/>
      <c r="T10" s="66"/>
      <c r="U10" s="66"/>
      <c r="V10" s="66"/>
      <c r="W10" s="66"/>
      <c r="X10" s="66"/>
    </row>
    <row r="11">
      <c r="A11" s="72" t="s">
        <v>4827</v>
      </c>
      <c r="B11" s="250" t="s">
        <v>4828</v>
      </c>
      <c r="C11" s="72" t="s">
        <v>4829</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0" t="s">
        <v>4830</v>
      </c>
      <c r="I11" s="182" t="s">
        <v>4831</v>
      </c>
      <c r="J11" s="251" t="s">
        <v>4832</v>
      </c>
      <c r="K11" s="75"/>
      <c r="L11" s="66"/>
      <c r="M11" s="66"/>
      <c r="N11" s="66"/>
      <c r="O11" s="66"/>
      <c r="P11" s="66"/>
      <c r="Q11" s="66"/>
      <c r="R11" s="66"/>
      <c r="S11" s="66"/>
      <c r="T11" s="66"/>
      <c r="U11" s="66"/>
      <c r="V11" s="66"/>
      <c r="W11" s="66"/>
      <c r="X11" s="66"/>
    </row>
    <row r="12">
      <c r="A12" s="72" t="s">
        <v>4833</v>
      </c>
      <c r="B12" s="250" t="str">
        <f>IFERROR(__xludf.DUMMYFUNCTION("GOOGLETRANSLATE(A12,""zh-tw"",""ja"")"),"夜襲は兄の性欲が一定値を超えた場合にのみ発動します。")</f>
        <v>夜襲は兄の性欲が一定値を超えた場合にのみ発動します。</v>
      </c>
      <c r="C12" s="72" t="s">
        <v>4834</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50" t="s">
        <v>4835</v>
      </c>
      <c r="I12" s="182" t="s">
        <v>4836</v>
      </c>
      <c r="J12" s="251" t="s">
        <v>4837</v>
      </c>
      <c r="K12" s="75"/>
      <c r="L12" s="66"/>
      <c r="M12" s="66"/>
      <c r="N12" s="66"/>
      <c r="O12" s="66"/>
      <c r="P12" s="66"/>
      <c r="Q12" s="66"/>
      <c r="R12" s="66"/>
      <c r="S12" s="66"/>
      <c r="T12" s="66"/>
      <c r="U12" s="66"/>
      <c r="V12" s="66"/>
      <c r="W12" s="66"/>
      <c r="X12" s="66"/>
    </row>
    <row r="13">
      <c r="A13" s="72" t="s">
        <v>4838</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4839</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0" t="s">
        <v>4840</v>
      </c>
      <c r="I13" s="133" t="s">
        <v>4841</v>
      </c>
      <c r="J13" s="251" t="s">
        <v>4842</v>
      </c>
      <c r="K13" s="75"/>
      <c r="L13" s="66"/>
      <c r="M13" s="66"/>
      <c r="N13" s="66"/>
      <c r="O13" s="66"/>
      <c r="P13" s="66"/>
      <c r="Q13" s="66"/>
      <c r="R13" s="66"/>
      <c r="S13" s="66"/>
      <c r="T13" s="66"/>
      <c r="U13" s="66"/>
      <c r="V13" s="66"/>
      <c r="W13" s="66"/>
      <c r="X13" s="66"/>
    </row>
    <row r="14">
      <c r="A14" s="72" t="s">
        <v>4843</v>
      </c>
      <c r="B14" s="250" t="str">
        <f>IFERROR(__xludf.DUMMYFUNCTION("GOOGLETRANSLATE(A14,""zh-tw"",""ja"")"),"ガシャポンマシンの後ろから近づくと飛び出します。")</f>
        <v>ガシャポンマシンの後ろから近づくと飛び出します。</v>
      </c>
      <c r="C14" s="72" t="s">
        <v>4844</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0" t="s">
        <v>4845</v>
      </c>
      <c r="I14" s="182" t="s">
        <v>4846</v>
      </c>
      <c r="J14" s="251" t="s">
        <v>4847</v>
      </c>
      <c r="K14" s="75"/>
      <c r="L14" s="66"/>
      <c r="M14" s="66"/>
      <c r="N14" s="66"/>
      <c r="O14" s="66"/>
      <c r="P14" s="66"/>
      <c r="Q14" s="66"/>
      <c r="R14" s="66"/>
      <c r="S14" s="66"/>
      <c r="T14" s="66"/>
      <c r="U14" s="66"/>
      <c r="V14" s="66"/>
      <c r="W14" s="66"/>
      <c r="X14" s="66"/>
    </row>
    <row r="15">
      <c r="A15" s="72" t="s">
        <v>4848</v>
      </c>
      <c r="B15" s="250" t="s">
        <v>4849</v>
      </c>
      <c r="C15" s="72" t="s">
        <v>4850</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0" t="s">
        <v>4851</v>
      </c>
      <c r="I15" s="182" t="s">
        <v>4852</v>
      </c>
      <c r="J15" s="251" t="s">
        <v>4853</v>
      </c>
      <c r="K15" s="75"/>
      <c r="L15" s="66"/>
      <c r="M15" s="66"/>
      <c r="N15" s="66"/>
      <c r="O15" s="66"/>
      <c r="P15" s="66"/>
      <c r="Q15" s="66"/>
      <c r="R15" s="66"/>
      <c r="S15" s="66"/>
      <c r="T15" s="66"/>
      <c r="U15" s="66"/>
      <c r="V15" s="66"/>
      <c r="W15" s="66"/>
      <c r="X15" s="66"/>
    </row>
    <row r="16">
      <c r="A16" s="72" t="s">
        <v>4854</v>
      </c>
      <c r="B16" s="250" t="s">
        <v>4855</v>
      </c>
      <c r="C16" s="72" t="s">
        <v>4856</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0" t="s">
        <v>4857</v>
      </c>
      <c r="I16" s="182" t="s">
        <v>4858</v>
      </c>
      <c r="J16" s="251" t="s">
        <v>4859</v>
      </c>
      <c r="K16" s="75"/>
      <c r="L16" s="66"/>
      <c r="M16" s="66"/>
      <c r="N16" s="66"/>
      <c r="O16" s="66"/>
      <c r="P16" s="66"/>
      <c r="Q16" s="66"/>
      <c r="R16" s="66"/>
      <c r="S16" s="66"/>
      <c r="T16" s="66"/>
      <c r="U16" s="66"/>
      <c r="V16" s="66"/>
      <c r="W16" s="66"/>
      <c r="X16" s="66"/>
    </row>
    <row r="17">
      <c r="A17" s="72" t="s">
        <v>4860</v>
      </c>
      <c r="B17" s="250" t="s">
        <v>4861</v>
      </c>
      <c r="C17" s="72" t="s">
        <v>4862</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0" t="s">
        <v>4863</v>
      </c>
      <c r="I17" s="182" t="s">
        <v>4864</v>
      </c>
      <c r="J17" s="251" t="s">
        <v>4865</v>
      </c>
      <c r="K17" s="75"/>
      <c r="L17" s="66"/>
      <c r="M17" s="66"/>
      <c r="N17" s="66"/>
      <c r="O17" s="66"/>
      <c r="P17" s="66"/>
      <c r="Q17" s="66"/>
      <c r="R17" s="66"/>
      <c r="S17" s="66"/>
      <c r="T17" s="66"/>
      <c r="U17" s="66"/>
      <c r="V17" s="66"/>
      <c r="W17" s="66"/>
      <c r="X17" s="66"/>
    </row>
    <row r="18">
      <c r="A18" s="72" t="s">
        <v>4866</v>
      </c>
      <c r="B18" s="250" t="s">
        <v>4867</v>
      </c>
      <c r="C18" s="72" t="s">
        <v>4868</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0" t="s">
        <v>4869</v>
      </c>
      <c r="I18" s="182" t="s">
        <v>4870</v>
      </c>
      <c r="J18" s="251" t="s">
        <v>4871</v>
      </c>
      <c r="K18" s="75"/>
      <c r="L18" s="66"/>
      <c r="M18" s="66"/>
      <c r="N18" s="66"/>
      <c r="O18" s="66"/>
      <c r="P18" s="66"/>
      <c r="Q18" s="66"/>
      <c r="R18" s="66"/>
      <c r="S18" s="66"/>
      <c r="T18" s="66"/>
      <c r="U18" s="66"/>
      <c r="V18" s="66"/>
      <c r="W18" s="66"/>
      <c r="X18" s="66"/>
    </row>
    <row r="19">
      <c r="A19" s="72" t="s">
        <v>4872</v>
      </c>
      <c r="B19" s="250" t="s">
        <v>4873</v>
      </c>
      <c r="C19" s="72" t="s">
        <v>4874</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0" t="s">
        <v>4875</v>
      </c>
      <c r="I19" s="182" t="s">
        <v>4876</v>
      </c>
      <c r="J19" s="251" t="s">
        <v>4877</v>
      </c>
      <c r="K19" s="75"/>
      <c r="L19" s="66"/>
      <c r="M19" s="66"/>
      <c r="N19" s="66"/>
      <c r="O19" s="66"/>
      <c r="P19" s="66"/>
      <c r="Q19" s="66"/>
      <c r="R19" s="66"/>
      <c r="S19" s="66"/>
      <c r="T19" s="66"/>
      <c r="U19" s="66"/>
      <c r="V19" s="66"/>
      <c r="W19" s="66"/>
      <c r="X19" s="66"/>
    </row>
    <row r="20">
      <c r="A20" s="72" t="s">
        <v>4878</v>
      </c>
      <c r="B20" s="250" t="s">
        <v>4879</v>
      </c>
      <c r="C20" s="72" t="s">
        <v>4880</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0" t="s">
        <v>4881</v>
      </c>
      <c r="I20" s="133" t="s">
        <v>4882</v>
      </c>
      <c r="J20" s="251" t="s">
        <v>4883</v>
      </c>
      <c r="K20" s="75"/>
      <c r="L20" s="66"/>
      <c r="M20" s="66"/>
      <c r="N20" s="66"/>
      <c r="O20" s="66"/>
      <c r="P20" s="66"/>
      <c r="Q20" s="66"/>
      <c r="R20" s="66"/>
      <c r="S20" s="66"/>
      <c r="T20" s="66"/>
      <c r="U20" s="66"/>
      <c r="V20" s="66"/>
      <c r="W20" s="66"/>
      <c r="X20" s="66"/>
    </row>
    <row r="21">
      <c r="A21" s="72" t="s">
        <v>4884</v>
      </c>
      <c r="B21" s="250" t="str">
        <f>IFERROR(__xludf.DUMMYFUNCTION("GOOGLETRANSLATE(A21,""zh-tw"",""ja"")"),"メカが消えるとマップ名が変わります。")</f>
        <v>メカが消えるとマップ名が変わります。</v>
      </c>
      <c r="C21" s="72" t="s">
        <v>4885</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0" t="s">
        <v>4886</v>
      </c>
      <c r="I21" s="133" t="s">
        <v>4887</v>
      </c>
      <c r="J21" s="251" t="s">
        <v>4888</v>
      </c>
      <c r="K21" s="75"/>
      <c r="L21" s="66"/>
      <c r="M21" s="66"/>
      <c r="N21" s="66"/>
      <c r="O21" s="66"/>
      <c r="P21" s="66"/>
      <c r="Q21" s="66"/>
      <c r="R21" s="66"/>
      <c r="S21" s="66"/>
      <c r="T21" s="66"/>
      <c r="U21" s="66"/>
      <c r="V21" s="66"/>
      <c r="W21" s="66"/>
      <c r="X21" s="66"/>
    </row>
    <row r="22">
      <c r="A22" s="72" t="s">
        <v>4889</v>
      </c>
      <c r="B22" s="250" t="s">
        <v>4890</v>
      </c>
      <c r="C22" s="72" t="s">
        <v>4891</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0" t="s">
        <v>4892</v>
      </c>
      <c r="I22" s="182" t="s">
        <v>4893</v>
      </c>
      <c r="J22" s="253" t="s">
        <v>4894</v>
      </c>
      <c r="K22" s="108"/>
      <c r="L22" s="66"/>
      <c r="M22" s="66"/>
      <c r="N22" s="66"/>
      <c r="O22" s="66"/>
      <c r="P22" s="66"/>
      <c r="Q22" s="66"/>
      <c r="R22" s="66"/>
      <c r="S22" s="66"/>
      <c r="T22" s="66"/>
      <c r="U22" s="66"/>
      <c r="V22" s="66"/>
      <c r="W22" s="66"/>
      <c r="X22" s="66"/>
    </row>
    <row r="23">
      <c r="A23" s="72" t="s">
        <v>4895</v>
      </c>
      <c r="B23" s="250" t="s">
        <v>4896</v>
      </c>
      <c r="C23" s="72" t="s">
        <v>4897</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0" t="s">
        <v>4898</v>
      </c>
      <c r="I23" s="182" t="s">
        <v>4899</v>
      </c>
      <c r="J23" s="251" t="s">
        <v>4900</v>
      </c>
      <c r="K23" s="75"/>
      <c r="L23" s="66"/>
      <c r="M23" s="66"/>
      <c r="N23" s="66"/>
      <c r="O23" s="66"/>
      <c r="P23" s="66"/>
      <c r="Q23" s="66"/>
      <c r="R23" s="66"/>
      <c r="S23" s="66"/>
      <c r="T23" s="66"/>
      <c r="U23" s="66"/>
      <c r="V23" s="66"/>
      <c r="W23" s="66"/>
      <c r="X23" s="66"/>
    </row>
    <row r="24">
      <c r="A24" s="72" t="s">
        <v>4901</v>
      </c>
      <c r="B24" s="250" t="s">
        <v>4902</v>
      </c>
      <c r="C24" s="72" t="s">
        <v>4903</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0" t="s">
        <v>4904</v>
      </c>
      <c r="I24" s="182" t="s">
        <v>4905</v>
      </c>
      <c r="J24" s="251" t="s">
        <v>4906</v>
      </c>
      <c r="K24" s="75"/>
      <c r="L24" s="66"/>
      <c r="M24" s="66"/>
      <c r="N24" s="66"/>
      <c r="O24" s="66"/>
      <c r="P24" s="66"/>
      <c r="Q24" s="66"/>
      <c r="R24" s="66"/>
      <c r="S24" s="66"/>
      <c r="T24" s="66"/>
      <c r="U24" s="66"/>
      <c r="V24" s="66"/>
      <c r="W24" s="66"/>
      <c r="X24" s="66"/>
    </row>
    <row r="25">
      <c r="A25" s="72" t="s">
        <v>4907</v>
      </c>
      <c r="B25" s="250"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4908</v>
      </c>
      <c r="D25" s="250" t="s">
        <v>4909</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0" t="s">
        <v>4910</v>
      </c>
      <c r="I25" s="182" t="s">
        <v>4911</v>
      </c>
      <c r="J25" s="251" t="s">
        <v>4912</v>
      </c>
      <c r="K25" s="75"/>
      <c r="L25" s="66"/>
      <c r="M25" s="66"/>
      <c r="N25" s="66"/>
      <c r="O25" s="66"/>
      <c r="P25" s="66"/>
      <c r="Q25" s="66"/>
      <c r="R25" s="66"/>
      <c r="S25" s="66"/>
      <c r="T25" s="66"/>
      <c r="U25" s="66"/>
      <c r="V25" s="66"/>
      <c r="W25" s="66"/>
      <c r="X25" s="66"/>
    </row>
    <row r="26">
      <c r="A26" s="254" t="s">
        <v>4913</v>
      </c>
      <c r="B26" s="250" t="s">
        <v>4914</v>
      </c>
      <c r="C26" s="72" t="s">
        <v>4915</v>
      </c>
      <c r="D26" s="250" t="s">
        <v>4916</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0" t="s">
        <v>4917</v>
      </c>
      <c r="I26" s="182" t="s">
        <v>4918</v>
      </c>
      <c r="J26" s="251" t="s">
        <v>4919</v>
      </c>
      <c r="K26" s="75"/>
      <c r="L26" s="66"/>
      <c r="M26" s="66"/>
      <c r="N26" s="66"/>
      <c r="O26" s="66"/>
      <c r="P26" s="66"/>
      <c r="Q26" s="66"/>
      <c r="R26" s="66"/>
      <c r="S26" s="66"/>
      <c r="T26" s="66"/>
      <c r="U26" s="66"/>
      <c r="V26" s="66"/>
      <c r="W26" s="66"/>
      <c r="X26" s="66"/>
    </row>
    <row r="27">
      <c r="A27" s="72" t="s">
        <v>4920</v>
      </c>
      <c r="B27" s="250" t="s">
        <v>4921</v>
      </c>
      <c r="C27" s="72" t="s">
        <v>4922</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0" t="s">
        <v>4923</v>
      </c>
      <c r="I27" s="182" t="s">
        <v>4924</v>
      </c>
      <c r="J27" s="251" t="s">
        <v>4925</v>
      </c>
      <c r="K27" s="75"/>
      <c r="L27" s="66"/>
      <c r="M27" s="66"/>
      <c r="N27" s="66"/>
      <c r="O27" s="66"/>
      <c r="P27" s="66"/>
      <c r="Q27" s="66"/>
      <c r="R27" s="66"/>
      <c r="S27" s="66"/>
      <c r="T27" s="66"/>
      <c r="U27" s="66"/>
      <c r="V27" s="66"/>
      <c r="W27" s="66"/>
      <c r="X27" s="66"/>
    </row>
    <row r="28">
      <c r="A28" s="72" t="s">
        <v>4926</v>
      </c>
      <c r="B28" s="250" t="s">
        <v>4927</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0" t="s">
        <v>4928</v>
      </c>
      <c r="I28" s="182" t="s">
        <v>4929</v>
      </c>
      <c r="J28" s="251" t="s">
        <v>4930</v>
      </c>
      <c r="K28" s="75"/>
      <c r="L28" s="66"/>
      <c r="M28" s="66"/>
      <c r="N28" s="66"/>
      <c r="O28" s="66"/>
      <c r="P28" s="66"/>
      <c r="Q28" s="66"/>
      <c r="R28" s="66"/>
      <c r="S28" s="66"/>
      <c r="T28" s="66"/>
      <c r="U28" s="66"/>
      <c r="V28" s="66"/>
      <c r="W28" s="66"/>
      <c r="X28" s="66"/>
    </row>
    <row r="29">
      <c r="A29" s="72" t="s">
        <v>4931</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4932</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0" t="s">
        <v>4933</v>
      </c>
      <c r="I29" s="182" t="s">
        <v>4934</v>
      </c>
      <c r="J29" s="251" t="s">
        <v>4935</v>
      </c>
      <c r="K29" s="75"/>
      <c r="L29" s="66"/>
      <c r="M29" s="66"/>
      <c r="N29" s="66"/>
      <c r="O29" s="66"/>
      <c r="P29" s="66"/>
      <c r="Q29" s="66"/>
      <c r="R29" s="66"/>
      <c r="S29" s="66"/>
      <c r="T29" s="66"/>
      <c r="U29" s="66"/>
      <c r="V29" s="66"/>
      <c r="W29" s="66"/>
      <c r="X29" s="66"/>
    </row>
    <row r="30">
      <c r="A30" s="72" t="s">
        <v>4936</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4937</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0" t="s">
        <v>4938</v>
      </c>
      <c r="I30" s="182" t="s">
        <v>4939</v>
      </c>
      <c r="J30" s="251" t="s">
        <v>4940</v>
      </c>
      <c r="K30" s="75"/>
      <c r="L30" s="66"/>
      <c r="M30" s="66"/>
      <c r="N30" s="66"/>
      <c r="O30" s="66"/>
      <c r="P30" s="66"/>
      <c r="Q30" s="66"/>
      <c r="R30" s="66"/>
      <c r="S30" s="66"/>
      <c r="T30" s="66"/>
      <c r="U30" s="66"/>
      <c r="V30" s="66"/>
      <c r="W30" s="66"/>
      <c r="X30" s="66"/>
    </row>
    <row r="31">
      <c r="A31" s="72" t="s">
        <v>4941</v>
      </c>
      <c r="B31" s="250" t="s">
        <v>4942</v>
      </c>
      <c r="C31" s="72" t="s">
        <v>4943</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0" t="s">
        <v>4944</v>
      </c>
      <c r="I31" s="182" t="s">
        <v>4945</v>
      </c>
      <c r="J31" s="251" t="s">
        <v>4946</v>
      </c>
      <c r="K31" s="75"/>
      <c r="L31" s="66"/>
      <c r="M31" s="66"/>
      <c r="N31" s="66"/>
      <c r="O31" s="66"/>
      <c r="P31" s="66"/>
      <c r="Q31" s="66"/>
      <c r="R31" s="66"/>
      <c r="S31" s="66"/>
      <c r="T31" s="66"/>
      <c r="U31" s="66"/>
      <c r="V31" s="66"/>
      <c r="W31" s="66"/>
      <c r="X31" s="66"/>
    </row>
    <row r="32">
      <c r="A32" s="72" t="s">
        <v>4947</v>
      </c>
      <c r="B32" s="250" t="s">
        <v>4948</v>
      </c>
      <c r="C32" s="72" t="s">
        <v>4949</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0" t="s">
        <v>4950</v>
      </c>
      <c r="I32" s="182" t="s">
        <v>4951</v>
      </c>
      <c r="J32" s="251" t="s">
        <v>4952</v>
      </c>
      <c r="K32" s="75"/>
      <c r="L32" s="66"/>
      <c r="M32" s="66"/>
      <c r="N32" s="66"/>
      <c r="O32" s="66"/>
      <c r="P32" s="66"/>
      <c r="Q32" s="66"/>
      <c r="R32" s="66"/>
      <c r="S32" s="66"/>
      <c r="T32" s="66"/>
      <c r="U32" s="66"/>
      <c r="V32" s="66"/>
      <c r="W32" s="66"/>
      <c r="X32" s="66"/>
    </row>
    <row r="33">
      <c r="A33" s="72" t="s">
        <v>4953</v>
      </c>
      <c r="B33" s="250" t="str">
        <f>IFERROR(__xludf.DUMMYFUNCTION("GOOGLETRANSLATE(A33,""zh-tw"",""ja"")"),"生き物が可愛ければ可愛いほど、攻撃力も高くなります。")</f>
        <v>生き物が可愛ければ可愛いほど、攻撃力も高くなります。</v>
      </c>
      <c r="C33" s="72" t="s">
        <v>4954</v>
      </c>
      <c r="D33" s="250" t="s">
        <v>4955</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0" t="s">
        <v>4956</v>
      </c>
      <c r="I33" s="182" t="s">
        <v>4957</v>
      </c>
      <c r="J33" s="251" t="s">
        <v>4958</v>
      </c>
      <c r="K33" s="75"/>
      <c r="L33" s="66"/>
      <c r="M33" s="66"/>
      <c r="N33" s="66"/>
      <c r="O33" s="66"/>
      <c r="P33" s="66"/>
      <c r="Q33" s="66"/>
      <c r="R33" s="66"/>
      <c r="S33" s="66"/>
      <c r="T33" s="66"/>
      <c r="U33" s="66"/>
      <c r="V33" s="66"/>
      <c r="W33" s="66"/>
      <c r="X33" s="66"/>
    </row>
    <row r="34">
      <c r="A34" s="72" t="s">
        <v>4959</v>
      </c>
      <c r="B34" s="250"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2" t="s">
        <v>4960</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5"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50" t="s">
        <v>4961</v>
      </c>
      <c r="I34" s="133" t="s">
        <v>4962</v>
      </c>
      <c r="J34" s="251" t="s">
        <v>4963</v>
      </c>
      <c r="K34" s="75"/>
      <c r="L34" s="66"/>
      <c r="M34" s="66"/>
      <c r="N34" s="66"/>
      <c r="O34" s="66"/>
      <c r="P34" s="66"/>
      <c r="Q34" s="66"/>
      <c r="R34" s="66"/>
      <c r="S34" s="66"/>
      <c r="T34" s="66"/>
      <c r="U34" s="66"/>
      <c r="V34" s="66"/>
      <c r="W34" s="66"/>
      <c r="X34" s="66"/>
    </row>
    <row r="35">
      <c r="A35" s="72" t="s">
        <v>4964</v>
      </c>
      <c r="B35" s="250" t="str">
        <f>IFERROR(__xludf.DUMMYFUNCTION("GOOGLETRANSLATE(A35,""zh-tw"",""ja"")"),"モンスタースライム 1 個は、スライムスライム 2 個とほぼ同等です。")</f>
        <v>モンスタースライム 1 個は、スライムスライム 2 個とほぼ同等です。</v>
      </c>
      <c r="C35" s="72" t="s">
        <v>4965</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0" t="s">
        <v>4966</v>
      </c>
      <c r="I35" s="182" t="s">
        <v>4967</v>
      </c>
      <c r="J35" s="251" t="s">
        <v>4968</v>
      </c>
      <c r="K35" s="75"/>
      <c r="L35" s="66"/>
      <c r="M35" s="66"/>
      <c r="N35" s="66"/>
      <c r="O35" s="66"/>
      <c r="P35" s="66"/>
      <c r="Q35" s="66"/>
      <c r="R35" s="66"/>
      <c r="S35" s="66"/>
      <c r="T35" s="66"/>
      <c r="U35" s="66"/>
      <c r="V35" s="66"/>
      <c r="W35" s="66"/>
      <c r="X35" s="66"/>
    </row>
    <row r="36">
      <c r="A36" s="72" t="s">
        <v>4969</v>
      </c>
      <c r="B36" s="250" t="s">
        <v>4970</v>
      </c>
      <c r="C36" s="72" t="s">
        <v>4971</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0" t="s">
        <v>4972</v>
      </c>
      <c r="I36" s="182" t="s">
        <v>4973</v>
      </c>
      <c r="J36" s="251" t="s">
        <v>4974</v>
      </c>
      <c r="K36" s="75"/>
      <c r="L36" s="66"/>
      <c r="M36" s="66"/>
      <c r="N36" s="66"/>
      <c r="O36" s="66"/>
      <c r="P36" s="66"/>
      <c r="Q36" s="66"/>
      <c r="R36" s="66"/>
      <c r="S36" s="66"/>
      <c r="T36" s="66"/>
      <c r="U36" s="66"/>
      <c r="V36" s="66"/>
      <c r="W36" s="66"/>
      <c r="X36" s="66"/>
    </row>
    <row r="37">
      <c r="A37" s="72" t="s">
        <v>4975</v>
      </c>
      <c r="B37" s="250" t="s">
        <v>4976</v>
      </c>
      <c r="C37" s="72" t="s">
        <v>4977</v>
      </c>
      <c r="D37" s="250" t="s">
        <v>4978</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0" t="s">
        <v>4979</v>
      </c>
      <c r="I37" s="182" t="s">
        <v>4980</v>
      </c>
      <c r="J37" s="251" t="s">
        <v>4981</v>
      </c>
      <c r="K37" s="75"/>
      <c r="L37" s="66"/>
      <c r="M37" s="66"/>
      <c r="N37" s="66"/>
      <c r="O37" s="66"/>
      <c r="P37" s="66"/>
      <c r="Q37" s="66"/>
      <c r="R37" s="66"/>
      <c r="S37" s="66"/>
      <c r="T37" s="66"/>
      <c r="U37" s="66"/>
      <c r="V37" s="66"/>
      <c r="W37" s="66"/>
      <c r="X37" s="66"/>
    </row>
    <row r="38">
      <c r="A38" s="72" t="s">
        <v>4982</v>
      </c>
      <c r="B38" s="250" t="s">
        <v>4983</v>
      </c>
      <c r="C38" s="72" t="s">
        <v>4984</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4985</v>
      </c>
      <c r="J38" s="251" t="s">
        <v>4986</v>
      </c>
      <c r="K38" s="75"/>
      <c r="L38" s="66"/>
      <c r="M38" s="66"/>
      <c r="N38" s="66"/>
      <c r="O38" s="66"/>
      <c r="P38" s="66"/>
      <c r="Q38" s="66"/>
      <c r="R38" s="66"/>
      <c r="S38" s="66"/>
      <c r="T38" s="66"/>
      <c r="U38" s="66"/>
      <c r="V38" s="66"/>
      <c r="W38" s="66"/>
      <c r="X38" s="66"/>
    </row>
    <row r="39">
      <c r="A39" s="72" t="s">
        <v>4987</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4988</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4989</v>
      </c>
      <c r="J39" s="251" t="s">
        <v>4990</v>
      </c>
      <c r="K39" s="75"/>
      <c r="L39" s="66"/>
      <c r="M39" s="66"/>
      <c r="N39" s="66"/>
      <c r="O39" s="66"/>
      <c r="P39" s="66"/>
      <c r="Q39" s="66"/>
      <c r="R39" s="66"/>
      <c r="S39" s="66"/>
      <c r="T39" s="66"/>
      <c r="U39" s="66"/>
      <c r="V39" s="66"/>
      <c r="W39" s="66"/>
      <c r="X39" s="66"/>
    </row>
    <row r="40">
      <c r="A40" s="72" t="s">
        <v>4991</v>
      </c>
      <c r="B40" s="250" t="s">
        <v>4992</v>
      </c>
      <c r="C40" s="72" t="s">
        <v>4993</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4994</v>
      </c>
      <c r="J40" s="251" t="s">
        <v>4995</v>
      </c>
      <c r="K40" s="75"/>
      <c r="L40" s="66"/>
      <c r="M40" s="66"/>
      <c r="N40" s="66"/>
      <c r="O40" s="66"/>
      <c r="P40" s="66"/>
      <c r="Q40" s="66"/>
      <c r="R40" s="66"/>
      <c r="S40" s="66"/>
      <c r="T40" s="66"/>
      <c r="U40" s="66"/>
      <c r="V40" s="66"/>
      <c r="W40" s="66"/>
      <c r="X40" s="66"/>
    </row>
    <row r="41">
      <c r="A41" s="72" t="s">
        <v>4996</v>
      </c>
      <c r="B41" s="250" t="s">
        <v>4997</v>
      </c>
      <c r="C41" s="72" t="s">
        <v>4998</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4999</v>
      </c>
      <c r="J41" s="251" t="s">
        <v>5000</v>
      </c>
      <c r="K41" s="75"/>
      <c r="L41" s="66"/>
      <c r="M41" s="66"/>
      <c r="N41" s="66"/>
      <c r="O41" s="66"/>
      <c r="P41" s="66"/>
      <c r="Q41" s="66"/>
      <c r="R41" s="66"/>
      <c r="S41" s="66"/>
      <c r="T41" s="66"/>
      <c r="U41" s="66"/>
      <c r="V41" s="66"/>
      <c r="W41" s="66"/>
      <c r="X41" s="66"/>
    </row>
    <row r="42">
      <c r="A42" s="72" t="s">
        <v>5001</v>
      </c>
      <c r="B42" s="250" t="s">
        <v>5002</v>
      </c>
      <c r="C42" s="72" t="s">
        <v>5003</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1" t="str">
        <f>IFERROR(__xludf.DUMMYFUNCTION("GOOGLETRANSLATE(A42,""zh-tw"",""de"")"),"Auch Monster besitzen einen Geruchssinn, und manche Monster fliehen vor einem üblen Geruch.")</f>
        <v>Auch Monster besitzen einen Geruchssinn, und manche Monster fliehen vor einem üblen Geruch.</v>
      </c>
      <c r="I42" s="182" t="s">
        <v>5004</v>
      </c>
      <c r="J42" s="251" t="s">
        <v>5005</v>
      </c>
      <c r="K42" s="75"/>
      <c r="L42" s="66"/>
      <c r="M42" s="66"/>
      <c r="N42" s="66"/>
      <c r="O42" s="66"/>
      <c r="P42" s="66"/>
      <c r="Q42" s="66"/>
      <c r="R42" s="66"/>
      <c r="S42" s="66"/>
      <c r="T42" s="66"/>
      <c r="U42" s="66"/>
      <c r="V42" s="66"/>
      <c r="W42" s="66"/>
      <c r="X42" s="66"/>
    </row>
    <row r="43">
      <c r="A43" s="72" t="s">
        <v>5006</v>
      </c>
      <c r="B43" s="250" t="s">
        <v>5007</v>
      </c>
      <c r="C43" s="72" t="s">
        <v>5008</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5009</v>
      </c>
      <c r="J43" s="251" t="s">
        <v>5010</v>
      </c>
      <c r="K43" s="75"/>
      <c r="L43" s="66"/>
      <c r="M43" s="66"/>
      <c r="N43" s="66"/>
      <c r="O43" s="66"/>
      <c r="P43" s="66"/>
      <c r="Q43" s="66"/>
      <c r="R43" s="66"/>
      <c r="S43" s="66"/>
      <c r="T43" s="66"/>
      <c r="U43" s="66"/>
      <c r="V43" s="66"/>
      <c r="W43" s="66"/>
      <c r="X43" s="66"/>
    </row>
    <row r="44">
      <c r="A44" s="72" t="s">
        <v>5011</v>
      </c>
      <c r="B44" s="250" t="s">
        <v>5012</v>
      </c>
      <c r="C44" s="72" t="s">
        <v>5013</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5014</v>
      </c>
      <c r="J44" s="251" t="s">
        <v>5015</v>
      </c>
      <c r="K44" s="75"/>
      <c r="L44" s="66"/>
      <c r="M44" s="66"/>
      <c r="N44" s="66"/>
      <c r="O44" s="66"/>
      <c r="P44" s="66"/>
      <c r="Q44" s="66"/>
      <c r="R44" s="66"/>
      <c r="S44" s="66"/>
      <c r="T44" s="66"/>
      <c r="U44" s="66"/>
      <c r="V44" s="66"/>
      <c r="W44" s="66"/>
      <c r="X44" s="66"/>
    </row>
    <row r="45">
      <c r="A45" s="72" t="s">
        <v>5016</v>
      </c>
      <c r="B45" s="250" t="s">
        <v>5017</v>
      </c>
      <c r="C45" s="72" t="s">
        <v>5018</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5019</v>
      </c>
      <c r="J45" s="251" t="s">
        <v>5020</v>
      </c>
      <c r="K45" s="75"/>
      <c r="L45" s="66"/>
      <c r="M45" s="66"/>
      <c r="N45" s="66"/>
      <c r="O45" s="66"/>
      <c r="P45" s="66"/>
      <c r="Q45" s="66"/>
      <c r="R45" s="66"/>
      <c r="S45" s="66"/>
      <c r="T45" s="66"/>
      <c r="U45" s="66"/>
      <c r="V45" s="66"/>
      <c r="W45" s="66"/>
      <c r="X45" s="66"/>
    </row>
    <row r="46">
      <c r="A46" s="72" t="s">
        <v>5021</v>
      </c>
      <c r="B46" s="250" t="s">
        <v>5022</v>
      </c>
      <c r="C46" s="72" t="s">
        <v>5023</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5024</v>
      </c>
      <c r="J46" s="251" t="s">
        <v>5025</v>
      </c>
      <c r="K46" s="75"/>
      <c r="L46" s="66"/>
      <c r="M46" s="66"/>
      <c r="N46" s="66"/>
      <c r="O46" s="66"/>
      <c r="P46" s="66"/>
      <c r="Q46" s="66"/>
      <c r="R46" s="66"/>
      <c r="S46" s="66"/>
      <c r="T46" s="66"/>
      <c r="U46" s="66"/>
      <c r="V46" s="66"/>
      <c r="W46" s="66"/>
      <c r="X46" s="66"/>
    </row>
    <row r="47">
      <c r="A47" s="72" t="s">
        <v>5026</v>
      </c>
      <c r="B47" s="250" t="s">
        <v>5027</v>
      </c>
      <c r="C47" s="75" t="s">
        <v>5028</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1" t="str">
        <f>IFERROR(__xludf.DUMMYFUNCTION("GOOGLETRANSLATE(A47,""zh-tw"",""de"")"),"Die Ehwaz-Rune tauscht nach dem Werfen mit jedem Gegner, den sie berührt, die Position.")</f>
        <v>Die Ehwaz-Rune tauscht nach dem Werfen mit jedem Gegner, den sie berührt, die Position.</v>
      </c>
      <c r="I47" s="182" t="s">
        <v>5029</v>
      </c>
      <c r="J47" s="251" t="s">
        <v>5030</v>
      </c>
      <c r="K47" s="75"/>
      <c r="L47" s="66"/>
      <c r="M47" s="66"/>
      <c r="N47" s="66"/>
      <c r="O47" s="66"/>
      <c r="P47" s="66"/>
      <c r="Q47" s="66"/>
      <c r="R47" s="66"/>
      <c r="S47" s="66"/>
      <c r="T47" s="66"/>
      <c r="U47" s="66"/>
      <c r="V47" s="66"/>
      <c r="W47" s="66"/>
      <c r="X47" s="66"/>
    </row>
    <row r="48">
      <c r="A48" s="72" t="s">
        <v>5031</v>
      </c>
      <c r="B48" s="250" t="s">
        <v>5032</v>
      </c>
      <c r="C48" s="72" t="s">
        <v>5033</v>
      </c>
      <c r="D48" s="250" t="s">
        <v>5034</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5035</v>
      </c>
      <c r="J48" s="251" t="s">
        <v>5036</v>
      </c>
      <c r="K48" s="75"/>
      <c r="L48" s="66"/>
      <c r="M48" s="66"/>
      <c r="N48" s="66"/>
      <c r="O48" s="66"/>
      <c r="P48" s="66"/>
      <c r="Q48" s="66"/>
      <c r="R48" s="66"/>
      <c r="S48" s="66"/>
      <c r="T48" s="66"/>
      <c r="U48" s="66"/>
      <c r="V48" s="66"/>
      <c r="W48" s="66"/>
      <c r="X48" s="66"/>
    </row>
    <row r="49">
      <c r="A49" s="72" t="s">
        <v>5037</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5038</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5039</v>
      </c>
      <c r="J49" s="251" t="s">
        <v>5040</v>
      </c>
      <c r="K49" s="75"/>
      <c r="L49" s="66"/>
      <c r="M49" s="66"/>
      <c r="N49" s="66"/>
      <c r="O49" s="66"/>
      <c r="P49" s="66"/>
      <c r="Q49" s="66"/>
      <c r="R49" s="66"/>
      <c r="S49" s="66"/>
      <c r="T49" s="66"/>
      <c r="U49" s="66"/>
      <c r="V49" s="66"/>
      <c r="W49" s="66"/>
      <c r="X49" s="66"/>
    </row>
    <row r="50">
      <c r="A50" s="72" t="s">
        <v>5041</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5042</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51"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5043</v>
      </c>
      <c r="J50" s="251" t="s">
        <v>5044</v>
      </c>
      <c r="K50" s="75"/>
      <c r="L50" s="66"/>
      <c r="M50" s="66"/>
      <c r="N50" s="66"/>
      <c r="O50" s="66"/>
      <c r="P50" s="66"/>
      <c r="Q50" s="66"/>
      <c r="R50" s="66"/>
      <c r="S50" s="66"/>
      <c r="T50" s="66"/>
      <c r="U50" s="66"/>
      <c r="V50" s="66"/>
      <c r="W50" s="66"/>
      <c r="X50" s="66"/>
    </row>
    <row r="51">
      <c r="A51" s="72" t="s">
        <v>5045</v>
      </c>
      <c r="B51" s="250" t="s">
        <v>5046</v>
      </c>
      <c r="C51" s="72" t="s">
        <v>5047</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5048</v>
      </c>
      <c r="J51" s="251" t="s">
        <v>5049</v>
      </c>
      <c r="K51" s="75"/>
      <c r="L51" s="66"/>
      <c r="M51" s="66"/>
      <c r="N51" s="66"/>
      <c r="O51" s="66"/>
      <c r="P51" s="66"/>
      <c r="Q51" s="66"/>
      <c r="R51" s="66"/>
      <c r="S51" s="66"/>
      <c r="T51" s="66"/>
      <c r="U51" s="66"/>
      <c r="V51" s="66"/>
      <c r="W51" s="66"/>
      <c r="X51" s="66"/>
    </row>
    <row r="52">
      <c r="A52" s="72" t="s">
        <v>5050</v>
      </c>
      <c r="B52" s="250" t="str">
        <f>IFERROR(__xludf.DUMMYFUNCTION("GOOGLETRANSLATE(A52,""zh-tw"",""ja"")"),"ガシャポンが騎士の足元に落ちた場合は、騎士が拾ってくれます。")</f>
        <v>ガシャポンが騎士の足元に落ちた場合は、騎士が拾ってくれます。</v>
      </c>
      <c r="C52" s="72" t="s">
        <v>5051</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1" t="str">
        <f>IFERROR(__xludf.DUMMYFUNCTION("GOOGLETRANSLATE(A52,""zh-tw"",""de"")"),"Wenn der Gashapon in die Nähe der Füße des Ritters fällt, wird er ihn für dich aufheben.")</f>
        <v>Wenn der Gashapon in die Nähe der Füße des Ritters fällt, wird er ihn für dich aufheben.</v>
      </c>
      <c r="I52" s="182" t="s">
        <v>5052</v>
      </c>
      <c r="J52" s="251" t="s">
        <v>5053</v>
      </c>
      <c r="K52" s="75"/>
      <c r="L52" s="66"/>
      <c r="M52" s="66"/>
      <c r="N52" s="66"/>
      <c r="O52" s="66"/>
      <c r="P52" s="66"/>
      <c r="Q52" s="66"/>
      <c r="R52" s="66"/>
      <c r="S52" s="66"/>
      <c r="T52" s="66"/>
      <c r="U52" s="66"/>
      <c r="V52" s="66"/>
      <c r="W52" s="66"/>
      <c r="X52" s="66"/>
    </row>
    <row r="53">
      <c r="A53" s="72" t="s">
        <v>5054</v>
      </c>
      <c r="B53" s="250" t="s">
        <v>5055</v>
      </c>
      <c r="C53" s="72" t="s">
        <v>5056</v>
      </c>
      <c r="D53" s="250" t="s">
        <v>5057</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5058</v>
      </c>
      <c r="J53" s="251" t="s">
        <v>5059</v>
      </c>
      <c r="K53" s="75"/>
      <c r="L53" s="66"/>
      <c r="M53" s="66"/>
      <c r="N53" s="66"/>
      <c r="O53" s="66"/>
      <c r="P53" s="66"/>
      <c r="Q53" s="66"/>
      <c r="R53" s="66"/>
      <c r="S53" s="66"/>
      <c r="T53" s="66"/>
      <c r="U53" s="66"/>
      <c r="V53" s="66"/>
      <c r="W53" s="66"/>
      <c r="X53" s="66"/>
    </row>
    <row r="54">
      <c r="A54" s="72" t="s">
        <v>5060</v>
      </c>
      <c r="B54" s="250" t="s">
        <v>5061</v>
      </c>
      <c r="C54" s="72" t="s">
        <v>5062</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5063</v>
      </c>
      <c r="J54" s="251" t="s">
        <v>5064</v>
      </c>
      <c r="K54" s="75"/>
      <c r="L54" s="66"/>
      <c r="M54" s="66"/>
      <c r="N54" s="66"/>
      <c r="O54" s="66"/>
      <c r="P54" s="66"/>
      <c r="Q54" s="66"/>
      <c r="R54" s="66"/>
      <c r="S54" s="66"/>
      <c r="T54" s="66"/>
      <c r="U54" s="66"/>
      <c r="V54" s="66"/>
      <c r="W54" s="66"/>
      <c r="X54" s="66"/>
    </row>
    <row r="55">
      <c r="A55" s="72" t="s">
        <v>5065</v>
      </c>
      <c r="B55" s="250" t="s">
        <v>5066</v>
      </c>
      <c r="C55" s="72" t="s">
        <v>5067</v>
      </c>
      <c r="D55" s="250" t="s">
        <v>5068</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5069</v>
      </c>
      <c r="J55" s="251" t="s">
        <v>5070</v>
      </c>
      <c r="K55" s="75"/>
      <c r="L55" s="66"/>
      <c r="M55" s="66"/>
      <c r="N55" s="66"/>
      <c r="O55" s="66"/>
      <c r="P55" s="66"/>
      <c r="Q55" s="66"/>
      <c r="R55" s="66"/>
      <c r="S55" s="66"/>
      <c r="T55" s="66"/>
      <c r="U55" s="66"/>
      <c r="V55" s="66"/>
      <c r="W55" s="66"/>
      <c r="X55" s="66"/>
    </row>
    <row r="56">
      <c r="A56" s="72" t="s">
        <v>5071</v>
      </c>
      <c r="B56" s="250" t="s">
        <v>5072</v>
      </c>
      <c r="C56" s="72" t="s">
        <v>5073</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5074</v>
      </c>
      <c r="J56" s="251" t="s">
        <v>5075</v>
      </c>
      <c r="K56" s="75"/>
      <c r="L56" s="66"/>
      <c r="M56" s="66"/>
      <c r="N56" s="66"/>
      <c r="O56" s="66"/>
      <c r="P56" s="66"/>
      <c r="Q56" s="66"/>
      <c r="R56" s="66"/>
      <c r="S56" s="66"/>
      <c r="T56" s="66"/>
      <c r="U56" s="66"/>
      <c r="V56" s="66"/>
      <c r="W56" s="66"/>
      <c r="X56" s="66"/>
    </row>
    <row r="57">
      <c r="A57" s="72" t="s">
        <v>5076</v>
      </c>
      <c r="B57" s="250" t="s">
        <v>5077</v>
      </c>
      <c r="C57" s="72" t="s">
        <v>5078</v>
      </c>
      <c r="D57" s="250" t="s">
        <v>5079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5080</v>
      </c>
      <c r="J57" s="251" t="s">
        <v>5081</v>
      </c>
      <c r="K57" s="75"/>
      <c r="L57" s="66"/>
      <c r="M57" s="66"/>
      <c r="N57" s="66"/>
      <c r="O57" s="66"/>
      <c r="P57" s="66"/>
      <c r="Q57" s="66"/>
      <c r="R57" s="66"/>
      <c r="S57" s="66"/>
      <c r="T57" s="66"/>
      <c r="U57" s="66"/>
      <c r="V57" s="66"/>
      <c r="W57" s="66"/>
      <c r="X57" s="66"/>
    </row>
    <row r="58">
      <c r="A58" s="72" t="s">
        <v>5082</v>
      </c>
      <c r="B58" s="250" t="s">
        <v>5083</v>
      </c>
      <c r="C58" s="72" t="s">
        <v>5084</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5085</v>
      </c>
      <c r="J58" s="251" t="s">
        <v>5086</v>
      </c>
      <c r="K58" s="75"/>
      <c r="L58" s="66"/>
      <c r="M58" s="66"/>
      <c r="N58" s="66"/>
      <c r="O58" s="66"/>
      <c r="P58" s="66"/>
      <c r="Q58" s="66"/>
      <c r="R58" s="66"/>
      <c r="S58" s="66"/>
      <c r="T58" s="66"/>
      <c r="U58" s="66"/>
      <c r="V58" s="66"/>
      <c r="W58" s="66"/>
      <c r="X58" s="66"/>
    </row>
    <row r="59">
      <c r="A59" s="72" t="s">
        <v>5087</v>
      </c>
      <c r="B59" s="250" t="s">
        <v>5088</v>
      </c>
      <c r="C59" s="72" t="s">
        <v>5089</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1" t="str">
        <f>IFERROR(__xludf.DUMMYFUNCTION("GOOGLETRANSLATE(A59,""zh-tw"",""de"")"),"Meine Schwester lackiert ihre Nägel je nach Wetterlage in verschiedenen Farben.")</f>
        <v>Meine Schwester lackiert ihre Nägel je nach Wetterlage in verschiedenen Farben.</v>
      </c>
      <c r="I59" s="182" t="s">
        <v>5090</v>
      </c>
      <c r="J59" s="251" t="s">
        <v>5091</v>
      </c>
      <c r="K59" s="75"/>
      <c r="L59" s="66"/>
      <c r="M59" s="66"/>
      <c r="N59" s="66"/>
      <c r="O59" s="66"/>
      <c r="P59" s="66"/>
      <c r="Q59" s="66"/>
      <c r="R59" s="66"/>
      <c r="S59" s="66"/>
      <c r="T59" s="66"/>
      <c r="U59" s="66"/>
      <c r="V59" s="66"/>
      <c r="W59" s="66"/>
      <c r="X59" s="66"/>
    </row>
    <row r="60">
      <c r="A60" s="72" t="s">
        <v>5092</v>
      </c>
      <c r="B60" s="250" t="s">
        <v>5093</v>
      </c>
      <c r="C60" s="72" t="s">
        <v>5094</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5095</v>
      </c>
      <c r="J60" s="251" t="s">
        <v>5096</v>
      </c>
      <c r="K60" s="75"/>
      <c r="L60" s="66"/>
      <c r="M60" s="66"/>
      <c r="N60" s="66"/>
      <c r="O60" s="66"/>
      <c r="P60" s="66"/>
      <c r="Q60" s="66"/>
      <c r="R60" s="66"/>
      <c r="S60" s="66"/>
      <c r="T60" s="66"/>
      <c r="U60" s="66"/>
      <c r="V60" s="66"/>
      <c r="W60" s="66"/>
      <c r="X60" s="66"/>
    </row>
    <row r="61">
      <c r="A61" s="72" t="s">
        <v>5097</v>
      </c>
      <c r="B61" s="250" t="s">
        <v>5098</v>
      </c>
      <c r="C61" s="72" t="s">
        <v>5099</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5100</v>
      </c>
      <c r="J61" s="251" t="s">
        <v>5101</v>
      </c>
      <c r="K61" s="75"/>
      <c r="L61" s="66"/>
      <c r="M61" s="66"/>
      <c r="N61" s="66"/>
      <c r="O61" s="66"/>
      <c r="P61" s="66"/>
      <c r="Q61" s="66"/>
      <c r="R61" s="66"/>
      <c r="S61" s="66"/>
      <c r="T61" s="66"/>
      <c r="U61" s="66"/>
      <c r="V61" s="66"/>
      <c r="W61" s="66"/>
      <c r="X61" s="66"/>
    </row>
    <row r="62">
      <c r="A62" s="72" t="s">
        <v>5102</v>
      </c>
      <c r="B62" s="250" t="s">
        <v>5103</v>
      </c>
      <c r="C62" s="72" t="s">
        <v>5104</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5105</v>
      </c>
      <c r="J62" s="251" t="s">
        <v>5106</v>
      </c>
      <c r="K62" s="75"/>
      <c r="L62" s="66"/>
      <c r="M62" s="66"/>
      <c r="N62" s="66"/>
      <c r="O62" s="66"/>
      <c r="P62" s="66"/>
      <c r="Q62" s="66"/>
      <c r="R62" s="66"/>
      <c r="S62" s="66"/>
      <c r="T62" s="66"/>
      <c r="U62" s="66"/>
      <c r="V62" s="66"/>
      <c r="W62" s="66"/>
      <c r="X62" s="66"/>
    </row>
    <row r="63">
      <c r="A63" s="72" t="s">
        <v>5107</v>
      </c>
      <c r="B63" s="250" t="s">
        <v>5108</v>
      </c>
      <c r="C63" s="72" t="s">
        <v>5109</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5110</v>
      </c>
      <c r="J63" s="251" t="s">
        <v>5111</v>
      </c>
      <c r="K63" s="75"/>
      <c r="L63" s="66"/>
      <c r="M63" s="66"/>
      <c r="N63" s="66"/>
      <c r="O63" s="66"/>
      <c r="P63" s="66"/>
      <c r="Q63" s="66"/>
      <c r="R63" s="66"/>
      <c r="S63" s="66"/>
      <c r="T63" s="66"/>
      <c r="U63" s="66"/>
      <c r="V63" s="66"/>
      <c r="W63" s="66"/>
      <c r="X63" s="66"/>
    </row>
    <row r="64">
      <c r="A64" s="72" t="s">
        <v>5112</v>
      </c>
      <c r="B64" s="250" t="str">
        <f>IFERROR(__xludf.DUMMYFUNCTION("GOOGLETRANSLATE(A64,""zh-tw"",""ja"")"),"Shift キーを押すと、歩行姿勢と走行姿勢を切り替えることができます。")</f>
        <v>Shift キーを押すと、歩行姿勢と走行姿勢を切り替えることができます。</v>
      </c>
      <c r="C64" s="72" t="s">
        <v>5113</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1" t="str">
        <f>IFERROR(__xludf.DUMMYFUNCTION("GOOGLETRANSLATE(A64,""zh-tw"",""de"")"),"Mit der Shift-Taste kann zwischen Geh- und Laufhaltung umgeschaltet werden.")</f>
        <v>Mit der Shift-Taste kann zwischen Geh- und Laufhaltung umgeschaltet werden.</v>
      </c>
      <c r="I64" s="182" t="s">
        <v>5114</v>
      </c>
      <c r="J64" s="251" t="s">
        <v>5115</v>
      </c>
      <c r="K64" s="75"/>
      <c r="L64" s="66"/>
      <c r="M64" s="66"/>
      <c r="N64" s="66"/>
      <c r="O64" s="66"/>
      <c r="P64" s="66"/>
      <c r="Q64" s="66"/>
      <c r="R64" s="66"/>
      <c r="S64" s="66"/>
      <c r="T64" s="66"/>
      <c r="U64" s="66"/>
      <c r="V64" s="66"/>
      <c r="W64" s="66"/>
      <c r="X64" s="66"/>
    </row>
    <row r="65">
      <c r="A65" s="72" t="s">
        <v>5116</v>
      </c>
      <c r="B65" s="250" t="s">
        <v>5117</v>
      </c>
      <c r="C65" s="72" t="s">
        <v>5118</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5119</v>
      </c>
      <c r="J65" s="251" t="s">
        <v>5120</v>
      </c>
      <c r="K65" s="75"/>
      <c r="L65" s="66"/>
      <c r="M65" s="66"/>
      <c r="N65" s="66"/>
      <c r="O65" s="66"/>
      <c r="P65" s="66"/>
      <c r="Q65" s="66"/>
      <c r="R65" s="66"/>
      <c r="S65" s="66"/>
      <c r="T65" s="66"/>
      <c r="U65" s="66"/>
      <c r="V65" s="66"/>
      <c r="W65" s="66"/>
      <c r="X65" s="66"/>
    </row>
    <row r="66">
      <c r="A66" s="72" t="s">
        <v>5121</v>
      </c>
      <c r="B66" s="250" t="s">
        <v>5122</v>
      </c>
      <c r="C66" s="72" t="s">
        <v>5123</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5124</v>
      </c>
      <c r="J66" s="251" t="s">
        <v>5125</v>
      </c>
      <c r="K66" s="75"/>
      <c r="L66" s="66"/>
      <c r="M66" s="66"/>
      <c r="N66" s="66"/>
      <c r="O66" s="66"/>
      <c r="P66" s="66"/>
      <c r="Q66" s="66"/>
      <c r="R66" s="66"/>
      <c r="S66" s="66"/>
      <c r="T66" s="66"/>
      <c r="U66" s="66"/>
      <c r="V66" s="66"/>
      <c r="W66" s="66"/>
      <c r="X66" s="66"/>
    </row>
    <row r="67">
      <c r="A67" s="72" t="s">
        <v>5126</v>
      </c>
      <c r="B67" s="250" t="s">
        <v>5127</v>
      </c>
      <c r="C67" s="72" t="s">
        <v>5128</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5129</v>
      </c>
      <c r="J67" s="251" t="s">
        <v>5130</v>
      </c>
      <c r="K67" s="75"/>
      <c r="L67" s="66"/>
      <c r="M67" s="66"/>
      <c r="N67" s="66"/>
      <c r="O67" s="66"/>
      <c r="P67" s="66"/>
      <c r="Q67" s="66"/>
      <c r="R67" s="66"/>
      <c r="S67" s="66"/>
      <c r="T67" s="66"/>
      <c r="U67" s="66"/>
      <c r="V67" s="66"/>
      <c r="W67" s="66"/>
      <c r="X67" s="66"/>
    </row>
    <row r="68">
      <c r="A68" s="72" t="s">
        <v>5131</v>
      </c>
      <c r="B68" s="250" t="s">
        <v>5132</v>
      </c>
      <c r="C68" s="72" t="s">
        <v>5133</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5134</v>
      </c>
      <c r="J68" s="251" t="s">
        <v>5135</v>
      </c>
      <c r="K68" s="75"/>
      <c r="L68" s="66"/>
      <c r="M68" s="66"/>
      <c r="N68" s="66"/>
      <c r="O68" s="66"/>
      <c r="P68" s="66"/>
      <c r="Q68" s="66"/>
      <c r="R68" s="66"/>
      <c r="S68" s="66"/>
      <c r="T68" s="66"/>
      <c r="U68" s="66"/>
      <c r="V68" s="66"/>
      <c r="W68" s="66"/>
      <c r="X68" s="66"/>
    </row>
    <row r="69">
      <c r="A69" s="72" t="s">
        <v>5136</v>
      </c>
      <c r="B69" s="250" t="s">
        <v>5137</v>
      </c>
      <c r="C69" s="72" t="s">
        <v>5138</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0" t="s">
        <v>5139</v>
      </c>
      <c r="I69" s="182" t="s">
        <v>5140</v>
      </c>
      <c r="J69" s="251" t="s">
        <v>5141</v>
      </c>
      <c r="K69" s="75"/>
      <c r="L69" s="66"/>
      <c r="M69" s="66"/>
      <c r="N69" s="66"/>
      <c r="O69" s="66"/>
      <c r="P69" s="66"/>
      <c r="Q69" s="66"/>
      <c r="R69" s="66"/>
      <c r="S69" s="66"/>
      <c r="T69" s="66"/>
      <c r="U69" s="66"/>
      <c r="V69" s="66"/>
      <c r="W69" s="66"/>
      <c r="X69" s="66"/>
    </row>
    <row r="70">
      <c r="A70" s="72" t="s">
        <v>5142</v>
      </c>
      <c r="B70" s="250" t="s">
        <v>5143</v>
      </c>
      <c r="C70" s="72" t="s">
        <v>5144</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0" t="s">
        <v>5145</v>
      </c>
      <c r="I70" s="182" t="s">
        <v>5146</v>
      </c>
      <c r="J70" s="251" t="s">
        <v>5147</v>
      </c>
      <c r="K70" s="75"/>
      <c r="L70" s="66"/>
      <c r="M70" s="66"/>
      <c r="N70" s="66"/>
      <c r="O70" s="66"/>
      <c r="P70" s="66"/>
      <c r="Q70" s="66"/>
      <c r="R70" s="66"/>
      <c r="S70" s="66"/>
      <c r="T70" s="66"/>
      <c r="U70" s="66"/>
      <c r="V70" s="66"/>
      <c r="W70" s="66"/>
      <c r="X70" s="66"/>
    </row>
    <row r="71">
      <c r="A71" s="72" t="s">
        <v>5148</v>
      </c>
      <c r="B71" s="250" t="s">
        <v>5149</v>
      </c>
      <c r="C71" s="72" t="s">
        <v>5150</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0" t="s">
        <v>5151</v>
      </c>
      <c r="I71" s="182" t="s">
        <v>5152</v>
      </c>
      <c r="J71" s="251" t="s">
        <v>5153</v>
      </c>
      <c r="K71" s="75"/>
      <c r="L71" s="66"/>
      <c r="M71" s="66"/>
      <c r="N71" s="66"/>
      <c r="O71" s="66"/>
      <c r="P71" s="66"/>
      <c r="Q71" s="66"/>
      <c r="R71" s="66"/>
      <c r="S71" s="66"/>
      <c r="T71" s="66"/>
      <c r="U71" s="66"/>
      <c r="V71" s="66"/>
      <c r="W71" s="66"/>
      <c r="X71" s="66"/>
    </row>
    <row r="72">
      <c r="A72" s="72" t="s">
        <v>5154</v>
      </c>
      <c r="B72" s="250" t="s">
        <v>5155</v>
      </c>
      <c r="C72" s="72" t="s">
        <v>5156</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0" t="s">
        <v>5157</v>
      </c>
      <c r="I72" s="182" t="s">
        <v>5158</v>
      </c>
      <c r="J72" s="251" t="s">
        <v>5159</v>
      </c>
      <c r="K72" s="75"/>
      <c r="L72" s="66"/>
      <c r="M72" s="66"/>
      <c r="N72" s="66"/>
      <c r="O72" s="66"/>
      <c r="P72" s="66"/>
      <c r="Q72" s="66"/>
      <c r="R72" s="66"/>
      <c r="S72" s="66"/>
      <c r="T72" s="66"/>
      <c r="U72" s="66"/>
      <c r="V72" s="66"/>
      <c r="W72" s="66"/>
      <c r="X72" s="66"/>
    </row>
    <row r="73">
      <c r="A73" s="72" t="s">
        <v>5160</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5161</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0" t="s">
        <v>5162</v>
      </c>
      <c r="I73" s="182" t="s">
        <v>5163</v>
      </c>
      <c r="J73" s="251" t="s">
        <v>5164</v>
      </c>
      <c r="K73" s="75"/>
      <c r="L73" s="66"/>
      <c r="M73" s="66"/>
      <c r="N73" s="66"/>
      <c r="O73" s="66"/>
      <c r="P73" s="66"/>
      <c r="Q73" s="66"/>
      <c r="R73" s="66"/>
      <c r="S73" s="66"/>
      <c r="T73" s="66"/>
      <c r="U73" s="66"/>
      <c r="V73" s="66"/>
      <c r="W73" s="66"/>
      <c r="X73" s="66"/>
    </row>
    <row r="74">
      <c r="A74" s="72" t="s">
        <v>5165</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5166</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0" t="s">
        <v>5167</v>
      </c>
      <c r="I74" s="182" t="s">
        <v>5168</v>
      </c>
      <c r="J74" s="251" t="s">
        <v>5169</v>
      </c>
      <c r="K74" s="75"/>
      <c r="L74" s="66"/>
      <c r="M74" s="66"/>
      <c r="N74" s="66"/>
      <c r="O74" s="66"/>
      <c r="P74" s="66"/>
      <c r="Q74" s="66"/>
      <c r="R74" s="66"/>
      <c r="S74" s="66"/>
      <c r="T74" s="66"/>
      <c r="U74" s="66"/>
      <c r="V74" s="66"/>
      <c r="W74" s="66"/>
      <c r="X74" s="66"/>
    </row>
    <row r="75">
      <c r="A75" s="72" t="s">
        <v>5170</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5171</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5172</v>
      </c>
      <c r="J75" s="251" t="s">
        <v>5173</v>
      </c>
      <c r="K75" s="75"/>
      <c r="L75" s="66"/>
      <c r="M75" s="66"/>
      <c r="N75" s="66"/>
      <c r="O75" s="66"/>
      <c r="P75" s="66"/>
      <c r="Q75" s="66"/>
      <c r="R75" s="66"/>
      <c r="S75" s="66"/>
      <c r="T75" s="66"/>
      <c r="U75" s="66"/>
      <c r="V75" s="66"/>
      <c r="W75" s="66"/>
      <c r="X75" s="66"/>
    </row>
    <row r="76">
      <c r="A76" s="75" t="s">
        <v>5174</v>
      </c>
      <c r="B76" s="251" t="s">
        <v>5175</v>
      </c>
      <c r="C76" s="75" t="s">
        <v>5176</v>
      </c>
      <c r="D76" s="250" t="str">
        <f>IFERROR(__xludf.DUMMYFUNCTION("GOOGLETRANSLATE(A76,""zh-tw"",""zh"")"),"牛奶是最好的解辣饮品，能大幅缩短解除辣哭了的持续时间")</f>
        <v>牛奶是最好的解辣饮品，能大幅缩短解除辣哭了的持续时间</v>
      </c>
      <c r="E76" s="72" t="s">
        <v>5177</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1" t="s">
        <v>5178</v>
      </c>
      <c r="I76" s="182" t="s">
        <v>5179</v>
      </c>
      <c r="J76" s="251" t="s">
        <v>5180</v>
      </c>
      <c r="K76" s="75"/>
      <c r="L76" s="66"/>
      <c r="M76" s="66"/>
      <c r="N76" s="66"/>
      <c r="O76" s="66"/>
      <c r="P76" s="66"/>
      <c r="Q76" s="66"/>
      <c r="R76" s="66"/>
      <c r="S76" s="66"/>
      <c r="T76" s="66"/>
      <c r="U76" s="66"/>
      <c r="V76" s="66"/>
      <c r="W76" s="66"/>
      <c r="X76" s="66"/>
    </row>
    <row r="77">
      <c r="A77" s="75" t="s">
        <v>5181</v>
      </c>
      <c r="B77" s="251" t="s">
        <v>5182</v>
      </c>
      <c r="C77" s="75" t="s">
        <v>5183</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5184</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1" t="s">
        <v>5185</v>
      </c>
      <c r="I77" s="182" t="s">
        <v>5186</v>
      </c>
      <c r="J77" s="251" t="s">
        <v>5187</v>
      </c>
      <c r="K77" s="75"/>
      <c r="L77" s="66"/>
      <c r="M77" s="66"/>
      <c r="N77" s="66"/>
      <c r="O77" s="66"/>
      <c r="P77" s="66"/>
      <c r="Q77" s="66"/>
      <c r="R77" s="66"/>
      <c r="S77" s="66"/>
      <c r="T77" s="66"/>
      <c r="U77" s="66"/>
      <c r="V77" s="66"/>
      <c r="W77" s="66"/>
      <c r="X77" s="66"/>
    </row>
    <row r="78">
      <c r="A78" s="75" t="s">
        <v>5188</v>
      </c>
      <c r="B78" s="251" t="s">
        <v>5189</v>
      </c>
      <c r="C78" s="75" t="s">
        <v>5190</v>
      </c>
      <c r="D78" s="250" t="str">
        <f>IFERROR(__xludf.DUMMYFUNCTION("GOOGLETRANSLATE(A78,""zh-tw"",""zh"")"),"ASABA通常会出现在路边的草莓丛中")</f>
        <v>ASABA通常会出现在路边的草莓丛中</v>
      </c>
      <c r="E78" s="72" t="s">
        <v>5191</v>
      </c>
      <c r="F78" s="251"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1" t="s">
        <v>5192</v>
      </c>
      <c r="I78" s="182" t="s">
        <v>5193</v>
      </c>
      <c r="J78" s="251" t="s">
        <v>5194</v>
      </c>
      <c r="K78" s="75"/>
      <c r="L78" s="66"/>
      <c r="M78" s="66"/>
      <c r="N78" s="66"/>
      <c r="O78" s="66"/>
      <c r="P78" s="66"/>
      <c r="Q78" s="66"/>
      <c r="R78" s="66"/>
      <c r="S78" s="66"/>
      <c r="T78" s="66"/>
      <c r="U78" s="66"/>
      <c r="V78" s="66"/>
      <c r="W78" s="66"/>
      <c r="X78" s="66"/>
    </row>
    <row r="79">
      <c r="A79" s="75" t="s">
        <v>5195</v>
      </c>
      <c r="B79" s="251" t="s">
        <v>5196</v>
      </c>
      <c r="C79" s="75" t="s">
        <v>5197</v>
      </c>
      <c r="D79" s="250" t="str">
        <f>IFERROR(__xludf.DUMMYFUNCTION("GOOGLETRANSLATE(A79,""zh-tw"",""zh"")"),"""草莓""食材，目前无实际用途，等待未来更新")</f>
        <v>"草莓"食材，目前无实际用途，等待未来更新</v>
      </c>
      <c r="E79" s="72" t="s">
        <v>5198</v>
      </c>
      <c r="F79" s="25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51" t="s">
        <v>5199</v>
      </c>
      <c r="I79" s="182" t="s">
        <v>5200</v>
      </c>
      <c r="J79" s="251" t="s">
        <v>5201</v>
      </c>
      <c r="K79" s="75"/>
      <c r="L79" s="66"/>
      <c r="M79" s="66"/>
      <c r="N79" s="66"/>
      <c r="O79" s="66"/>
      <c r="P79" s="66"/>
      <c r="Q79" s="66"/>
      <c r="R79" s="66"/>
      <c r="S79" s="66"/>
      <c r="T79" s="66"/>
      <c r="U79" s="66"/>
      <c r="V79" s="66"/>
      <c r="W79" s="66"/>
      <c r="X79" s="66"/>
    </row>
    <row r="80">
      <c r="A80" s="72" t="s">
        <v>5202</v>
      </c>
      <c r="B80" s="250" t="s">
        <v>5203</v>
      </c>
      <c r="C80" s="72" t="s">
        <v>5204</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5205</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1" t="s">
        <v>5206</v>
      </c>
      <c r="I80" s="133" t="s">
        <v>5207</v>
      </c>
      <c r="J80" s="251" t="s">
        <v>5208</v>
      </c>
      <c r="K80" s="75"/>
      <c r="L80" s="66"/>
      <c r="M80" s="66"/>
      <c r="N80" s="66"/>
      <c r="O80" s="66"/>
      <c r="P80" s="66"/>
      <c r="Q80" s="66"/>
      <c r="R80" s="66"/>
      <c r="S80" s="66"/>
      <c r="T80" s="66"/>
      <c r="U80" s="66"/>
      <c r="V80" s="66"/>
      <c r="W80" s="66"/>
      <c r="X80" s="66"/>
    </row>
    <row r="81">
      <c r="A81" s="72" t="s">
        <v>5209</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5210</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55" t="s">
        <v>5211</v>
      </c>
      <c r="I81" s="182" t="s">
        <v>5212</v>
      </c>
      <c r="J81" s="251" t="s">
        <v>5213</v>
      </c>
      <c r="K81" s="75"/>
      <c r="L81" s="66"/>
      <c r="M81" s="66"/>
      <c r="N81" s="66"/>
      <c r="O81" s="66"/>
      <c r="P81" s="66"/>
      <c r="Q81" s="66"/>
      <c r="R81" s="66"/>
      <c r="S81" s="66"/>
      <c r="T81" s="66"/>
      <c r="U81" s="66"/>
      <c r="V81" s="66"/>
      <c r="W81" s="66"/>
      <c r="X81" s="66"/>
    </row>
    <row r="82">
      <c r="A82" s="72" t="s">
        <v>5214</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5215</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0" t="s">
        <v>5216</v>
      </c>
      <c r="I82" s="133" t="s">
        <v>5217</v>
      </c>
      <c r="J82" s="251" t="s">
        <v>5218</v>
      </c>
      <c r="K82" s="75"/>
      <c r="L82" s="66"/>
      <c r="M82" s="66"/>
      <c r="N82" s="66"/>
      <c r="O82" s="66"/>
      <c r="P82" s="66"/>
      <c r="Q82" s="66"/>
      <c r="R82" s="66"/>
      <c r="S82" s="66"/>
      <c r="T82" s="66"/>
      <c r="U82" s="66"/>
      <c r="V82" s="66"/>
      <c r="W82" s="66"/>
      <c r="X82" s="66"/>
    </row>
    <row r="83">
      <c r="A83" s="75" t="s">
        <v>5219</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5220</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1" t="s">
        <v>5221</v>
      </c>
      <c r="I83" s="182" t="s">
        <v>5222</v>
      </c>
      <c r="J83" s="251" t="s">
        <v>5223</v>
      </c>
      <c r="K83" s="75"/>
      <c r="L83" s="66"/>
      <c r="M83" s="66"/>
      <c r="N83" s="66"/>
      <c r="O83" s="66"/>
      <c r="P83" s="66"/>
      <c r="Q83" s="66"/>
      <c r="R83" s="66"/>
      <c r="S83" s="66"/>
      <c r="T83" s="66"/>
      <c r="U83" s="66"/>
      <c r="V83" s="66"/>
      <c r="W83" s="66"/>
      <c r="X83" s="66"/>
    </row>
    <row r="84" ht="53.25" customHeight="1">
      <c r="A84" s="75" t="s">
        <v>5224</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5225</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1" t="s">
        <v>5226</v>
      </c>
      <c r="I84" s="182" t="s">
        <v>5227</v>
      </c>
      <c r="J84" s="251" t="s">
        <v>5228</v>
      </c>
      <c r="K84" s="75"/>
      <c r="L84" s="66"/>
      <c r="M84" s="66"/>
      <c r="N84" s="66"/>
      <c r="O84" s="66"/>
      <c r="P84" s="66"/>
      <c r="Q84" s="66"/>
      <c r="R84" s="66"/>
      <c r="S84" s="66"/>
      <c r="T84" s="66"/>
      <c r="U84" s="66"/>
      <c r="V84" s="66"/>
      <c r="W84" s="66"/>
      <c r="X84" s="66"/>
    </row>
    <row r="85">
      <c r="A85" s="72" t="s">
        <v>5229</v>
      </c>
      <c r="B85" s="250" t="s">
        <v>5230</v>
      </c>
      <c r="C85" s="72" t="s">
        <v>5231</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5232</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0" t="s">
        <v>5233</v>
      </c>
      <c r="I85" s="133" t="s">
        <v>5234</v>
      </c>
      <c r="J85" s="251" t="s">
        <v>5235</v>
      </c>
      <c r="K85" s="75"/>
      <c r="L85" s="66"/>
      <c r="M85" s="66"/>
      <c r="N85" s="66"/>
      <c r="O85" s="66"/>
      <c r="P85" s="66"/>
      <c r="Q85" s="66"/>
      <c r="R85" s="66"/>
      <c r="S85" s="66"/>
      <c r="T85" s="66"/>
      <c r="U85" s="66"/>
      <c r="V85" s="66"/>
      <c r="W85" s="66"/>
      <c r="X85" s="66"/>
    </row>
    <row r="86">
      <c r="A86" s="75" t="s">
        <v>5236</v>
      </c>
      <c r="B86" s="251" t="s">
        <v>5237</v>
      </c>
      <c r="C86" s="75" t="s">
        <v>5238</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5239</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1" t="s">
        <v>5240</v>
      </c>
      <c r="I86" s="182" t="s">
        <v>5241</v>
      </c>
      <c r="J86" s="251" t="s">
        <v>5242</v>
      </c>
      <c r="K86" s="75"/>
      <c r="L86" s="66"/>
      <c r="M86" s="66"/>
      <c r="N86" s="66"/>
      <c r="O86" s="66"/>
      <c r="P86" s="66"/>
      <c r="Q86" s="66"/>
      <c r="R86" s="66"/>
      <c r="S86" s="66"/>
      <c r="T86" s="66"/>
      <c r="U86" s="66"/>
      <c r="V86" s="66"/>
      <c r="W86" s="66"/>
      <c r="X86" s="66"/>
    </row>
    <row r="87">
      <c r="A87" s="75" t="s">
        <v>5243</v>
      </c>
      <c r="B87" s="251" t="s">
        <v>5244</v>
      </c>
      <c r="C87" s="75" t="s">
        <v>5245</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1" t="s">
        <v>5246</v>
      </c>
      <c r="I87" s="182" t="s">
        <v>5247</v>
      </c>
      <c r="J87" s="251" t="s">
        <v>5248</v>
      </c>
      <c r="K87" s="75"/>
      <c r="L87" s="66"/>
      <c r="M87" s="66"/>
      <c r="N87" s="66"/>
      <c r="O87" s="66"/>
      <c r="P87" s="66"/>
      <c r="Q87" s="66"/>
      <c r="R87" s="66"/>
      <c r="S87" s="66"/>
      <c r="T87" s="66"/>
      <c r="U87" s="66"/>
      <c r="V87" s="66"/>
      <c r="W87" s="66"/>
      <c r="X87" s="66"/>
    </row>
    <row r="88">
      <c r="A88" s="75" t="s">
        <v>5249</v>
      </c>
      <c r="B88" s="251" t="s">
        <v>5250</v>
      </c>
      <c r="C88" s="75" t="s">
        <v>5251</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1" t="s">
        <v>5252</v>
      </c>
      <c r="I88" s="182" t="s">
        <v>5253</v>
      </c>
      <c r="J88" s="251" t="s">
        <v>5254</v>
      </c>
      <c r="K88" s="75"/>
      <c r="L88" s="66"/>
      <c r="M88" s="66"/>
      <c r="N88" s="66"/>
      <c r="O88" s="66"/>
      <c r="P88" s="66"/>
      <c r="Q88" s="66"/>
      <c r="R88" s="66"/>
      <c r="S88" s="66"/>
      <c r="T88" s="66"/>
      <c r="U88" s="66"/>
      <c r="V88" s="66"/>
      <c r="W88" s="66"/>
      <c r="X88" s="66"/>
    </row>
    <row r="89">
      <c r="A89" s="72" t="s">
        <v>5255</v>
      </c>
      <c r="B89" s="250" t="s">
        <v>5256</v>
      </c>
      <c r="C89" s="72" t="s">
        <v>5257</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5258</v>
      </c>
      <c r="J89" s="251" t="s">
        <v>5259</v>
      </c>
      <c r="K89" s="75"/>
      <c r="L89" s="66"/>
      <c r="M89" s="66"/>
      <c r="N89" s="66"/>
      <c r="O89" s="66"/>
      <c r="P89" s="66"/>
      <c r="Q89" s="66"/>
      <c r="R89" s="66"/>
      <c r="S89" s="66"/>
      <c r="T89" s="66"/>
      <c r="U89" s="66"/>
      <c r="V89" s="66"/>
      <c r="W89" s="66"/>
      <c r="X89" s="66"/>
    </row>
    <row r="90">
      <c r="A90" s="75" t="s">
        <v>5260</v>
      </c>
      <c r="B90" s="251" t="s">
        <v>5261</v>
      </c>
      <c r="C90" s="75" t="s">
        <v>5262</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1" t="s">
        <v>5263</v>
      </c>
      <c r="I90" s="182" t="s">
        <v>5264</v>
      </c>
      <c r="J90" s="251" t="s">
        <v>5265</v>
      </c>
      <c r="K90" s="75"/>
      <c r="L90" s="66"/>
      <c r="M90" s="66"/>
      <c r="N90" s="66"/>
      <c r="O90" s="66"/>
      <c r="P90" s="66"/>
      <c r="Q90" s="66"/>
      <c r="R90" s="66"/>
      <c r="S90" s="66"/>
      <c r="T90" s="66"/>
      <c r="U90" s="66"/>
      <c r="V90" s="66"/>
      <c r="W90" s="66"/>
      <c r="X90" s="66"/>
    </row>
    <row r="91">
      <c r="A91" s="72" t="s">
        <v>5266</v>
      </c>
      <c r="B91" s="250" t="s">
        <v>5267</v>
      </c>
      <c r="C91" s="72" t="s">
        <v>5268</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0" t="s">
        <v>5269</v>
      </c>
      <c r="I91" s="182" t="s">
        <v>5270</v>
      </c>
      <c r="J91" s="251" t="s">
        <v>5271</v>
      </c>
      <c r="K91" s="75"/>
      <c r="L91" s="66"/>
      <c r="M91" s="66"/>
      <c r="N91" s="66"/>
      <c r="O91" s="66"/>
      <c r="P91" s="66"/>
      <c r="Q91" s="66"/>
      <c r="R91" s="66"/>
      <c r="S91" s="66"/>
      <c r="T91" s="66"/>
      <c r="U91" s="66"/>
      <c r="V91" s="66"/>
      <c r="W91" s="66"/>
      <c r="X91" s="66"/>
    </row>
    <row r="92">
      <c r="A92" s="75" t="s">
        <v>5272</v>
      </c>
      <c r="B92" s="250" t="s">
        <v>5273</v>
      </c>
      <c r="C92" s="75" t="s">
        <v>5274</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51" t="s">
        <v>5275</v>
      </c>
      <c r="I92" s="182" t="s">
        <v>5276</v>
      </c>
      <c r="J92" s="251" t="s">
        <v>5277</v>
      </c>
      <c r="K92" s="75"/>
      <c r="L92" s="66"/>
      <c r="M92" s="66"/>
      <c r="N92" s="66"/>
      <c r="O92" s="66"/>
      <c r="P92" s="66"/>
      <c r="Q92" s="66"/>
      <c r="R92" s="66"/>
      <c r="S92" s="66"/>
      <c r="T92" s="66"/>
      <c r="U92" s="66"/>
      <c r="V92" s="66"/>
      <c r="W92" s="66"/>
      <c r="X92" s="66"/>
    </row>
    <row r="93">
      <c r="A93" s="75" t="s">
        <v>5278</v>
      </c>
      <c r="B93" s="251" t="s">
        <v>5279</v>
      </c>
      <c r="C93" s="75" t="s">
        <v>5280</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51" t="s">
        <v>5281</v>
      </c>
      <c r="I93" s="182" t="s">
        <v>5282</v>
      </c>
      <c r="J93" s="251" t="s">
        <v>5283</v>
      </c>
      <c r="K93" s="75"/>
      <c r="L93" s="66"/>
      <c r="M93" s="66"/>
      <c r="N93" s="66"/>
      <c r="O93" s="66"/>
      <c r="P93" s="66"/>
      <c r="Q93" s="66"/>
      <c r="R93" s="66"/>
      <c r="S93" s="66"/>
      <c r="T93" s="66"/>
      <c r="U93" s="66"/>
      <c r="V93" s="66"/>
      <c r="W93" s="66"/>
      <c r="X93" s="66"/>
    </row>
    <row r="94">
      <c r="A94" s="75" t="s">
        <v>5284</v>
      </c>
      <c r="B94" s="251" t="s">
        <v>5285</v>
      </c>
      <c r="C94" s="75" t="s">
        <v>5286</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1" t="s">
        <v>5287</v>
      </c>
      <c r="I94" s="182" t="s">
        <v>5288</v>
      </c>
      <c r="J94" s="251" t="s">
        <v>5289</v>
      </c>
      <c r="K94" s="75"/>
      <c r="L94" s="66"/>
      <c r="M94" s="66"/>
      <c r="N94" s="66"/>
      <c r="O94" s="66"/>
      <c r="P94" s="66"/>
      <c r="Q94" s="66"/>
      <c r="R94" s="66"/>
      <c r="S94" s="66"/>
      <c r="T94" s="66"/>
      <c r="U94" s="66"/>
      <c r="V94" s="66"/>
      <c r="W94" s="66"/>
      <c r="X94" s="66"/>
    </row>
    <row r="95">
      <c r="A95" s="72" t="s">
        <v>5290</v>
      </c>
      <c r="B95" s="251" t="s">
        <v>5291</v>
      </c>
      <c r="C95" s="75" t="s">
        <v>5292</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1" t="s">
        <v>5293</v>
      </c>
      <c r="I95" s="182" t="s">
        <v>5294</v>
      </c>
      <c r="J95" s="251" t="s">
        <v>5295</v>
      </c>
      <c r="K95" s="75"/>
      <c r="L95" s="66"/>
      <c r="M95" s="66"/>
      <c r="N95" s="66"/>
      <c r="O95" s="66"/>
      <c r="P95" s="66"/>
      <c r="Q95" s="66"/>
      <c r="R95" s="66"/>
      <c r="S95" s="66"/>
      <c r="T95" s="66"/>
      <c r="U95" s="66"/>
      <c r="V95" s="66"/>
      <c r="W95" s="66"/>
      <c r="X95" s="66"/>
    </row>
    <row r="96">
      <c r="A96" s="72" t="s">
        <v>5296</v>
      </c>
      <c r="B96" s="251" t="s">
        <v>5297</v>
      </c>
      <c r="C96" s="75" t="s">
        <v>5298</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1" t="s">
        <v>5299</v>
      </c>
      <c r="I96" s="182" t="s">
        <v>5300</v>
      </c>
      <c r="J96" s="251" t="s">
        <v>5301</v>
      </c>
      <c r="K96" s="75"/>
      <c r="L96" s="66"/>
      <c r="M96" s="66"/>
      <c r="N96" s="66"/>
      <c r="O96" s="66"/>
      <c r="P96" s="66"/>
      <c r="Q96" s="66"/>
      <c r="R96" s="66"/>
      <c r="S96" s="66"/>
      <c r="T96" s="66"/>
      <c r="U96" s="66"/>
      <c r="V96" s="66"/>
      <c r="W96" s="66"/>
      <c r="X96" s="66"/>
    </row>
    <row r="97">
      <c r="A97" s="72" t="s">
        <v>5302</v>
      </c>
      <c r="B97" s="251" t="s">
        <v>5303</v>
      </c>
      <c r="C97" s="75" t="s">
        <v>5304</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1" t="s">
        <v>5305</v>
      </c>
      <c r="I97" s="182" t="s">
        <v>5306</v>
      </c>
      <c r="J97" s="251" t="s">
        <v>5307</v>
      </c>
      <c r="K97" s="75"/>
      <c r="L97" s="66"/>
      <c r="M97" s="66"/>
      <c r="N97" s="66"/>
      <c r="O97" s="66"/>
      <c r="P97" s="66"/>
      <c r="Q97" s="66"/>
      <c r="R97" s="66"/>
      <c r="S97" s="66"/>
      <c r="T97" s="66"/>
      <c r="U97" s="66"/>
      <c r="V97" s="66"/>
      <c r="W97" s="66"/>
      <c r="X97" s="66"/>
    </row>
    <row r="98">
      <c r="A98" s="72" t="s">
        <v>5308</v>
      </c>
      <c r="B98" s="250" t="s">
        <v>5309</v>
      </c>
      <c r="C98" s="72" t="s">
        <v>5310</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0" t="s">
        <v>5311</v>
      </c>
      <c r="I98" s="133" t="s">
        <v>5312</v>
      </c>
      <c r="J98" s="251" t="s">
        <v>5313</v>
      </c>
      <c r="K98" s="75"/>
      <c r="L98" s="66"/>
      <c r="M98" s="66"/>
      <c r="N98" s="66"/>
      <c r="O98" s="66"/>
      <c r="P98" s="66"/>
      <c r="Q98" s="66"/>
      <c r="R98" s="66"/>
      <c r="S98" s="66"/>
      <c r="T98" s="66"/>
      <c r="U98" s="66"/>
      <c r="V98" s="66"/>
      <c r="W98" s="66"/>
      <c r="X98" s="66"/>
    </row>
    <row r="99">
      <c r="A99" s="72" t="s">
        <v>5314</v>
      </c>
      <c r="B99" s="250" t="s">
        <v>5315</v>
      </c>
      <c r="C99" s="72" t="s">
        <v>5316</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5317</v>
      </c>
      <c r="J99" s="251" t="s">
        <v>5318</v>
      </c>
      <c r="K99" s="75"/>
      <c r="L99" s="66"/>
      <c r="M99" s="66"/>
      <c r="N99" s="66"/>
      <c r="O99" s="66"/>
      <c r="P99" s="66"/>
      <c r="Q99" s="66"/>
      <c r="R99" s="66"/>
      <c r="S99" s="66"/>
      <c r="T99" s="66"/>
      <c r="U99" s="66"/>
      <c r="V99" s="66"/>
      <c r="W99" s="66"/>
      <c r="X99" s="66"/>
    </row>
    <row r="100">
      <c r="A100" s="72" t="s">
        <v>5319</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5320</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5321</v>
      </c>
      <c r="J100" s="251" t="s">
        <v>5322</v>
      </c>
      <c r="K100" s="75"/>
      <c r="L100" s="66"/>
      <c r="M100" s="66"/>
      <c r="N100" s="66"/>
      <c r="O100" s="66"/>
      <c r="P100" s="66"/>
      <c r="Q100" s="66"/>
      <c r="R100" s="66"/>
      <c r="S100" s="66"/>
      <c r="T100" s="66"/>
      <c r="U100" s="66"/>
      <c r="V100" s="66"/>
      <c r="W100" s="66"/>
      <c r="X100" s="66"/>
    </row>
    <row r="101">
      <c r="A101" s="72" t="s">
        <v>5323</v>
      </c>
      <c r="B101" s="250" t="s">
        <v>5324</v>
      </c>
      <c r="C101" s="72" t="s">
        <v>5325</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0" t="s">
        <v>5326</v>
      </c>
      <c r="I101" s="182" t="s">
        <v>5327</v>
      </c>
      <c r="J101" s="251" t="s">
        <v>5328</v>
      </c>
      <c r="K101" s="75"/>
      <c r="L101" s="66"/>
      <c r="M101" s="66"/>
      <c r="N101" s="66"/>
      <c r="O101" s="66"/>
      <c r="P101" s="66"/>
      <c r="Q101" s="66"/>
      <c r="R101" s="66"/>
      <c r="S101" s="66"/>
      <c r="T101" s="66"/>
      <c r="U101" s="66"/>
      <c r="V101" s="66"/>
      <c r="W101" s="66"/>
      <c r="X101" s="66"/>
    </row>
    <row r="102">
      <c r="A102" s="72" t="s">
        <v>5329</v>
      </c>
      <c r="B102" s="250" t="s">
        <v>5330</v>
      </c>
      <c r="C102" s="72" t="s">
        <v>5331</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0" t="s">
        <v>5332</v>
      </c>
      <c r="I102" s="182" t="s">
        <v>5333</v>
      </c>
      <c r="J102" s="251" t="s">
        <v>5334</v>
      </c>
      <c r="K102" s="75"/>
      <c r="L102" s="66"/>
      <c r="M102" s="66"/>
      <c r="N102" s="66"/>
      <c r="O102" s="66"/>
      <c r="P102" s="66"/>
      <c r="Q102" s="66"/>
      <c r="R102" s="66"/>
      <c r="S102" s="66"/>
      <c r="T102" s="66"/>
      <c r="U102" s="66"/>
      <c r="V102" s="66"/>
      <c r="W102" s="66"/>
      <c r="X102" s="66"/>
    </row>
    <row r="103">
      <c r="A103" s="72" t="s">
        <v>5335</v>
      </c>
      <c r="B103" s="250" t="s">
        <v>5336</v>
      </c>
      <c r="C103" s="72" t="s">
        <v>5337</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0" t="s">
        <v>5338</v>
      </c>
      <c r="I103" s="182" t="s">
        <v>5339</v>
      </c>
      <c r="J103" s="250" t="s">
        <v>5340</v>
      </c>
      <c r="K103" s="72"/>
      <c r="L103" s="66"/>
      <c r="M103" s="66"/>
      <c r="N103" s="66"/>
      <c r="O103" s="66"/>
      <c r="P103" s="66"/>
      <c r="Q103" s="66"/>
      <c r="R103" s="66"/>
      <c r="S103" s="66"/>
      <c r="T103" s="66"/>
      <c r="U103" s="66"/>
      <c r="V103" s="66"/>
      <c r="W103" s="66"/>
      <c r="X103" s="66"/>
    </row>
    <row r="104">
      <c r="A104" s="72" t="s">
        <v>5341</v>
      </c>
      <c r="B104" s="250" t="s">
        <v>5342</v>
      </c>
      <c r="C104" s="72" t="s">
        <v>5343</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в"&amp;"ыпадающие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отн"&amp;"осительно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о"&amp;"бязательно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"&amp;"условия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дн"&amp;"и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0" t="s">
        <v>5344</v>
      </c>
      <c r="I104" s="133" t="s">
        <v>5345</v>
      </c>
      <c r="J104" s="251" t="s">
        <v>5346</v>
      </c>
      <c r="K104" s="75"/>
      <c r="L104" s="66"/>
      <c r="M104" s="66"/>
      <c r="N104" s="66"/>
      <c r="O104" s="66"/>
      <c r="P104" s="66"/>
      <c r="Q104" s="66"/>
      <c r="R104" s="66"/>
      <c r="S104" s="66"/>
      <c r="T104" s="66"/>
      <c r="U104" s="66"/>
      <c r="V104" s="66"/>
      <c r="W104" s="66"/>
      <c r="X104" s="66"/>
    </row>
    <row r="105">
      <c r="A105" s="72" t="s">
        <v>5347</v>
      </c>
      <c r="B105" s="250" t="s">
        <v>5348</v>
      </c>
      <c r="C105" s="72" t="s">
        <v>5349</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0" t="s">
        <v>5350</v>
      </c>
      <c r="I105" s="182" t="s">
        <v>5351</v>
      </c>
      <c r="J105" s="251" t="s">
        <v>5352</v>
      </c>
      <c r="K105" s="75"/>
      <c r="L105" s="66"/>
      <c r="M105" s="66"/>
      <c r="N105" s="66"/>
      <c r="O105" s="66"/>
      <c r="P105" s="66"/>
      <c r="Q105" s="66"/>
      <c r="R105" s="66"/>
      <c r="S105" s="66"/>
      <c r="T105" s="66"/>
      <c r="U105" s="66"/>
      <c r="V105" s="66"/>
      <c r="W105" s="66"/>
      <c r="X105" s="66"/>
    </row>
    <row r="106">
      <c r="A106" s="72" t="s">
        <v>5353</v>
      </c>
      <c r="B106" s="250" t="s">
        <v>5354</v>
      </c>
      <c r="C106" s="72" t="s">
        <v>5355</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0" t="s">
        <v>5356</v>
      </c>
      <c r="I106" s="182" t="s">
        <v>5357</v>
      </c>
      <c r="J106" s="251" t="s">
        <v>5358</v>
      </c>
      <c r="K106" s="75"/>
      <c r="L106" s="66"/>
      <c r="M106" s="66"/>
      <c r="N106" s="66"/>
      <c r="O106" s="66"/>
      <c r="P106" s="66"/>
      <c r="Q106" s="66"/>
      <c r="R106" s="66"/>
      <c r="S106" s="66"/>
      <c r="T106" s="66"/>
      <c r="U106" s="66"/>
      <c r="V106" s="66"/>
      <c r="W106" s="66"/>
      <c r="X106" s="66"/>
    </row>
    <row r="107">
      <c r="A107" s="72" t="s">
        <v>5359</v>
      </c>
      <c r="B107" s="250" t="s">
        <v>5360</v>
      </c>
      <c r="C107" s="72" t="s">
        <v>5361</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0" t="s">
        <v>5362</v>
      </c>
      <c r="I107" s="182" t="s">
        <v>5363</v>
      </c>
      <c r="J107" s="251" t="s">
        <v>5364</v>
      </c>
      <c r="K107" s="75"/>
      <c r="L107" s="66"/>
      <c r="M107" s="66"/>
      <c r="N107" s="66"/>
      <c r="O107" s="66"/>
      <c r="P107" s="66"/>
      <c r="Q107" s="66"/>
      <c r="R107" s="66"/>
      <c r="S107" s="66"/>
      <c r="T107" s="66"/>
      <c r="U107" s="66"/>
      <c r="V107" s="66"/>
      <c r="W107" s="66"/>
      <c r="X107" s="66"/>
    </row>
    <row r="108">
      <c r="A108" s="72" t="s">
        <v>5365</v>
      </c>
      <c r="B108" s="250" t="s">
        <v>5366</v>
      </c>
      <c r="C108" s="72" t="s">
        <v>5367</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0" t="s">
        <v>5368</v>
      </c>
      <c r="I108" s="182" t="s">
        <v>5369</v>
      </c>
      <c r="J108" s="251" t="s">
        <v>5370</v>
      </c>
      <c r="K108" s="75"/>
      <c r="L108" s="66"/>
      <c r="M108" s="66"/>
      <c r="N108" s="66"/>
      <c r="O108" s="66"/>
      <c r="P108" s="66"/>
      <c r="Q108" s="66"/>
      <c r="R108" s="66"/>
      <c r="S108" s="66"/>
      <c r="T108" s="66"/>
      <c r="U108" s="66"/>
      <c r="V108" s="66"/>
      <c r="W108" s="66"/>
      <c r="X108" s="66"/>
    </row>
    <row r="109">
      <c r="A109" s="72" t="s">
        <v>5371</v>
      </c>
      <c r="B109" s="250" t="s">
        <v>5372</v>
      </c>
      <c r="C109" s="72" t="s">
        <v>5373</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5374</v>
      </c>
      <c r="J109" s="251" t="s">
        <v>5375</v>
      </c>
      <c r="K109" s="75"/>
      <c r="L109" s="66"/>
      <c r="M109" s="66"/>
      <c r="N109" s="66"/>
      <c r="O109" s="66"/>
      <c r="P109" s="66"/>
      <c r="Q109" s="66"/>
      <c r="R109" s="66"/>
      <c r="S109" s="66"/>
      <c r="T109" s="66"/>
      <c r="U109" s="66"/>
      <c r="V109" s="66"/>
      <c r="W109" s="66"/>
      <c r="X109" s="66"/>
    </row>
    <row r="110">
      <c r="A110" s="72" t="s">
        <v>5376</v>
      </c>
      <c r="B110" s="250" t="s">
        <v>5377</v>
      </c>
      <c r="C110" s="72" t="s">
        <v>5378</v>
      </c>
      <c r="D110" s="250" t="s">
        <v>5379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2" t="s">
        <v>5380</v>
      </c>
      <c r="I110" s="234" t="s">
        <v>5381</v>
      </c>
      <c r="J110" s="251" t="s">
        <v>5382</v>
      </c>
      <c r="K110" s="75"/>
      <c r="L110" s="66"/>
      <c r="M110" s="66"/>
      <c r="N110" s="66"/>
      <c r="O110" s="66"/>
      <c r="P110" s="66"/>
      <c r="Q110" s="66"/>
      <c r="R110" s="66"/>
      <c r="S110" s="66"/>
      <c r="T110" s="66"/>
      <c r="U110" s="66"/>
      <c r="V110" s="66"/>
      <c r="W110" s="66"/>
      <c r="X110" s="66"/>
    </row>
    <row r="111">
      <c r="A111" s="72" t="s">
        <v>5383</v>
      </c>
      <c r="B111" s="251"/>
      <c r="C111" s="72" t="s">
        <v>5384</v>
      </c>
      <c r="D111" s="250" t="s">
        <v>5385</v>
      </c>
      <c r="E111" s="72" t="s">
        <v>5386</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0" t="s">
        <v>5387</v>
      </c>
      <c r="I111" s="234" t="s">
        <v>5388</v>
      </c>
      <c r="J111" s="250" t="s">
        <v>5389</v>
      </c>
      <c r="K111" s="72"/>
      <c r="L111" s="208"/>
      <c r="M111" s="66"/>
      <c r="N111" s="66"/>
      <c r="O111" s="66"/>
      <c r="P111" s="66"/>
      <c r="Q111" s="66"/>
      <c r="R111" s="66"/>
      <c r="S111" s="66"/>
      <c r="T111" s="66"/>
      <c r="U111" s="66"/>
      <c r="V111" s="66"/>
      <c r="W111" s="66"/>
      <c r="X111" s="66"/>
    </row>
    <row r="112">
      <c r="A112" s="75" t="s">
        <v>5390</v>
      </c>
      <c r="B112" s="251" t="s">
        <v>5391</v>
      </c>
      <c r="C112" s="72" t="s">
        <v>5392</v>
      </c>
      <c r="D112" s="251" t="s">
        <v>5393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5394</v>
      </c>
      <c r="H112" s="251" t="s">
        <v>5395</v>
      </c>
      <c r="I112" s="231" t="s">
        <v>5396</v>
      </c>
      <c r="J112" s="251" t="s">
        <v>5397</v>
      </c>
      <c r="K112" s="75" t="s">
        <v>5398</v>
      </c>
      <c r="L112" s="66"/>
      <c r="M112" s="66"/>
      <c r="N112" s="66"/>
      <c r="O112" s="66"/>
      <c r="P112" s="66"/>
      <c r="Q112" s="66"/>
      <c r="R112" s="66"/>
      <c r="S112" s="66"/>
      <c r="T112" s="66"/>
      <c r="U112" s="66"/>
      <c r="V112" s="66"/>
      <c r="W112" s="66"/>
      <c r="X112" s="66"/>
    </row>
    <row r="113">
      <c r="A113" s="75" t="s">
        <v>5399</v>
      </c>
      <c r="B113" s="251" t="s">
        <v>5400</v>
      </c>
      <c r="C113" s="75" t="s">
        <v>5401</v>
      </c>
      <c r="D113" s="251" t="s">
        <v>5402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5401</v>
      </c>
      <c r="H113" s="251" t="s">
        <v>5403</v>
      </c>
      <c r="I113" s="231" t="s">
        <v>5404</v>
      </c>
      <c r="J113" s="251" t="s">
        <v>5405</v>
      </c>
      <c r="K113" s="75" t="s">
        <v>5406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5407</v>
      </c>
      <c r="I1" s="258"/>
      <c r="J1" s="257" t="s">
        <v>5408</v>
      </c>
      <c r="M1" s="258"/>
      <c r="N1" s="257" t="s">
        <v>5409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5410</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5411</v>
      </c>
      <c r="K3" s="260"/>
      <c r="L3" s="260"/>
      <c r="M3" s="261"/>
      <c r="N3" s="265" t="s">
        <v>5412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5413</v>
      </c>
      <c r="B5" s="269"/>
      <c r="C5" s="269"/>
      <c r="D5" s="269"/>
      <c r="E5" s="270"/>
      <c r="F5" s="268" t="str">
        <f>IFERROR(__xludf.DUMMYFUNCTION("GOOGLETRANSLATE(A5,""zh-tw"",""ja"")"),"荒野地域")</f>
        <v>荒野地域</v>
      </c>
      <c r="G5" s="269"/>
      <c r="H5" s="269"/>
      <c r="I5" s="270"/>
      <c r="J5" s="268" t="s">
        <v>5414</v>
      </c>
      <c r="K5" s="269"/>
      <c r="L5" s="269"/>
      <c r="M5" s="270"/>
      <c r="N5" s="271" t="s">
        <v>5415</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5416</v>
      </c>
      <c r="F6" s="275" t="s">
        <v>1120</v>
      </c>
      <c r="G6" s="275" t="s">
        <v>1120</v>
      </c>
      <c r="H6" s="275" t="s">
        <v>5417</v>
      </c>
      <c r="I6" s="275" t="s">
        <v>1120</v>
      </c>
      <c r="J6" s="276" t="s">
        <v>1120</v>
      </c>
      <c r="K6" s="276" t="s">
        <v>1120</v>
      </c>
      <c r="L6" s="276" t="s">
        <v>1120</v>
      </c>
      <c r="M6" s="276" t="s">
        <v>5418</v>
      </c>
      <c r="N6" s="277" t="s">
        <v>1120</v>
      </c>
      <c r="O6" s="277" t="s">
        <v>1120</v>
      </c>
      <c r="P6" s="277" t="s">
        <v>1120</v>
      </c>
      <c r="Q6" s="277" t="s">
        <v>1120</v>
      </c>
      <c r="R6" s="277" t="s">
        <v>5419</v>
      </c>
      <c r="S6" s="278"/>
      <c r="T6" s="279"/>
      <c r="U6" s="279"/>
      <c r="V6" s="280"/>
      <c r="W6" s="281"/>
      <c r="X6" s="281"/>
      <c r="Y6" s="281"/>
      <c r="Z6" s="281"/>
      <c r="AA6" s="281"/>
      <c r="AB6" s="282"/>
    </row>
    <row r="7" ht="75.0" customHeight="1">
      <c r="A7" s="274" t="s">
        <v>1120</v>
      </c>
      <c r="B7" s="274" t="s">
        <v>1120</v>
      </c>
      <c r="C7" s="274" t="s">
        <v>5420</v>
      </c>
      <c r="D7" s="274" t="s">
        <v>5421</v>
      </c>
      <c r="E7" s="283" t="s">
        <v>5422</v>
      </c>
      <c r="F7" s="275" t="str">
        <f>IFERROR(__xludf.DUMMYFUNCTION("GOOGLETRANSLATE(B7,""zh-tw"",""ja"")"),"-")</f>
        <v>-</v>
      </c>
      <c r="G7" s="275" t="s">
        <v>5423</v>
      </c>
      <c r="H7" s="284" t="s">
        <v>5424</v>
      </c>
      <c r="I7" s="275" t="str">
        <f>IFERROR(__xludf.DUMMYFUNCTION("GOOGLETRANSLATE(#REF!,""zh-tw"",""ja"")"),"#REF!")</f>
        <v>#REF!</v>
      </c>
      <c r="J7" s="276" t="str">
        <f>IFERROR(__xludf.DUMMYFUNCTION("GOOGLETRANSLATE(B7,""zh-tw"",""en"")"),"-")</f>
        <v>-</v>
      </c>
      <c r="K7" s="276" t="s">
        <v>5425</v>
      </c>
      <c r="L7" s="276" t="s">
        <v>5426</v>
      </c>
      <c r="M7" s="285" t="s">
        <v>5427</v>
      </c>
      <c r="N7" s="277" t="s">
        <v>1120</v>
      </c>
      <c r="O7" s="277" t="str">
        <f>IFERROR(__xludf.DUMMYFUNCTION("GOOGLETRANSLATE(B7,""zh-tw"",""zh"")"),"-")</f>
        <v>-</v>
      </c>
      <c r="P7" s="277" t="s">
        <v>5428</v>
      </c>
      <c r="Q7" s="286" t="s">
        <v>1120</v>
      </c>
      <c r="R7" s="286" t="s">
        <v>5429</v>
      </c>
      <c r="S7" s="278"/>
      <c r="T7" s="279"/>
      <c r="U7" s="279"/>
      <c r="V7" s="287"/>
      <c r="W7" s="281"/>
      <c r="X7" s="281"/>
      <c r="Y7" s="281"/>
      <c r="Z7" s="281"/>
      <c r="AA7" s="281"/>
      <c r="AB7" s="282"/>
    </row>
    <row r="8">
      <c r="A8" s="274" t="s">
        <v>1120</v>
      </c>
      <c r="B8" s="274" t="s">
        <v>5430</v>
      </c>
      <c r="C8" s="274" t="s">
        <v>5431</v>
      </c>
      <c r="D8" s="274" t="s">
        <v>5432</v>
      </c>
      <c r="E8" s="274" t="s">
        <v>5433</v>
      </c>
      <c r="F8" s="275" t="s">
        <v>5434</v>
      </c>
      <c r="G8" s="275" t="s">
        <v>5435</v>
      </c>
      <c r="H8" s="275" t="s">
        <v>5436</v>
      </c>
      <c r="I8" s="275" t="str">
        <f>IFERROR(__xludf.DUMMYFUNCTION("GOOGLETRANSLATE(#REF!,""zh-tw"",""ja"")"),"#REF!")</f>
        <v>#REF!</v>
      </c>
      <c r="J8" s="276" t="s">
        <v>5437</v>
      </c>
      <c r="K8" s="276" t="s">
        <v>5438</v>
      </c>
      <c r="L8" s="276" t="s">
        <v>5439</v>
      </c>
      <c r="M8" s="276" t="s">
        <v>5439</v>
      </c>
      <c r="N8" s="277" t="s">
        <v>1120</v>
      </c>
      <c r="O8" s="277" t="s">
        <v>5440</v>
      </c>
      <c r="P8" s="277" t="s">
        <v>5441</v>
      </c>
      <c r="Q8" s="277" t="s">
        <v>5442</v>
      </c>
      <c r="R8" s="277" t="s">
        <v>5443</v>
      </c>
      <c r="S8" s="288"/>
      <c r="T8" s="279"/>
      <c r="U8" s="279"/>
      <c r="V8" s="279"/>
      <c r="W8" s="281"/>
      <c r="X8" s="281"/>
      <c r="Y8" s="281"/>
      <c r="Z8" s="281"/>
      <c r="AA8" s="281"/>
      <c r="AB8" s="282"/>
    </row>
    <row r="9">
      <c r="A9" s="274" t="s">
        <v>1120</v>
      </c>
      <c r="B9" s="274" t="s">
        <v>5444</v>
      </c>
      <c r="C9" s="274" t="s">
        <v>5445</v>
      </c>
      <c r="D9" s="274" t="s">
        <v>1120</v>
      </c>
      <c r="E9" s="289" t="s">
        <v>5446</v>
      </c>
      <c r="F9" s="275" t="s">
        <v>5447</v>
      </c>
      <c r="G9" s="275" t="s">
        <v>5448</v>
      </c>
      <c r="H9" s="275" t="s">
        <v>5449</v>
      </c>
      <c r="I9" s="275" t="s">
        <v>1120</v>
      </c>
      <c r="J9" s="276" t="s">
        <v>5450</v>
      </c>
      <c r="K9" s="276" t="s">
        <v>5451</v>
      </c>
      <c r="L9" s="276" t="s">
        <v>1120</v>
      </c>
      <c r="M9" s="276" t="s">
        <v>5452</v>
      </c>
      <c r="N9" s="277" t="s">
        <v>1120</v>
      </c>
      <c r="O9" s="277" t="s">
        <v>5453</v>
      </c>
      <c r="P9" s="277" t="s">
        <v>5454</v>
      </c>
      <c r="Q9" s="277" t="s">
        <v>1120</v>
      </c>
      <c r="R9" s="277" t="s">
        <v>5455</v>
      </c>
      <c r="S9" s="278"/>
      <c r="T9" s="279"/>
      <c r="U9" s="279"/>
      <c r="V9" s="279"/>
      <c r="W9" s="281"/>
      <c r="X9" s="281"/>
      <c r="Y9" s="281"/>
      <c r="Z9" s="281"/>
      <c r="AA9" s="281"/>
      <c r="AB9" s="282"/>
    </row>
    <row r="10" ht="60.0" customHeight="1">
      <c r="A10" s="274" t="s">
        <v>1120</v>
      </c>
      <c r="B10" s="274" t="s">
        <v>5456</v>
      </c>
      <c r="C10" s="290" t="s">
        <v>5457</v>
      </c>
      <c r="D10" s="274" t="s">
        <v>5458</v>
      </c>
      <c r="E10" s="274" t="s">
        <v>5459</v>
      </c>
      <c r="F10" s="275" t="s">
        <v>5460</v>
      </c>
      <c r="G10" s="291" t="s">
        <v>5461</v>
      </c>
      <c r="H10" s="275" t="s">
        <v>5462</v>
      </c>
      <c r="I10" s="275" t="s">
        <v>1120</v>
      </c>
      <c r="J10" s="276" t="s">
        <v>5463</v>
      </c>
      <c r="K10" s="292" t="s">
        <v>5464</v>
      </c>
      <c r="L10" s="276" t="s">
        <v>5465</v>
      </c>
      <c r="M10" s="276" t="s">
        <v>5466</v>
      </c>
      <c r="N10" s="277" t="s">
        <v>1120</v>
      </c>
      <c r="O10" s="277" t="s">
        <v>5467</v>
      </c>
      <c r="P10" s="293" t="s">
        <v>5468</v>
      </c>
      <c r="Q10" s="277" t="s">
        <v>5469</v>
      </c>
      <c r="R10" s="294" t="s">
        <v>5470</v>
      </c>
      <c r="S10" s="278"/>
      <c r="T10" s="279"/>
      <c r="U10" s="279"/>
      <c r="V10" s="279"/>
      <c r="W10" s="295"/>
      <c r="X10" s="295"/>
      <c r="Y10" s="295"/>
      <c r="Z10" s="295"/>
      <c r="AA10" s="295"/>
      <c r="AB10" s="282"/>
    </row>
    <row r="11" ht="65.25" customHeight="1">
      <c r="A11" s="274" t="s">
        <v>1120</v>
      </c>
      <c r="B11" s="274" t="s">
        <v>5471</v>
      </c>
      <c r="C11" s="296"/>
      <c r="D11" s="283" t="s">
        <v>5472</v>
      </c>
      <c r="E11" s="283" t="s">
        <v>5473</v>
      </c>
      <c r="F11" s="275" t="s">
        <v>5474</v>
      </c>
      <c r="G11" s="296"/>
      <c r="H11" s="275" t="s">
        <v>5475</v>
      </c>
      <c r="I11" s="275" t="s">
        <v>5476</v>
      </c>
      <c r="J11" s="276" t="s">
        <v>5477</v>
      </c>
      <c r="K11" s="296"/>
      <c r="L11" s="276" t="s">
        <v>5478</v>
      </c>
      <c r="M11" s="276" t="s">
        <v>5479</v>
      </c>
      <c r="N11" s="277" t="s">
        <v>1120</v>
      </c>
      <c r="O11" s="277" t="s">
        <v>5480</v>
      </c>
      <c r="P11" s="296"/>
      <c r="Q11" s="277" t="s">
        <v>5481</v>
      </c>
      <c r="R11" s="277" t="s">
        <v>5482</v>
      </c>
      <c r="S11" s="278"/>
      <c r="T11" s="279"/>
      <c r="U11" s="279"/>
      <c r="V11" s="279"/>
      <c r="W11" s="297"/>
      <c r="X11" s="297"/>
      <c r="Y11" s="297"/>
      <c r="Z11" s="297"/>
      <c r="AA11" s="297"/>
      <c r="AB11" s="282"/>
    </row>
    <row r="12">
      <c r="A12" s="274" t="s">
        <v>1120</v>
      </c>
      <c r="B12" s="274" t="s">
        <v>5483</v>
      </c>
      <c r="C12" s="274" t="s">
        <v>5484</v>
      </c>
      <c r="D12" s="274" t="s">
        <v>5485</v>
      </c>
      <c r="E12" s="283" t="s">
        <v>5486</v>
      </c>
      <c r="F12" s="275" t="s">
        <v>5487</v>
      </c>
      <c r="G12" s="275" t="s">
        <v>5488</v>
      </c>
      <c r="H12" s="275" t="str">
        <f>IFERROR(__xludf.DUMMYFUNCTION("GOOGLETRANSLATE(D12,""zh-tw"",""ja"")"),"▲ ハンターズロッジ R69
▼")</f>
        <v>▲ ハンターズロッジ R69
▼</v>
      </c>
      <c r="I12" s="275" t="str">
        <f>IFERROR(__xludf.DUMMYFUNCTION("GOOGLETRANSLATE(#REF!,""zh-tw"",""ja"")"),"#REF!")</f>
        <v>#REF!</v>
      </c>
      <c r="J12" s="276" t="s">
        <v>5489</v>
      </c>
      <c r="K12" s="276" t="s">
        <v>5490</v>
      </c>
      <c r="L12" s="276" t="s">
        <v>5491</v>
      </c>
      <c r="M12" s="276" t="s">
        <v>5492</v>
      </c>
      <c r="N12" s="277" t="s">
        <v>1120</v>
      </c>
      <c r="O12" s="277" t="s">
        <v>5493</v>
      </c>
      <c r="P12" s="277" t="str">
        <f>IFERROR(__xludf.DUMMYFUNCTION("GOOGLETRANSLATE(C12,""zh-tw"",""zh"")"),"提前回家
R1")</f>
        <v>提前回家
R1</v>
      </c>
      <c r="Q12" s="277" t="s">
        <v>5494</v>
      </c>
      <c r="R12" s="277" t="s">
        <v>5495</v>
      </c>
      <c r="S12" s="278"/>
      <c r="T12" s="279"/>
      <c r="U12" s="279"/>
      <c r="V12" s="279"/>
      <c r="W12" s="281"/>
      <c r="X12" s="281"/>
      <c r="Y12" s="281"/>
      <c r="Z12" s="281"/>
      <c r="AA12" s="281"/>
      <c r="AB12" s="282"/>
    </row>
    <row r="13">
      <c r="A13" s="274" t="s">
        <v>1120</v>
      </c>
      <c r="B13" s="274" t="s">
        <v>5496</v>
      </c>
      <c r="C13" s="274" t="s">
        <v>5497</v>
      </c>
      <c r="D13" s="274" t="s">
        <v>5498</v>
      </c>
      <c r="E13" s="274" t="s">
        <v>1120</v>
      </c>
      <c r="F13" s="275"/>
      <c r="G13" s="275"/>
      <c r="H13" s="275"/>
      <c r="I13" s="275"/>
      <c r="J13" s="276" t="s">
        <v>5499</v>
      </c>
      <c r="K13" s="276" t="s">
        <v>5500</v>
      </c>
      <c r="L13" s="276" t="s">
        <v>5501</v>
      </c>
      <c r="M13" s="276"/>
      <c r="N13" s="277" t="s">
        <v>1120</v>
      </c>
      <c r="O13" s="277" t="s">
        <v>5502</v>
      </c>
      <c r="P13" s="277" t="s">
        <v>5503</v>
      </c>
      <c r="Q13" s="277" t="s">
        <v>5504</v>
      </c>
      <c r="R13" s="277" t="s">
        <v>1120</v>
      </c>
      <c r="S13" s="278"/>
      <c r="T13" s="279"/>
      <c r="U13" s="279"/>
      <c r="V13" s="298"/>
      <c r="W13" s="281"/>
      <c r="X13" s="281"/>
      <c r="Y13" s="281"/>
      <c r="Z13" s="281"/>
      <c r="AA13" s="281"/>
      <c r="AB13" s="282"/>
    </row>
    <row r="14">
      <c r="A14" s="274" t="s">
        <v>1120</v>
      </c>
      <c r="B14" s="274" t="s">
        <v>5505</v>
      </c>
      <c r="C14" s="274" t="s">
        <v>3984</v>
      </c>
      <c r="D14" s="274" t="s">
        <v>1120</v>
      </c>
      <c r="E14" s="274" t="s">
        <v>1120</v>
      </c>
      <c r="F14" s="275"/>
      <c r="G14" s="275"/>
      <c r="H14" s="275"/>
      <c r="I14" s="275"/>
      <c r="J14" s="276" t="s">
        <v>5506</v>
      </c>
      <c r="K14" s="276" t="s">
        <v>3990</v>
      </c>
      <c r="L14" s="276"/>
      <c r="M14" s="276"/>
      <c r="N14" s="277" t="s">
        <v>1120</v>
      </c>
      <c r="O14" s="277" t="s">
        <v>5507</v>
      </c>
      <c r="P14" s="277" t="s">
        <v>5508</v>
      </c>
      <c r="Q14" s="277" t="s">
        <v>1120</v>
      </c>
      <c r="R14" s="277" t="s">
        <v>1120</v>
      </c>
      <c r="S14" s="299"/>
      <c r="T14" s="279"/>
      <c r="U14" s="298"/>
      <c r="V14" s="298"/>
      <c r="W14" s="281"/>
      <c r="X14" s="281"/>
      <c r="Y14" s="281"/>
      <c r="Z14" s="281"/>
      <c r="AA14" s="281"/>
      <c r="AB14" s="282"/>
    </row>
    <row r="15">
      <c r="A15" s="274" t="s">
        <v>5509</v>
      </c>
      <c r="B15" s="274" t="s">
        <v>5510</v>
      </c>
      <c r="C15" s="274" t="s">
        <v>5511</v>
      </c>
      <c r="D15" s="274" t="s">
        <v>1120</v>
      </c>
      <c r="E15" s="274" t="s">
        <v>1120</v>
      </c>
      <c r="F15" s="275"/>
      <c r="G15" s="275"/>
      <c r="H15" s="275"/>
      <c r="I15" s="275"/>
      <c r="J15" s="276" t="s">
        <v>5512</v>
      </c>
      <c r="K15" s="276" t="s">
        <v>5513</v>
      </c>
      <c r="L15" s="276"/>
      <c r="M15" s="276"/>
      <c r="N15" s="277" t="s">
        <v>5514</v>
      </c>
      <c r="O15" s="277" t="s">
        <v>5515</v>
      </c>
      <c r="P15" s="277" t="s">
        <v>5514</v>
      </c>
      <c r="Q15" s="277" t="s">
        <v>1120</v>
      </c>
      <c r="R15" s="277" t="s">
        <v>1120</v>
      </c>
      <c r="S15" s="278"/>
      <c r="T15" s="279"/>
      <c r="U15" s="298"/>
      <c r="V15" s="298"/>
      <c r="W15" s="281"/>
      <c r="X15" s="281"/>
      <c r="Y15" s="281"/>
      <c r="Z15" s="281"/>
      <c r="AA15" s="281"/>
      <c r="AB15" s="282"/>
    </row>
    <row r="16">
      <c r="A16" s="300" t="s">
        <v>5420</v>
      </c>
      <c r="B16" s="269"/>
      <c r="C16" s="269"/>
      <c r="D16" s="269"/>
      <c r="E16" s="270"/>
      <c r="F16" s="300" t="str">
        <f>IFERROR(__xludf.DUMMYFUNCTION("GOOGLETRANSLATE(A16,""zh-tw"",""ja"")"),"遺跡エリア")</f>
        <v>遺跡エリア</v>
      </c>
      <c r="G16" s="269"/>
      <c r="H16" s="269"/>
      <c r="I16" s="270"/>
      <c r="J16" s="300" t="s">
        <v>5516</v>
      </c>
      <c r="K16" s="269"/>
      <c r="L16" s="269"/>
      <c r="M16" s="270"/>
      <c r="N16" s="300" t="s">
        <v>5428</v>
      </c>
      <c r="O16" s="269"/>
      <c r="P16" s="269"/>
      <c r="Q16" s="269"/>
      <c r="R16" s="270"/>
      <c r="S16" s="301"/>
      <c r="T16" s="262"/>
      <c r="U16" s="262"/>
      <c r="V16" s="263"/>
      <c r="W16" s="302"/>
      <c r="X16" s="302"/>
      <c r="Y16" s="302"/>
      <c r="Z16" s="302"/>
      <c r="AA16" s="302"/>
      <c r="AB16" s="302"/>
    </row>
    <row r="17">
      <c r="A17" s="274" t="s">
        <v>1120</v>
      </c>
      <c r="B17" s="274" t="s">
        <v>1120</v>
      </c>
      <c r="C17" s="274" t="s">
        <v>5517</v>
      </c>
      <c r="D17" s="274" t="s">
        <v>1120</v>
      </c>
      <c r="E17" s="274" t="s">
        <v>1120</v>
      </c>
      <c r="F17" s="275"/>
      <c r="G17" s="303" t="s">
        <v>5518</v>
      </c>
      <c r="H17" s="304"/>
      <c r="I17" s="304"/>
      <c r="J17" s="305"/>
      <c r="K17" s="306" t="s">
        <v>5519</v>
      </c>
      <c r="L17" s="305"/>
      <c r="M17" s="305"/>
      <c r="N17" s="307" t="s">
        <v>1120</v>
      </c>
      <c r="O17" s="307" t="s">
        <v>1120</v>
      </c>
      <c r="P17" s="308" t="s">
        <v>5520</v>
      </c>
      <c r="Q17" s="307" t="s">
        <v>1120</v>
      </c>
      <c r="R17" s="307" t="s">
        <v>1120</v>
      </c>
      <c r="S17" s="309"/>
      <c r="T17" s="310"/>
      <c r="U17" s="298"/>
      <c r="V17" s="298"/>
      <c r="W17" s="311"/>
      <c r="X17" s="311"/>
      <c r="Y17" s="311"/>
      <c r="Z17" s="311"/>
      <c r="AA17" s="311"/>
      <c r="AB17" s="311"/>
    </row>
    <row r="18">
      <c r="A18" s="274" t="s">
        <v>1120</v>
      </c>
      <c r="B18" s="274" t="s">
        <v>5521</v>
      </c>
      <c r="C18" s="274" t="s">
        <v>5522</v>
      </c>
      <c r="D18" s="274" t="s">
        <v>1120</v>
      </c>
      <c r="E18" s="274" t="s">
        <v>1120</v>
      </c>
      <c r="F18" s="275" t="s">
        <v>5523</v>
      </c>
      <c r="G18" s="275" t="s">
        <v>5524</v>
      </c>
      <c r="H18" s="304"/>
      <c r="I18" s="304"/>
      <c r="J18" s="305" t="s">
        <v>5525</v>
      </c>
      <c r="K18" s="312" t="s">
        <v>5526</v>
      </c>
      <c r="L18" s="305"/>
      <c r="M18" s="305"/>
      <c r="N18" s="307" t="s">
        <v>1120</v>
      </c>
      <c r="O18" s="307" t="s">
        <v>5527</v>
      </c>
      <c r="P18" s="307" t="s">
        <v>5528</v>
      </c>
      <c r="Q18" s="307" t="s">
        <v>1120</v>
      </c>
      <c r="R18" s="307" t="s">
        <v>1120</v>
      </c>
      <c r="S18" s="288"/>
      <c r="T18" s="279"/>
      <c r="U18" s="298"/>
      <c r="V18" s="298"/>
      <c r="W18" s="311"/>
      <c r="X18" s="311"/>
      <c r="Y18" s="311"/>
      <c r="Z18" s="311"/>
      <c r="AA18" s="311"/>
      <c r="AB18" s="311"/>
    </row>
    <row r="19">
      <c r="A19" s="274" t="s">
        <v>1120</v>
      </c>
      <c r="B19" s="274" t="s">
        <v>1120</v>
      </c>
      <c r="C19" s="274" t="s">
        <v>5529</v>
      </c>
      <c r="D19" s="274" t="s">
        <v>5530</v>
      </c>
      <c r="E19" s="274" t="s">
        <v>1120</v>
      </c>
      <c r="F19" s="275"/>
      <c r="G19" s="275" t="s">
        <v>5531</v>
      </c>
      <c r="H19" s="304"/>
      <c r="I19" s="304"/>
      <c r="J19" s="305"/>
      <c r="K19" s="313" t="s">
        <v>5532</v>
      </c>
      <c r="L19" s="305"/>
      <c r="M19" s="305"/>
      <c r="N19" s="307" t="s">
        <v>1120</v>
      </c>
      <c r="O19" s="307" t="s">
        <v>1120</v>
      </c>
      <c r="P19" s="314" t="s">
        <v>5533</v>
      </c>
      <c r="Q19" s="307" t="s">
        <v>4147</v>
      </c>
      <c r="R19" s="307" t="s">
        <v>1120</v>
      </c>
      <c r="S19" s="309"/>
      <c r="T19" s="287"/>
      <c r="U19" s="298"/>
      <c r="V19" s="298"/>
      <c r="W19" s="311"/>
      <c r="X19" s="311"/>
      <c r="Y19" s="311"/>
      <c r="Z19" s="311"/>
      <c r="AA19" s="311"/>
      <c r="AB19" s="311"/>
    </row>
    <row r="20">
      <c r="A20" s="274" t="s">
        <v>1120</v>
      </c>
      <c r="B20" s="274" t="s">
        <v>1120</v>
      </c>
      <c r="C20" s="274" t="s">
        <v>5534</v>
      </c>
      <c r="D20" s="274" t="s">
        <v>5535</v>
      </c>
      <c r="E20" s="274" t="s">
        <v>1120</v>
      </c>
      <c r="F20" s="275"/>
      <c r="G20" s="275" t="s">
        <v>5536</v>
      </c>
      <c r="H20" s="275" t="s">
        <v>5537</v>
      </c>
      <c r="I20" s="304"/>
      <c r="J20" s="305"/>
      <c r="K20" s="312" t="s">
        <v>5538</v>
      </c>
      <c r="L20" s="276" t="s">
        <v>5539</v>
      </c>
      <c r="M20" s="305"/>
      <c r="N20" s="307" t="s">
        <v>1120</v>
      </c>
      <c r="O20" s="307" t="s">
        <v>1120</v>
      </c>
      <c r="P20" s="307" t="s">
        <v>5540</v>
      </c>
      <c r="Q20" s="307" t="s">
        <v>5541</v>
      </c>
      <c r="R20" s="307" t="s">
        <v>1120</v>
      </c>
      <c r="S20" s="309"/>
      <c r="T20" s="279"/>
      <c r="U20" s="280"/>
      <c r="V20" s="298"/>
      <c r="W20" s="311"/>
      <c r="X20" s="311"/>
      <c r="Y20" s="311"/>
      <c r="Z20" s="311"/>
      <c r="AA20" s="311"/>
      <c r="AB20" s="311"/>
    </row>
    <row r="21">
      <c r="A21" s="315" t="s">
        <v>1120</v>
      </c>
      <c r="B21" s="315" t="s">
        <v>1120</v>
      </c>
      <c r="C21" s="274" t="s">
        <v>5542</v>
      </c>
      <c r="D21" s="274" t="s">
        <v>1120</v>
      </c>
      <c r="E21" s="274" t="s">
        <v>1120</v>
      </c>
      <c r="F21" s="275"/>
      <c r="G21" s="275" t="s">
        <v>5543</v>
      </c>
      <c r="H21" s="304"/>
      <c r="I21" s="304"/>
      <c r="J21" s="305"/>
      <c r="K21" s="312" t="s">
        <v>5544</v>
      </c>
      <c r="L21" s="305"/>
      <c r="M21" s="305"/>
      <c r="N21" s="307" t="s">
        <v>1120</v>
      </c>
      <c r="O21" s="307" t="s">
        <v>1120</v>
      </c>
      <c r="P21" s="307" t="s">
        <v>5545</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5546</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5547</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5548</v>
      </c>
      <c r="AK1" s="322" t="s">
        <v>5549</v>
      </c>
      <c r="AO1" s="322"/>
    </row>
    <row r="2" ht="69.75" customHeight="1">
      <c r="A2" s="79" t="s">
        <v>5550</v>
      </c>
      <c r="B2" s="88" t="s">
        <v>5551</v>
      </c>
      <c r="C2" s="81" t="s">
        <v>5552</v>
      </c>
      <c r="D2" s="326" t="s">
        <v>5553</v>
      </c>
      <c r="E2" s="83" t="str">
        <f>IFERROR(__xludf.DUMMYFUNCTION("GOOGLETRANSLATE(A2,""zh-tw"",""ja"")"),"プロジェクト")</f>
        <v>プロジェクト</v>
      </c>
      <c r="F2" s="85" t="str">
        <f>IFERROR(__xludf.DUMMYFUNCTION("GOOGLETRANSLATE(B2,""zh-tw"",""ja"")"),"スペシャルドロップ")</f>
        <v>スペシャルドロップ</v>
      </c>
      <c r="G2" s="81" t="s">
        <v>5552</v>
      </c>
      <c r="H2" s="327" t="str">
        <f>IFERROR(__xludf.DUMMYFUNCTION("GOOGLETRANSLATE(D2,""zh-tw"",""ja"")"),"述べる")</f>
        <v>述べる</v>
      </c>
      <c r="I2" s="83" t="s">
        <v>5554</v>
      </c>
      <c r="J2" s="88" t="s">
        <v>5555</v>
      </c>
      <c r="K2" s="85" t="s">
        <v>5556</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5557</v>
      </c>
      <c r="R2" s="88" t="s">
        <v>5558</v>
      </c>
      <c r="S2" s="88" t="s">
        <v>5559</v>
      </c>
      <c r="T2" s="328" t="s">
        <v>5560</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5561</v>
      </c>
      <c r="Z2" s="88" t="s">
        <v>5562</v>
      </c>
      <c r="AA2" s="81" t="s">
        <v>5563</v>
      </c>
      <c r="AB2" s="326" t="s">
        <v>5564</v>
      </c>
      <c r="AC2" s="329" t="s">
        <v>5565</v>
      </c>
      <c r="AD2" s="88" t="s">
        <v>5566</v>
      </c>
      <c r="AE2" s="330" t="str">
        <f>IFERROR(__xludf.DUMMYFUNCTION("GOOGLETRANSLATE(C2,""zh-tw"",""DE"")"),"Wahrscheinlichkeit (%)")</f>
        <v>Wahrscheinlichkeit (%)</v>
      </c>
      <c r="AF2" s="326" t="s">
        <v>5567</v>
      </c>
      <c r="AG2" s="331" t="s">
        <v>5568</v>
      </c>
      <c r="AH2" s="332" t="s">
        <v>5569</v>
      </c>
      <c r="AI2" s="333" t="s">
        <v>5570</v>
      </c>
      <c r="AJ2" s="326" t="s">
        <v>5571</v>
      </c>
      <c r="AK2" s="83" t="s">
        <v>5572</v>
      </c>
      <c r="AL2" s="88" t="s">
        <v>5573</v>
      </c>
      <c r="AM2" s="88" t="s">
        <v>5574</v>
      </c>
      <c r="AN2" s="326" t="s">
        <v>5575</v>
      </c>
      <c r="AO2" s="83"/>
      <c r="AP2" s="88"/>
      <c r="AQ2" s="88"/>
      <c r="AR2" s="326"/>
    </row>
    <row r="3">
      <c r="A3" s="334" t="s">
        <v>5576</v>
      </c>
      <c r="E3" s="335" t="str">
        <f>IFERROR(__xludf.DUMMYFUNCTION("GOOGLETRANSLATE(A3,""zh-tw"",""ja"")"),"小さなモンスター")</f>
        <v>小さなモンスター</v>
      </c>
      <c r="I3" s="335" t="s">
        <v>5577</v>
      </c>
      <c r="M3" s="335" t="str">
        <f>IFERROR(__xludf.DUMMYFUNCTION("GOOGLETRANSLATE(A3,""zh-tw"",""zh"")"),"一般小型怪物")</f>
        <v>一般小型怪物</v>
      </c>
      <c r="Q3" s="336" t="s">
        <v>5578</v>
      </c>
      <c r="U3" s="335" t="str">
        <f>IFERROR(__xludf.DUMMYFUNCTION("GOOGLETRANSLATE(A3,""zh-tw"",""KO"")"),"작은 괴물들")</f>
        <v>작은 괴물들</v>
      </c>
      <c r="Y3" s="334" t="str">
        <f>IFERROR(__xludf.DUMMYFUNCTION("GOOGLETRANSLATE(A3,""zh-tw"",""ru"")"),"Маленькие монстры")</f>
        <v>Маленькие монстры</v>
      </c>
      <c r="AC3" s="335" t="str">
        <f>IFERROR(__xludf.DUMMYFUNCTION("GOOGLETRANSLATE(A2,""zh-tw"",""DE"")"),"Projekt")</f>
        <v>Projekt</v>
      </c>
      <c r="AG3" s="337" t="s">
        <v>5579</v>
      </c>
      <c r="AK3" s="335" t="s">
        <v>5580</v>
      </c>
      <c r="AO3" s="335"/>
      <c r="AP3" s="335"/>
      <c r="AQ3" s="335"/>
      <c r="AR3" s="335"/>
    </row>
    <row r="4">
      <c r="A4" s="151" t="s">
        <v>5581</v>
      </c>
      <c r="B4" s="153" t="s">
        <v>5582</v>
      </c>
      <c r="C4" s="153" t="s">
        <v>5583</v>
      </c>
      <c r="D4" s="338" t="s">
        <v>1120</v>
      </c>
      <c r="E4" s="191" t="str">
        <f>IFERROR(__xludf.DUMMYFUNCTION("GOOGLETRANSLATE(A4,""zh-tw"",""ja"")"),"バナナの妖精")</f>
        <v>バナナの妖精</v>
      </c>
      <c r="F4" s="192" t="s">
        <v>5584</v>
      </c>
      <c r="G4" s="153" t="s">
        <v>5583</v>
      </c>
      <c r="H4" s="339" t="str">
        <f>IFERROR(__xludf.DUMMYFUNCTION("GOOGLETRANSLATE(D4,""zh-tw"",""ja"")"),"-")</f>
        <v>-</v>
      </c>
      <c r="I4" s="191" t="s">
        <v>5585</v>
      </c>
      <c r="J4" s="192" t="s">
        <v>5586</v>
      </c>
      <c r="K4" s="192" t="s">
        <v>5583</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5583</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5583</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5583</v>
      </c>
      <c r="X4" s="339" t="str">
        <f>IFERROR(__xludf.DUMMYFUNCTION("GOOGLETRANSLATE(D4,""zh-tw"",""KO"")"),"-")</f>
        <v>-</v>
      </c>
      <c r="Y4" s="151" t="s">
        <v>5587</v>
      </c>
      <c r="Z4" s="153" t="str">
        <f>IFERROR(__xludf.DUMMYFUNCTION("GOOGLETRANSLATE(B4,""zh-tw"",""RU"")"),"Банановая Фея
Банан?")</f>
        <v>Банановая Фея
Банан?</v>
      </c>
      <c r="AA4" s="153" t="s">
        <v>5583</v>
      </c>
      <c r="AB4" s="338" t="s">
        <v>1120</v>
      </c>
      <c r="AC4" s="191" t="s">
        <v>5588</v>
      </c>
      <c r="AD4" s="192" t="s">
        <v>5589</v>
      </c>
      <c r="AE4" s="192" t="s">
        <v>5583</v>
      </c>
      <c r="AF4" s="338" t="s">
        <v>1120</v>
      </c>
      <c r="AG4" s="181" t="s">
        <v>5590</v>
      </c>
      <c r="AH4" s="340" t="s">
        <v>5591</v>
      </c>
      <c r="AI4" s="340" t="s">
        <v>5583</v>
      </c>
      <c r="AJ4" s="338" t="s">
        <v>1120</v>
      </c>
      <c r="AK4" s="191" t="s">
        <v>5592</v>
      </c>
      <c r="AL4" s="192" t="s">
        <v>5593</v>
      </c>
      <c r="AM4" s="192" t="s">
        <v>5583</v>
      </c>
      <c r="AN4" s="338" t="s">
        <v>1120</v>
      </c>
      <c r="AO4" s="191"/>
      <c r="AP4" s="88"/>
      <c r="AQ4" s="88"/>
      <c r="AR4" s="338"/>
    </row>
    <row r="5">
      <c r="A5" s="151" t="s">
        <v>5594</v>
      </c>
      <c r="B5" s="153" t="s">
        <v>5595</v>
      </c>
      <c r="C5" s="153" t="s">
        <v>5596</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5596</v>
      </c>
      <c r="H5" s="339" t="str">
        <f>IFERROR(__xludf.DUMMYFUNCTION("GOOGLETRANSLATE(D5,""zh-tw"",""ja"")"),"-")</f>
        <v>-</v>
      </c>
      <c r="I5" s="191" t="s">
        <v>5597</v>
      </c>
      <c r="J5" s="192" t="s">
        <v>5598</v>
      </c>
      <c r="K5" s="192" t="s">
        <v>5596</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5596</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5596</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5596</v>
      </c>
      <c r="X5" s="339" t="str">
        <f>IFERROR(__xludf.DUMMYFUNCTION("GOOGLETRANSLATE(D5,""zh-tw"",""KO"")"),"-")</f>
        <v>-</v>
      </c>
      <c r="Y5" s="151" t="s">
        <v>5599</v>
      </c>
      <c r="Z5" s="153" t="str">
        <f>IFERROR(__xludf.DUMMYFUNCTION("GOOGLETRANSLATE(B5,""zh-tw"",""RU"")"),"Яблочная фея
Головной убор в виде яблока")</f>
        <v>Яблочная фея
Головной убор в виде яблока</v>
      </c>
      <c r="AA5" s="153" t="s">
        <v>5596</v>
      </c>
      <c r="AB5" s="338" t="s">
        <v>1120</v>
      </c>
      <c r="AC5" s="191" t="s">
        <v>5600</v>
      </c>
      <c r="AD5" s="192" t="s">
        <v>5601</v>
      </c>
      <c r="AE5" s="192" t="s">
        <v>5596</v>
      </c>
      <c r="AF5" s="338" t="s">
        <v>1120</v>
      </c>
      <c r="AG5" s="181" t="s">
        <v>5602</v>
      </c>
      <c r="AH5" s="340" t="s">
        <v>5603</v>
      </c>
      <c r="AI5" s="340" t="s">
        <v>5596</v>
      </c>
      <c r="AJ5" s="338" t="s">
        <v>1120</v>
      </c>
      <c r="AK5" s="191" t="s">
        <v>5604</v>
      </c>
      <c r="AL5" s="192" t="s">
        <v>5605</v>
      </c>
      <c r="AM5" s="192" t="s">
        <v>5596</v>
      </c>
      <c r="AN5" s="338" t="s">
        <v>1120</v>
      </c>
      <c r="AO5" s="191"/>
      <c r="AP5" s="88"/>
      <c r="AQ5" s="88"/>
      <c r="AR5" s="338"/>
    </row>
    <row r="6">
      <c r="A6" s="151" t="s">
        <v>5606</v>
      </c>
      <c r="B6" s="153" t="s">
        <v>5607</v>
      </c>
      <c r="C6" s="153" t="s">
        <v>5608</v>
      </c>
      <c r="D6" s="338" t="s">
        <v>1120</v>
      </c>
      <c r="E6" s="151" t="str">
        <f>IFERROR(__xludf.DUMMYFUNCTION("GOOGLETRANSLATE(A6,""zh-tw"",""ja"")"),"猫スライム")</f>
        <v>猫スライム</v>
      </c>
      <c r="F6" s="192" t="s">
        <v>5609</v>
      </c>
      <c r="G6" s="153" t="s">
        <v>5608</v>
      </c>
      <c r="H6" s="339" t="str">
        <f>IFERROR(__xludf.DUMMYFUNCTION("GOOGLETRANSLATE(D6,""zh-tw"",""ja"")"),"-")</f>
        <v>-</v>
      </c>
      <c r="I6" s="191" t="s">
        <v>5610</v>
      </c>
      <c r="J6" s="192" t="s">
        <v>5611</v>
      </c>
      <c r="K6" s="192" t="s">
        <v>5608</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5608</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5608</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5608</v>
      </c>
      <c r="X6" s="339" t="str">
        <f>IFERROR(__xludf.DUMMYFUNCTION("GOOGLETRANSLATE(D6,""zh-tw"",""KO"")"),"-")</f>
        <v>-</v>
      </c>
      <c r="Y6" s="151" t="s">
        <v>5612</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5608</v>
      </c>
      <c r="AB6" s="338" t="s">
        <v>1120</v>
      </c>
      <c r="AC6" s="191" t="s">
        <v>5613</v>
      </c>
      <c r="AD6" s="192" t="s">
        <v>5614</v>
      </c>
      <c r="AE6" s="192" t="s">
        <v>5608</v>
      </c>
      <c r="AF6" s="338" t="s">
        <v>1120</v>
      </c>
      <c r="AG6" s="181" t="s">
        <v>5615</v>
      </c>
      <c r="AH6" s="340" t="s">
        <v>5616</v>
      </c>
      <c r="AI6" s="340" t="s">
        <v>5608</v>
      </c>
      <c r="AJ6" s="338" t="s">
        <v>1120</v>
      </c>
      <c r="AK6" s="191" t="s">
        <v>5617</v>
      </c>
      <c r="AL6" s="192" t="s">
        <v>5618</v>
      </c>
      <c r="AM6" s="192" t="s">
        <v>5608</v>
      </c>
      <c r="AN6" s="338" t="s">
        <v>1120</v>
      </c>
      <c r="AO6" s="191"/>
      <c r="AP6" s="88"/>
      <c r="AQ6" s="88"/>
      <c r="AR6" s="338"/>
    </row>
    <row r="7">
      <c r="A7" s="151" t="s">
        <v>5619</v>
      </c>
      <c r="B7" s="153" t="s">
        <v>5620</v>
      </c>
      <c r="C7" s="153" t="s">
        <v>5621</v>
      </c>
      <c r="D7" s="339" t="s">
        <v>1120</v>
      </c>
      <c r="E7" s="151" t="str">
        <f>IFERROR(__xludf.DUMMYFUNCTION("GOOGLETRANSLATE(A7,""zh-tw"",""ja"")"),"草食スライム")</f>
        <v>草食スライム</v>
      </c>
      <c r="F7" s="192" t="s">
        <v>5622</v>
      </c>
      <c r="G7" s="153" t="s">
        <v>5621</v>
      </c>
      <c r="H7" s="339" t="str">
        <f>IFERROR(__xludf.DUMMYFUNCTION("GOOGLETRANSLATE(D7,""zh-tw"",""ja"")"),"-")</f>
        <v>-</v>
      </c>
      <c r="I7" s="191" t="s">
        <v>5623</v>
      </c>
      <c r="J7" s="192" t="s">
        <v>5624</v>
      </c>
      <c r="K7" s="192" t="s">
        <v>5625</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5621</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5621</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5621</v>
      </c>
      <c r="X7" s="339" t="str">
        <f>IFERROR(__xludf.DUMMYFUNCTION("GOOGLETRANSLATE(D7,""zh-tw"",""KO"")"),"-")</f>
        <v>-</v>
      </c>
      <c r="Y7" s="151" t="s">
        <v>5626</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5621</v>
      </c>
      <c r="AB7" s="338" t="s">
        <v>1120</v>
      </c>
      <c r="AC7" s="191" t="s">
        <v>5627</v>
      </c>
      <c r="AD7" s="192" t="s">
        <v>5628</v>
      </c>
      <c r="AE7" s="192" t="s">
        <v>5621</v>
      </c>
      <c r="AF7" s="338" t="s">
        <v>5629</v>
      </c>
      <c r="AG7" s="181" t="s">
        <v>5630</v>
      </c>
      <c r="AH7" s="340" t="s">
        <v>5631</v>
      </c>
      <c r="AI7" s="340" t="s">
        <v>5621</v>
      </c>
      <c r="AJ7" s="338" t="s">
        <v>1120</v>
      </c>
      <c r="AK7" s="191" t="s">
        <v>5632</v>
      </c>
      <c r="AL7" s="192" t="s">
        <v>5633</v>
      </c>
      <c r="AM7" s="192" t="s">
        <v>5621</v>
      </c>
      <c r="AN7" s="338" t="s">
        <v>1120</v>
      </c>
      <c r="AO7" s="191"/>
      <c r="AP7" s="88"/>
      <c r="AQ7" s="88"/>
      <c r="AR7" s="338"/>
    </row>
    <row r="8">
      <c r="A8" s="151" t="s">
        <v>5634</v>
      </c>
      <c r="B8" s="153" t="s">
        <v>5635</v>
      </c>
      <c r="C8" s="153" t="s">
        <v>5636</v>
      </c>
      <c r="D8" s="338" t="s">
        <v>1120</v>
      </c>
      <c r="E8" s="151" t="s">
        <v>5637</v>
      </c>
      <c r="F8" s="192" t="s">
        <v>5638</v>
      </c>
      <c r="G8" s="153" t="s">
        <v>5636</v>
      </c>
      <c r="H8" s="339" t="str">
        <f>IFERROR(__xludf.DUMMYFUNCTION("GOOGLETRANSLATE(D8,""zh-tw"",""ja"")"),"-")</f>
        <v>-</v>
      </c>
      <c r="I8" s="151" t="s">
        <v>5639</v>
      </c>
      <c r="J8" s="192" t="s">
        <v>5640</v>
      </c>
      <c r="K8" s="192" t="s">
        <v>5636</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5636</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5636</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5636</v>
      </c>
      <c r="X8" s="339" t="str">
        <f>IFERROR(__xludf.DUMMYFUNCTION("GOOGLETRANSLATE(D8,""zh-tw"",""KO"")"),"-")</f>
        <v>-</v>
      </c>
      <c r="Y8" s="151" t="s">
        <v>5641</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5636</v>
      </c>
      <c r="AB8" s="338" t="s">
        <v>1120</v>
      </c>
      <c r="AC8" s="191" t="s">
        <v>5642</v>
      </c>
      <c r="AD8" s="192" t="s">
        <v>5643</v>
      </c>
      <c r="AE8" s="192" t="s">
        <v>5636</v>
      </c>
      <c r="AF8" s="338" t="s">
        <v>5644</v>
      </c>
      <c r="AG8" s="181" t="s">
        <v>5645</v>
      </c>
      <c r="AH8" s="340" t="s">
        <v>5646</v>
      </c>
      <c r="AI8" s="340" t="s">
        <v>5636</v>
      </c>
      <c r="AJ8" s="338" t="s">
        <v>1120</v>
      </c>
      <c r="AK8" s="191" t="s">
        <v>5647</v>
      </c>
      <c r="AL8" s="168" t="s">
        <v>5648</v>
      </c>
      <c r="AM8" s="192" t="s">
        <v>5636</v>
      </c>
      <c r="AN8" s="338" t="s">
        <v>1120</v>
      </c>
      <c r="AO8" s="191"/>
      <c r="AP8" s="88"/>
      <c r="AQ8" s="88"/>
      <c r="AR8" s="338"/>
    </row>
    <row r="9" ht="41.25" customHeight="1">
      <c r="A9" s="151" t="s">
        <v>5649</v>
      </c>
      <c r="B9" s="153" t="s">
        <v>5650</v>
      </c>
      <c r="C9" s="153" t="s">
        <v>5651</v>
      </c>
      <c r="D9" s="339" t="s">
        <v>1120</v>
      </c>
      <c r="E9" s="151" t="str">
        <f>IFERROR(__xludf.DUMMYFUNCTION("GOOGLETRANSLATE(A9,""zh-tw"",""ja"")"),"ビリビリスライム")</f>
        <v>ビリビリスライム</v>
      </c>
      <c r="F9" s="192" t="s">
        <v>5652</v>
      </c>
      <c r="G9" s="153" t="s">
        <v>5651</v>
      </c>
      <c r="H9" s="339" t="str">
        <f>IFERROR(__xludf.DUMMYFUNCTION("GOOGLETRANSLATE(D9,""zh-tw"",""ja"")"),"-")</f>
        <v>-</v>
      </c>
      <c r="I9" s="151" t="s">
        <v>5653</v>
      </c>
      <c r="J9" s="192" t="s">
        <v>5654</v>
      </c>
      <c r="K9" s="192" t="s">
        <v>5651</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5651</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5651</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5651</v>
      </c>
      <c r="X9" s="339" t="str">
        <f>IFERROR(__xludf.DUMMYFUNCTION("GOOGLETRANSLATE(D9,""zh-tw"",""KO"")"),"-")</f>
        <v>-</v>
      </c>
      <c r="Y9" s="166" t="s">
        <v>5655</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5651</v>
      </c>
      <c r="AB9" s="338" t="s">
        <v>1120</v>
      </c>
      <c r="AC9" s="191" t="s">
        <v>5656</v>
      </c>
      <c r="AD9" s="192" t="s">
        <v>5657</v>
      </c>
      <c r="AE9" s="192" t="s">
        <v>5651</v>
      </c>
      <c r="AF9" s="338" t="s">
        <v>5658</v>
      </c>
      <c r="AG9" s="181" t="s">
        <v>5659</v>
      </c>
      <c r="AH9" s="340" t="s">
        <v>5660</v>
      </c>
      <c r="AI9" s="340" t="s">
        <v>5651</v>
      </c>
      <c r="AJ9" s="338" t="s">
        <v>1120</v>
      </c>
      <c r="AK9" s="191" t="s">
        <v>5661</v>
      </c>
      <c r="AL9" s="168" t="s">
        <v>5662</v>
      </c>
      <c r="AM9" s="192" t="s">
        <v>5651</v>
      </c>
      <c r="AN9" s="338" t="s">
        <v>1120</v>
      </c>
      <c r="AO9" s="191"/>
      <c r="AP9" s="88"/>
      <c r="AQ9" s="88"/>
      <c r="AR9" s="338"/>
    </row>
    <row r="10">
      <c r="A10" s="151" t="s">
        <v>5663</v>
      </c>
      <c r="B10" s="153" t="s">
        <v>5664</v>
      </c>
      <c r="C10" s="153" t="s">
        <v>5665</v>
      </c>
      <c r="D10" s="338" t="s">
        <v>1120</v>
      </c>
      <c r="E10" s="151" t="s">
        <v>5666</v>
      </c>
      <c r="F10" s="192" t="s">
        <v>5667</v>
      </c>
      <c r="G10" s="153" t="s">
        <v>5665</v>
      </c>
      <c r="H10" s="339" t="str">
        <f>IFERROR(__xludf.DUMMYFUNCTION("GOOGLETRANSLATE(D10,""zh-tw"",""ja"")"),"-")</f>
        <v>-</v>
      </c>
      <c r="I10" s="191" t="s">
        <v>5668</v>
      </c>
      <c r="J10" s="192" t="s">
        <v>5669</v>
      </c>
      <c r="K10" s="192" t="s">
        <v>5665</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5665</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5665</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5665</v>
      </c>
      <c r="X10" s="339" t="str">
        <f>IFERROR(__xludf.DUMMYFUNCTION("GOOGLETRANSLATE(D10,""zh-tw"",""KO"")"),"-")</f>
        <v>-</v>
      </c>
      <c r="Y10" s="151" t="s">
        <v>5670</v>
      </c>
      <c r="Z10" s="153" t="str">
        <f>IFERROR(__xludf.DUMMYFUNCTION("GOOGLETRANSLATE(B10,""zh-tw"",""RU"")"),"Небольшие кусочки мяса")</f>
        <v>Небольшие кусочки мяса</v>
      </c>
      <c r="AA10" s="153" t="s">
        <v>5665</v>
      </c>
      <c r="AB10" s="338" t="s">
        <v>1120</v>
      </c>
      <c r="AC10" s="191" t="s">
        <v>5671</v>
      </c>
      <c r="AD10" s="192" t="s">
        <v>5672</v>
      </c>
      <c r="AE10" s="192" t="s">
        <v>5665</v>
      </c>
      <c r="AF10" s="338" t="s">
        <v>1120</v>
      </c>
      <c r="AG10" s="181" t="s">
        <v>5673</v>
      </c>
      <c r="AH10" s="340" t="s">
        <v>5674</v>
      </c>
      <c r="AI10" s="340" t="s">
        <v>5665</v>
      </c>
      <c r="AJ10" s="338" t="s">
        <v>1120</v>
      </c>
      <c r="AK10" s="191" t="s">
        <v>5675</v>
      </c>
      <c r="AL10" s="192" t="s">
        <v>5676</v>
      </c>
      <c r="AM10" s="192" t="s">
        <v>5665</v>
      </c>
      <c r="AN10" s="338" t="s">
        <v>1120</v>
      </c>
      <c r="AO10" s="191"/>
      <c r="AP10" s="88"/>
      <c r="AQ10" s="88"/>
      <c r="AR10" s="338"/>
    </row>
    <row r="11">
      <c r="A11" s="151" t="s">
        <v>5677</v>
      </c>
      <c r="B11" s="153" t="s">
        <v>5678</v>
      </c>
      <c r="C11" s="168" t="s">
        <v>5679</v>
      </c>
      <c r="D11" s="339" t="s">
        <v>5680</v>
      </c>
      <c r="E11" s="151" t="s">
        <v>5681</v>
      </c>
      <c r="F11" s="192" t="s">
        <v>5682</v>
      </c>
      <c r="G11" s="168" t="s">
        <v>5679</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5683</v>
      </c>
      <c r="J11" s="192" t="s">
        <v>5684</v>
      </c>
      <c r="K11" s="168" t="s">
        <v>5679</v>
      </c>
      <c r="L11" s="338" t="s">
        <v>5685</v>
      </c>
      <c r="M11" s="191" t="str">
        <f>IFERROR(__xludf.DUMMYFUNCTION("GOOGLETRANSLATE(A11,""zh-tw"",""zh"")"),"鹿角兔")</f>
        <v>鹿角兔</v>
      </c>
      <c r="N11" s="192" t="str">
        <f>IFERROR(__xludf.DUMMYFUNCTION("GOOGLETRANSLATE(B11,""zh-tw"",""zh"")"),"小块兽肉
红色的角")</f>
        <v>小块兽肉
红色的角</v>
      </c>
      <c r="O11" s="168" t="s">
        <v>5679</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5679</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5679</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5679</v>
      </c>
      <c r="AB11" s="338"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5679</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5686</v>
      </c>
      <c r="AH11" s="340" t="s">
        <v>5687</v>
      </c>
      <c r="AI11" s="49" t="s">
        <v>5679</v>
      </c>
      <c r="AJ11" s="338" t="s">
        <v>1120</v>
      </c>
      <c r="AK11" s="191" t="s">
        <v>5686</v>
      </c>
      <c r="AL11" s="192" t="s">
        <v>5688</v>
      </c>
      <c r="AM11" s="168" t="s">
        <v>5679</v>
      </c>
      <c r="AN11" s="338" t="s">
        <v>5689</v>
      </c>
      <c r="AO11" s="191"/>
      <c r="AP11" s="88"/>
      <c r="AQ11" s="88"/>
      <c r="AR11" s="338"/>
    </row>
    <row r="12">
      <c r="A12" s="151" t="s">
        <v>5690</v>
      </c>
      <c r="B12" s="153" t="s">
        <v>5691</v>
      </c>
      <c r="C12" s="168" t="s">
        <v>5692</v>
      </c>
      <c r="D12" s="339" t="s">
        <v>1120</v>
      </c>
      <c r="E12" s="151" t="s">
        <v>5693</v>
      </c>
      <c r="F12" s="192" t="s">
        <v>5694</v>
      </c>
      <c r="G12" s="168" t="s">
        <v>5695</v>
      </c>
      <c r="H12" s="339" t="str">
        <f>IFERROR(__xludf.DUMMYFUNCTION("GOOGLETRANSLATE(D12,""zh-tw"",""ja"")"),"-")</f>
        <v>-</v>
      </c>
      <c r="I12" s="191" t="s">
        <v>5696</v>
      </c>
      <c r="J12" s="192" t="s">
        <v>5697</v>
      </c>
      <c r="K12" s="168" t="s">
        <v>5692</v>
      </c>
      <c r="L12" s="338"/>
      <c r="M12" s="191" t="str">
        <f>IFERROR(__xludf.DUMMYFUNCTION("GOOGLETRANSLATE(A12,""zh-tw"",""zh"")"),"""Z""
(蟑螂)")</f>
        <v>"Z"
(蟑螂)</v>
      </c>
      <c r="N12" s="192" t="str">
        <f>IFERROR(__xludf.DUMMYFUNCTION("GOOGLETRANSLATE(B12,""zh-tw"",""zh"")"),"垃圾
阴暗爬行者的馈赠")</f>
        <v>垃圾
阴暗爬行者的馈赠</v>
      </c>
      <c r="O12" s="168" t="s">
        <v>5692</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5692</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5692</v>
      </c>
      <c r="X12" s="339" t="str">
        <f>IFERROR(__xludf.DUMMYFUNCTION("GOOGLETRANSLATE(D12,""zh-tw"",""KO"")"),"-")</f>
        <v>-</v>
      </c>
      <c r="Y12" s="166" t="s">
        <v>5698</v>
      </c>
      <c r="Z12" s="168" t="s">
        <v>5699</v>
      </c>
      <c r="AA12" s="168" t="s">
        <v>5692</v>
      </c>
      <c r="AB12" s="338" t="s">
        <v>1120</v>
      </c>
      <c r="AC12" s="191" t="str">
        <f>IFERROR(__xludf.DUMMYFUNCTION("GOOGLETRANSLATE(A12,""zh-tw"",""DE"")"),"""Z"" (Kakerlake)")</f>
        <v>"Z" (Kakerlake)</v>
      </c>
      <c r="AD12" s="168" t="s">
        <v>5700</v>
      </c>
      <c r="AE12" s="168" t="s">
        <v>5692</v>
      </c>
      <c r="AF12" s="338" t="str">
        <f>IFERROR(__xludf.DUMMYFUNCTION("GOOGLETRANSLATE(D12,""zh-tw"",""DE"")"),"-")</f>
        <v>-</v>
      </c>
      <c r="AG12" s="181" t="s">
        <v>5701</v>
      </c>
      <c r="AH12" s="49" t="s">
        <v>5702</v>
      </c>
      <c r="AI12" s="49" t="s">
        <v>5692</v>
      </c>
      <c r="AJ12" s="338" t="s">
        <v>1120</v>
      </c>
      <c r="AK12" s="191" t="s">
        <v>5703</v>
      </c>
      <c r="AL12" s="192" t="s">
        <v>5704</v>
      </c>
      <c r="AM12" s="168" t="s">
        <v>5692</v>
      </c>
      <c r="AN12" s="338" t="s">
        <v>1120</v>
      </c>
      <c r="AO12" s="191"/>
      <c r="AP12" s="88"/>
      <c r="AQ12" s="88"/>
      <c r="AR12" s="338"/>
    </row>
    <row r="13">
      <c r="A13" s="334" t="s">
        <v>5705</v>
      </c>
      <c r="E13" s="334" t="str">
        <f>IFERROR(__xludf.DUMMYFUNCTION("GOOGLETRANSLATE(A13,""zh-tw"",""ja"")"),"水に関連する")</f>
        <v>水に関連する</v>
      </c>
      <c r="I13" s="335" t="s">
        <v>5706</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tr">
        <f>IFERROR(__xludf.DUMMYFUNCTION("GOOGLETRANSLATE(A13,""zh-tw"",""ru"")"),"Связанные с водой")</f>
        <v>Связанные с водой</v>
      </c>
      <c r="AC13" s="335" t="str">
        <f>IFERROR(__xludf.DUMMYFUNCTION("GOOGLETRANSLATE(A12,""zh-tw"",""DE"")"),"""Z"" (Kakerlake)")</f>
        <v>"Z" (Kakerlake)</v>
      </c>
      <c r="AG13" s="337" t="s">
        <v>5707</v>
      </c>
      <c r="AK13" s="335" t="s">
        <v>5708</v>
      </c>
      <c r="AO13" s="335"/>
      <c r="AP13" s="335"/>
      <c r="AQ13" s="335"/>
      <c r="AR13" s="335"/>
    </row>
    <row r="14">
      <c r="A14" s="341" t="s">
        <v>5709</v>
      </c>
      <c r="B14" s="168" t="s">
        <v>5710</v>
      </c>
      <c r="C14" s="153" t="s">
        <v>5711</v>
      </c>
      <c r="D14" s="339" t="s">
        <v>5712</v>
      </c>
      <c r="E14" s="151" t="s">
        <v>5713</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5711</v>
      </c>
      <c r="H14" s="339" t="s">
        <v>5714</v>
      </c>
      <c r="I14" s="342" t="s">
        <v>5715</v>
      </c>
      <c r="J14" s="168" t="s">
        <v>5716</v>
      </c>
      <c r="K14" s="192" t="s">
        <v>5711</v>
      </c>
      <c r="L14" s="338" t="s">
        <v>5717</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5711</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5711</v>
      </c>
      <c r="T14" s="33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5711</v>
      </c>
      <c r="X14" s="33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43" t="s">
        <v>5715</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5711</v>
      </c>
      <c r="AB14" s="338"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5718</v>
      </c>
      <c r="AD14" s="168" t="s">
        <v>5719</v>
      </c>
      <c r="AE14" s="192" t="s">
        <v>5711</v>
      </c>
      <c r="AF14" s="338" t="s">
        <v>5720</v>
      </c>
      <c r="AG14" s="344" t="s">
        <v>5721</v>
      </c>
      <c r="AH14" s="49" t="s">
        <v>5722</v>
      </c>
      <c r="AI14" s="340" t="s">
        <v>5711</v>
      </c>
      <c r="AJ14" s="338" t="s">
        <v>5723</v>
      </c>
      <c r="AK14" s="201" t="s">
        <v>5724</v>
      </c>
      <c r="AL14" s="168" t="s">
        <v>5725</v>
      </c>
      <c r="AM14" s="192" t="s">
        <v>5711</v>
      </c>
      <c r="AN14" s="338" t="s">
        <v>5726</v>
      </c>
      <c r="AO14" s="201" t="s">
        <v>5727</v>
      </c>
      <c r="AP14" s="88"/>
      <c r="AQ14" s="88"/>
      <c r="AR14" s="338"/>
    </row>
    <row r="15">
      <c r="A15" s="341" t="s">
        <v>5728</v>
      </c>
      <c r="B15" s="168" t="s">
        <v>5729</v>
      </c>
      <c r="C15" s="153" t="s">
        <v>5730</v>
      </c>
      <c r="D15" s="339" t="s">
        <v>5731</v>
      </c>
      <c r="E15" s="151" t="s">
        <v>5732</v>
      </c>
      <c r="F15" s="168" t="s">
        <v>5733</v>
      </c>
      <c r="G15" s="153" t="s">
        <v>5730</v>
      </c>
      <c r="H15" s="339" t="s">
        <v>5734</v>
      </c>
      <c r="I15" s="342" t="s">
        <v>5735</v>
      </c>
      <c r="J15" s="168" t="s">
        <v>5736</v>
      </c>
      <c r="K15" s="192" t="s">
        <v>5730</v>
      </c>
      <c r="L15" s="338" t="s">
        <v>5737</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5730</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5730</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5730</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5735</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5730</v>
      </c>
      <c r="AB15" s="338"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5738</v>
      </c>
      <c r="AD15" s="168" t="s">
        <v>5739</v>
      </c>
      <c r="AE15" s="192" t="s">
        <v>5730</v>
      </c>
      <c r="AF15" s="338" t="s">
        <v>5740</v>
      </c>
      <c r="AG15" s="344" t="s">
        <v>5741</v>
      </c>
      <c r="AH15" s="49" t="s">
        <v>5742</v>
      </c>
      <c r="AI15" s="340" t="s">
        <v>5730</v>
      </c>
      <c r="AJ15" s="338" t="s">
        <v>5743</v>
      </c>
      <c r="AK15" s="201" t="s">
        <v>5744</v>
      </c>
      <c r="AL15" s="168" t="s">
        <v>5745</v>
      </c>
      <c r="AM15" s="192" t="s">
        <v>5730</v>
      </c>
      <c r="AN15" s="338" t="s">
        <v>5746</v>
      </c>
      <c r="AO15" s="201" t="s">
        <v>5747</v>
      </c>
      <c r="AP15" s="88"/>
      <c r="AQ15" s="88"/>
      <c r="AR15" s="338"/>
    </row>
    <row r="16">
      <c r="A16" s="151" t="s">
        <v>5748</v>
      </c>
      <c r="B16" s="153" t="s">
        <v>5749</v>
      </c>
      <c r="C16" s="153" t="s">
        <v>5750</v>
      </c>
      <c r="D16" s="339" t="s">
        <v>5751</v>
      </c>
      <c r="E16" s="191" t="s">
        <v>5748</v>
      </c>
      <c r="F16" s="192" t="s">
        <v>5752</v>
      </c>
      <c r="G16" s="153" t="s">
        <v>5750</v>
      </c>
      <c r="H16" s="339" t="s">
        <v>5753</v>
      </c>
      <c r="I16" s="191" t="s">
        <v>5754</v>
      </c>
      <c r="J16" s="192" t="s">
        <v>5755</v>
      </c>
      <c r="K16" s="192" t="s">
        <v>5750</v>
      </c>
      <c r="L16" s="338" t="s">
        <v>5756</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5750</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5750</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5750</v>
      </c>
      <c r="X16" s="339"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5750</v>
      </c>
      <c r="AB16" s="338"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5757</v>
      </c>
      <c r="AD16" s="192" t="s">
        <v>5758</v>
      </c>
      <c r="AE16" s="192" t="s">
        <v>5750</v>
      </c>
      <c r="AF16" s="338" t="s">
        <v>5759</v>
      </c>
      <c r="AG16" s="181" t="s">
        <v>5760</v>
      </c>
      <c r="AH16" s="340" t="s">
        <v>5761</v>
      </c>
      <c r="AI16" s="340" t="s">
        <v>5750</v>
      </c>
      <c r="AJ16" s="338" t="s">
        <v>5762</v>
      </c>
      <c r="AK16" s="191" t="s">
        <v>5763</v>
      </c>
      <c r="AL16" s="192" t="s">
        <v>5764</v>
      </c>
      <c r="AM16" s="192" t="s">
        <v>5750</v>
      </c>
      <c r="AN16" s="338" t="s">
        <v>5765</v>
      </c>
      <c r="AO16" s="191"/>
      <c r="AP16" s="88"/>
      <c r="AQ16" s="88"/>
      <c r="AR16" s="338"/>
    </row>
    <row r="17">
      <c r="A17" s="151" t="s">
        <v>5766</v>
      </c>
      <c r="B17" s="153" t="s">
        <v>5767</v>
      </c>
      <c r="C17" s="153" t="s">
        <v>5768</v>
      </c>
      <c r="D17" s="338" t="s">
        <v>1120</v>
      </c>
      <c r="E17" s="191" t="s">
        <v>5766</v>
      </c>
      <c r="F17" s="153" t="str">
        <f>IFERROR(__xludf.DUMMYFUNCTION("GOOGLETRANSLATE(B17,""zh-tw"",""ja"")"),"ウォーターモンスタースライム
魔法の水晶クラスター
潮汐の詩")</f>
        <v>ウォーターモンスタースライム
魔法の水晶クラスター
潮汐の詩</v>
      </c>
      <c r="G17" s="153" t="s">
        <v>5768</v>
      </c>
      <c r="H17" s="339" t="str">
        <f>IFERROR(__xludf.DUMMYFUNCTION("GOOGLETRANSLATE(D17,""zh-tw"",""ja"")"),"-")</f>
        <v>-</v>
      </c>
      <c r="I17" s="151" t="s">
        <v>5769</v>
      </c>
      <c r="J17" s="168" t="s">
        <v>5770</v>
      </c>
      <c r="K17" s="192" t="s">
        <v>5768</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5768</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5768</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5768</v>
      </c>
      <c r="X17" s="339"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5768</v>
      </c>
      <c r="AB17" s="338" t="str">
        <f>IFERROR(__xludf.DUMMYFUNCTION("GOOGLETRANSLATE(D17,""zh-tw"",""ru"")"),"-")</f>
        <v>-</v>
      </c>
      <c r="AC17" s="191" t="s">
        <v>5771</v>
      </c>
      <c r="AD17" s="192" t="s">
        <v>5772</v>
      </c>
      <c r="AE17" s="192" t="s">
        <v>5768</v>
      </c>
      <c r="AF17" s="345" t="s">
        <v>5773</v>
      </c>
      <c r="AG17" s="181" t="s">
        <v>5774</v>
      </c>
      <c r="AH17" s="340" t="s">
        <v>5775</v>
      </c>
      <c r="AI17" s="340" t="s">
        <v>5768</v>
      </c>
      <c r="AJ17" s="338" t="s">
        <v>1120</v>
      </c>
      <c r="AK17" s="191" t="s">
        <v>5769</v>
      </c>
      <c r="AL17" s="192" t="s">
        <v>5776</v>
      </c>
      <c r="AM17" s="192" t="s">
        <v>5768</v>
      </c>
      <c r="AN17" s="338" t="s">
        <v>1120</v>
      </c>
      <c r="AO17" s="191"/>
      <c r="AP17" s="88"/>
      <c r="AQ17" s="88"/>
      <c r="AR17" s="338"/>
    </row>
    <row r="18">
      <c r="A18" s="151" t="s">
        <v>5777</v>
      </c>
      <c r="B18" s="153" t="s">
        <v>5778</v>
      </c>
      <c r="C18" s="153">
        <v>100.0</v>
      </c>
      <c r="D18" s="339" t="s">
        <v>5779</v>
      </c>
      <c r="E18" s="191" t="s">
        <v>5780</v>
      </c>
      <c r="F18" s="153" t="s">
        <v>5781</v>
      </c>
      <c r="G18" s="153">
        <v>100.0</v>
      </c>
      <c r="H18" s="339" t="s">
        <v>5782</v>
      </c>
      <c r="I18" s="151" t="s">
        <v>5783</v>
      </c>
      <c r="J18" s="192" t="s">
        <v>5784</v>
      </c>
      <c r="K18" s="192">
        <v>100.0</v>
      </c>
      <c r="L18" s="338" t="s">
        <v>5785</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38" t="str">
        <f>IFERROR(__xludf.DUMMYFUNCTION("GOOGLETRANSLATE(D18,""zh-tw"",""ru"")"),"Используйте бомбы, чтобы взорвать поверхность воды.")</f>
        <v>Используйте бомбы, чтобы взорвать поверхность воды.</v>
      </c>
      <c r="AC18" s="191" t="s">
        <v>5786</v>
      </c>
      <c r="AD18" s="192" t="s">
        <v>5787</v>
      </c>
      <c r="AE18" s="192">
        <v>100.0</v>
      </c>
      <c r="AF18" s="338" t="s">
        <v>5788</v>
      </c>
      <c r="AG18" s="181" t="s">
        <v>5789</v>
      </c>
      <c r="AH18" s="340" t="s">
        <v>5790</v>
      </c>
      <c r="AI18" s="340">
        <v>100.0</v>
      </c>
      <c r="AJ18" s="338" t="s">
        <v>5791</v>
      </c>
      <c r="AK18" s="191" t="s">
        <v>5792</v>
      </c>
      <c r="AL18" s="192" t="s">
        <v>5793</v>
      </c>
      <c r="AM18" s="192">
        <v>100.0</v>
      </c>
      <c r="AN18" s="338" t="s">
        <v>5794</v>
      </c>
      <c r="AO18" s="191"/>
      <c r="AP18" s="88"/>
      <c r="AQ18" s="88"/>
      <c r="AR18" s="338"/>
    </row>
    <row r="19">
      <c r="A19" s="151" t="s">
        <v>5795</v>
      </c>
      <c r="B19" s="153" t="s">
        <v>5796</v>
      </c>
      <c r="C19" s="153">
        <v>100.0</v>
      </c>
      <c r="D19" s="339" t="s">
        <v>5779</v>
      </c>
      <c r="E19" s="191" t="s">
        <v>5797</v>
      </c>
      <c r="F19" s="153" t="s">
        <v>5798</v>
      </c>
      <c r="G19" s="153">
        <v>100.0</v>
      </c>
      <c r="H19" s="339" t="s">
        <v>5782</v>
      </c>
      <c r="I19" s="151" t="s">
        <v>5799</v>
      </c>
      <c r="J19" s="192" t="s">
        <v>5800</v>
      </c>
      <c r="K19" s="192">
        <v>100.0</v>
      </c>
      <c r="L19" s="338" t="s">
        <v>5785</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38" t="str">
        <f>IFERROR(__xludf.DUMMYFUNCTION("GOOGLETRANSLATE(D19,""zh-tw"",""ru"")"),"Используйте бомбы, чтобы взорвать поверхность воды.")</f>
        <v>Используйте бомбы, чтобы взорвать поверхность воды.</v>
      </c>
      <c r="AC19" s="191" t="s">
        <v>5801</v>
      </c>
      <c r="AD19" s="192" t="s">
        <v>5802</v>
      </c>
      <c r="AE19" s="192">
        <v>100.0</v>
      </c>
      <c r="AF19" s="338" t="s">
        <v>5788</v>
      </c>
      <c r="AG19" s="181" t="s">
        <v>5803</v>
      </c>
      <c r="AH19" s="340" t="s">
        <v>5804</v>
      </c>
      <c r="AI19" s="340">
        <v>100.0</v>
      </c>
      <c r="AJ19" s="338" t="s">
        <v>5791</v>
      </c>
      <c r="AK19" s="191" t="s">
        <v>5805</v>
      </c>
      <c r="AL19" s="192" t="s">
        <v>5806</v>
      </c>
      <c r="AM19" s="192">
        <v>100.0</v>
      </c>
      <c r="AN19" s="338" t="s">
        <v>5794</v>
      </c>
      <c r="AO19" s="191"/>
      <c r="AP19" s="88"/>
      <c r="AQ19" s="88"/>
      <c r="AR19" s="338"/>
    </row>
    <row r="20">
      <c r="A20" s="334" t="s">
        <v>5807</v>
      </c>
      <c r="E20" s="335" t="str">
        <f>IFERROR(__xludf.DUMMYFUNCTION("GOOGLETRANSLATE(A20,""zh-tw"",""ja"")"),"鉱山関連")</f>
        <v>鉱山関連</v>
      </c>
      <c r="I20" s="334" t="s">
        <v>5808</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tr">
        <f>IFERROR(__xludf.DUMMYFUNCTION("GOOGLETRANSLATE(A20,""zh-tw"",""ru"")"),"связанные с шахтами")</f>
        <v>связанные с шахтами</v>
      </c>
      <c r="AC20" s="335" t="str">
        <f>IFERROR(__xludf.DUMMYFUNCTION("GOOGLETRANSLATE(A19,""zh-tw"",""DE"")"),"Sakaban-Schildkröte (groß)")</f>
        <v>Sakaban-Schildkröte (groß)</v>
      </c>
      <c r="AG20" s="337" t="s">
        <v>5809</v>
      </c>
      <c r="AK20" s="335" t="s">
        <v>5808</v>
      </c>
      <c r="AO20" s="335"/>
      <c r="AP20" s="335"/>
      <c r="AQ20" s="335"/>
      <c r="AR20" s="335"/>
    </row>
    <row r="21">
      <c r="A21" s="151" t="s">
        <v>5810</v>
      </c>
      <c r="B21" s="153" t="s">
        <v>5811</v>
      </c>
      <c r="C21" s="153" t="s">
        <v>5812</v>
      </c>
      <c r="D21" s="339" t="s">
        <v>1120</v>
      </c>
      <c r="E21" s="191" t="s">
        <v>5813</v>
      </c>
      <c r="F21" s="192" t="s">
        <v>5814</v>
      </c>
      <c r="G21" s="153" t="s">
        <v>5812</v>
      </c>
      <c r="H21" s="339" t="str">
        <f>IFERROR(__xludf.DUMMYFUNCTION("GOOGLETRANSLATE(D21,""zh-tw"",""ja"")"),"-")</f>
        <v>-</v>
      </c>
      <c r="I21" s="151" t="s">
        <v>5815</v>
      </c>
      <c r="J21" s="192" t="s">
        <v>5816</v>
      </c>
      <c r="K21" s="192" t="s">
        <v>5812</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5812</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5812</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5812</v>
      </c>
      <c r="X21" s="339"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5812</v>
      </c>
      <c r="AB21" s="338" t="str">
        <f>IFERROR(__xludf.DUMMYFUNCTION("GOOGLETRANSLATE(D21,""zh-tw"",""ru"")"),"-")</f>
        <v>-</v>
      </c>
      <c r="AC21" s="191" t="s">
        <v>5817</v>
      </c>
      <c r="AD21" s="192" t="s">
        <v>5818</v>
      </c>
      <c r="AE21" s="192" t="s">
        <v>5812</v>
      </c>
      <c r="AF21" s="345" t="s">
        <v>5773</v>
      </c>
      <c r="AG21" s="181" t="s">
        <v>5819</v>
      </c>
      <c r="AH21" s="340" t="s">
        <v>5820</v>
      </c>
      <c r="AI21" s="340" t="s">
        <v>5812</v>
      </c>
      <c r="AJ21" s="338" t="s">
        <v>1120</v>
      </c>
      <c r="AK21" s="191" t="s">
        <v>5821</v>
      </c>
      <c r="AL21" s="168" t="s">
        <v>5822</v>
      </c>
      <c r="AM21" s="192" t="s">
        <v>5812</v>
      </c>
      <c r="AN21" s="338" t="s">
        <v>1120</v>
      </c>
      <c r="AO21" s="191"/>
      <c r="AP21" s="88"/>
      <c r="AQ21" s="88"/>
      <c r="AR21" s="338"/>
    </row>
    <row r="22">
      <c r="A22" s="151" t="s">
        <v>5823</v>
      </c>
      <c r="B22" s="153" t="s">
        <v>5824</v>
      </c>
      <c r="C22" s="153" t="s">
        <v>5825</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5825</v>
      </c>
      <c r="H22" s="339" t="str">
        <f>IFERROR(__xludf.DUMMYFUNCTION("GOOGLETRANSLATE(D22,""zh-tw"",""ja"")"),"-")</f>
        <v>-</v>
      </c>
      <c r="I22" s="151" t="s">
        <v>5826</v>
      </c>
      <c r="J22" s="192" t="s">
        <v>5827</v>
      </c>
      <c r="K22" s="192" t="s">
        <v>5825</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5825</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5825</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5825</v>
      </c>
      <c r="X22" s="339"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5825</v>
      </c>
      <c r="AB22" s="338" t="str">
        <f>IFERROR(__xludf.DUMMYFUNCTION("GOOGLETRANSLATE(D22,""zh-tw"",""ru"")"),"-")</f>
        <v>-</v>
      </c>
      <c r="AC22" s="191" t="s">
        <v>5828</v>
      </c>
      <c r="AD22" s="192" t="s">
        <v>5829</v>
      </c>
      <c r="AE22" s="192" t="s">
        <v>5825</v>
      </c>
      <c r="AF22" s="345" t="s">
        <v>5773</v>
      </c>
      <c r="AG22" s="181" t="s">
        <v>5830</v>
      </c>
      <c r="AH22" s="340" t="s">
        <v>5831</v>
      </c>
      <c r="AI22" s="340" t="s">
        <v>5825</v>
      </c>
      <c r="AJ22" s="338" t="s">
        <v>1120</v>
      </c>
      <c r="AK22" s="191" t="s">
        <v>5832</v>
      </c>
      <c r="AL22" s="192" t="s">
        <v>5833</v>
      </c>
      <c r="AM22" s="192" t="s">
        <v>5825</v>
      </c>
      <c r="AN22" s="338" t="s">
        <v>1120</v>
      </c>
      <c r="AO22" s="191"/>
      <c r="AP22" s="88"/>
      <c r="AQ22" s="88"/>
      <c r="AR22" s="338"/>
    </row>
    <row r="23">
      <c r="A23" s="151" t="s">
        <v>5834</v>
      </c>
      <c r="B23" s="153" t="s">
        <v>5835</v>
      </c>
      <c r="C23" s="153" t="s">
        <v>5836</v>
      </c>
      <c r="D23" s="339" t="s">
        <v>1120</v>
      </c>
      <c r="E23" s="151" t="s">
        <v>5837</v>
      </c>
      <c r="F23" s="153" t="str">
        <f>IFERROR(__xludf.DUMMYFUNCTION("GOOGLETRANSLATE(B23,""zh-tw"",""ja"")"),"500元
1000元
呪われた胎児
いたずらジャック
夜霧の幻影
地獄より")</f>
        <v>500元
1000元
呪われた胎児
いたずらジャック
夜霧の幻影
地獄より</v>
      </c>
      <c r="G23" s="153" t="s">
        <v>5836</v>
      </c>
      <c r="H23" s="339" t="str">
        <f>IFERROR(__xludf.DUMMYFUNCTION("GOOGLETRANSLATE(D23,""zh-tw"",""ja"")"),"-")</f>
        <v>-</v>
      </c>
      <c r="I23" s="151" t="s">
        <v>5838</v>
      </c>
      <c r="J23" s="192" t="s">
        <v>5839</v>
      </c>
      <c r="K23" s="192" t="s">
        <v>5836</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5836</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5836</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5836</v>
      </c>
      <c r="X23" s="339"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5836</v>
      </c>
      <c r="AB23" s="338" t="str">
        <f>IFERROR(__xludf.DUMMYFUNCTION("GOOGLETRANSLATE(D23,""zh-tw"",""ru"")"),"-")</f>
        <v>-</v>
      </c>
      <c r="AC23" s="191" t="s">
        <v>5840</v>
      </c>
      <c r="AD23" s="192" t="s">
        <v>5841</v>
      </c>
      <c r="AE23" s="192" t="s">
        <v>5836</v>
      </c>
      <c r="AF23" s="338" t="s">
        <v>1120</v>
      </c>
      <c r="AG23" s="181" t="s">
        <v>5842</v>
      </c>
      <c r="AH23" s="340" t="s">
        <v>5843</v>
      </c>
      <c r="AI23" s="340" t="s">
        <v>5836</v>
      </c>
      <c r="AJ23" s="338" t="s">
        <v>1120</v>
      </c>
      <c r="AK23" s="191" t="s">
        <v>5838</v>
      </c>
      <c r="AL23" s="168" t="s">
        <v>5844</v>
      </c>
      <c r="AM23" s="192" t="s">
        <v>5836</v>
      </c>
      <c r="AN23" s="338" t="s">
        <v>1120</v>
      </c>
      <c r="AO23" s="191"/>
      <c r="AP23" s="88"/>
      <c r="AQ23" s="88"/>
      <c r="AR23" s="338"/>
    </row>
    <row r="24">
      <c r="A24" s="334" t="s">
        <v>5845</v>
      </c>
      <c r="E24" s="334" t="str">
        <f>IFERROR(__xludf.DUMMYFUNCTION("GOOGLETRANSLATE(A24,""zh-tw"",""ja"")"),"遺跡")</f>
        <v>遺跡</v>
      </c>
      <c r="I24" s="334" t="s">
        <v>5846</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tr">
        <f>IFERROR(__xludf.DUMMYFUNCTION("GOOGLETRANSLATE(A24,""zh-tw"",""ru"")"),"Руины")</f>
        <v>Руины</v>
      </c>
      <c r="AC24" s="335" t="str">
        <f>IFERROR(__xludf.DUMMYFUNCTION("GOOGLETRANSLATE(A23,""zh-tw"",""DE"")"),"Böser Umhang")</f>
        <v>Böser Umhang</v>
      </c>
      <c r="AG24" s="337" t="s">
        <v>5847</v>
      </c>
      <c r="AK24" s="335" t="s">
        <v>5846</v>
      </c>
      <c r="AO24" s="335"/>
      <c r="AP24" s="335"/>
      <c r="AQ24" s="335"/>
      <c r="AR24" s="335"/>
    </row>
    <row r="25">
      <c r="A25" s="151" t="s">
        <v>5848</v>
      </c>
      <c r="B25" s="153" t="s">
        <v>5849</v>
      </c>
      <c r="C25" s="153" t="s">
        <v>5850</v>
      </c>
      <c r="D25" s="339" t="s">
        <v>1120</v>
      </c>
      <c r="E25" s="191" t="s">
        <v>5851</v>
      </c>
      <c r="F25" s="192" t="s">
        <v>5852</v>
      </c>
      <c r="G25" s="153" t="s">
        <v>5850</v>
      </c>
      <c r="H25" s="339" t="str">
        <f>IFERROR(__xludf.DUMMYFUNCTION("GOOGLETRANSLATE(D25,""zh-tw"",""ja"")"),"-")</f>
        <v>-</v>
      </c>
      <c r="I25" s="191" t="s">
        <v>5853</v>
      </c>
      <c r="J25" s="192" t="s">
        <v>5854</v>
      </c>
      <c r="K25" s="192" t="s">
        <v>5850</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5850</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5850</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5850</v>
      </c>
      <c r="X25" s="339"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5850</v>
      </c>
      <c r="AB25" s="338" t="str">
        <f>IFERROR(__xludf.DUMMYFUNCTION("GOOGLETRANSLATE(D25,""zh-tw"",""ru"")"),"-")</f>
        <v>-</v>
      </c>
      <c r="AC25" s="191" t="s">
        <v>5855</v>
      </c>
      <c r="AD25" s="192" t="s">
        <v>5856</v>
      </c>
      <c r="AE25" s="192" t="s">
        <v>5850</v>
      </c>
      <c r="AF25" s="345" t="s">
        <v>5773</v>
      </c>
      <c r="AG25" s="181" t="s">
        <v>5857</v>
      </c>
      <c r="AH25" s="340" t="s">
        <v>5858</v>
      </c>
      <c r="AI25" s="340" t="s">
        <v>5850</v>
      </c>
      <c r="AJ25" s="338" t="s">
        <v>1120</v>
      </c>
      <c r="AK25" s="191" t="s">
        <v>5859</v>
      </c>
      <c r="AL25" s="192" t="s">
        <v>5860</v>
      </c>
      <c r="AM25" s="192" t="s">
        <v>5850</v>
      </c>
      <c r="AN25" s="338" t="s">
        <v>1120</v>
      </c>
      <c r="AO25" s="191"/>
      <c r="AP25" s="88"/>
      <c r="AQ25" s="88"/>
      <c r="AR25" s="338"/>
    </row>
    <row r="26">
      <c r="A26" s="151" t="s">
        <v>5861</v>
      </c>
      <c r="B26" s="153" t="s">
        <v>5862</v>
      </c>
      <c r="C26" s="153" t="s">
        <v>5863</v>
      </c>
      <c r="D26" s="338" t="s">
        <v>1120</v>
      </c>
      <c r="E26" s="191" t="s">
        <v>5861</v>
      </c>
      <c r="F26" s="192" t="s">
        <v>5864</v>
      </c>
      <c r="G26" s="153" t="s">
        <v>5863</v>
      </c>
      <c r="H26" s="339" t="str">
        <f>IFERROR(__xludf.DUMMYFUNCTION("GOOGLETRANSLATE(D26,""zh-tw"",""ja"")"),"-")</f>
        <v>-</v>
      </c>
      <c r="I26" s="191" t="s">
        <v>5865</v>
      </c>
      <c r="J26" s="168" t="s">
        <v>5866</v>
      </c>
      <c r="K26" s="192" t="s">
        <v>5863</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5863</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5863</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5863</v>
      </c>
      <c r="X26" s="339"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5863</v>
      </c>
      <c r="AB26" s="338" t="str">
        <f>IFERROR(__xludf.DUMMYFUNCTION("GOOGLETRANSLATE(D26,""zh-tw"",""ru"")"),"-")</f>
        <v>-</v>
      </c>
      <c r="AC26" s="191" t="s">
        <v>5867</v>
      </c>
      <c r="AD26" s="192" t="s">
        <v>5868</v>
      </c>
      <c r="AE26" s="192" t="s">
        <v>5863</v>
      </c>
      <c r="AF26" s="345" t="s">
        <v>5773</v>
      </c>
      <c r="AG26" s="181" t="s">
        <v>5869</v>
      </c>
      <c r="AH26" s="340" t="s">
        <v>5870</v>
      </c>
      <c r="AI26" s="340" t="s">
        <v>5863</v>
      </c>
      <c r="AJ26" s="338" t="s">
        <v>1120</v>
      </c>
      <c r="AK26" s="191" t="s">
        <v>5871</v>
      </c>
      <c r="AL26" s="168" t="s">
        <v>5872</v>
      </c>
      <c r="AM26" s="192" t="s">
        <v>5863</v>
      </c>
      <c r="AN26" s="338" t="s">
        <v>1120</v>
      </c>
      <c r="AO26" s="191"/>
      <c r="AP26" s="88"/>
      <c r="AQ26" s="88"/>
      <c r="AR26" s="338"/>
    </row>
    <row r="27">
      <c r="A27" s="151" t="s">
        <v>5873</v>
      </c>
      <c r="B27" s="153" t="s">
        <v>5874</v>
      </c>
      <c r="C27" s="153" t="s">
        <v>5875</v>
      </c>
      <c r="D27" s="338" t="s">
        <v>1120</v>
      </c>
      <c r="E27" s="191" t="s">
        <v>5876</v>
      </c>
      <c r="F27" s="192" t="s">
        <v>5877</v>
      </c>
      <c r="G27" s="153" t="s">
        <v>5875</v>
      </c>
      <c r="H27" s="339" t="str">
        <f>IFERROR(__xludf.DUMMYFUNCTION("GOOGLETRANSLATE(D27,""zh-tw"",""ja"")"),"-")</f>
        <v>-</v>
      </c>
      <c r="I27" s="191" t="s">
        <v>5878</v>
      </c>
      <c r="J27" s="192" t="s">
        <v>5879</v>
      </c>
      <c r="K27" s="192" t="s">
        <v>5875</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5875</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5875</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5875</v>
      </c>
      <c r="X27" s="339"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5875</v>
      </c>
      <c r="AB27" s="338" t="str">
        <f>IFERROR(__xludf.DUMMYFUNCTION("GOOGLETRANSLATE(D27,""zh-tw"",""ru"")"),"-")</f>
        <v>-</v>
      </c>
      <c r="AC27" s="191" t="s">
        <v>5880</v>
      </c>
      <c r="AD27" s="192" t="s">
        <v>5881</v>
      </c>
      <c r="AE27" s="192" t="s">
        <v>5875</v>
      </c>
      <c r="AF27" s="345" t="s">
        <v>5773</v>
      </c>
      <c r="AG27" s="181" t="s">
        <v>5882</v>
      </c>
      <c r="AH27" s="340" t="s">
        <v>5883</v>
      </c>
      <c r="AI27" s="340" t="s">
        <v>5875</v>
      </c>
      <c r="AJ27" s="338" t="s">
        <v>1120</v>
      </c>
      <c r="AK27" s="191" t="s">
        <v>5878</v>
      </c>
      <c r="AL27" s="168" t="s">
        <v>5884</v>
      </c>
      <c r="AM27" s="192" t="s">
        <v>5875</v>
      </c>
      <c r="AN27" s="338" t="s">
        <v>1120</v>
      </c>
      <c r="AO27" s="191"/>
      <c r="AP27" s="88"/>
      <c r="AQ27" s="88"/>
      <c r="AR27" s="338"/>
    </row>
    <row r="28">
      <c r="A28" s="151" t="s">
        <v>5885</v>
      </c>
      <c r="B28" s="153" t="s">
        <v>5886</v>
      </c>
      <c r="C28" s="153" t="s">
        <v>5887</v>
      </c>
      <c r="D28" s="339" t="s">
        <v>1120</v>
      </c>
      <c r="E28" s="151" t="str">
        <f>IFERROR(__xludf.DUMMYFUNCTION("GOOGLETRANSLATE(A28,""zh-tw"",""ja"")"),"ジャックスライム")</f>
        <v>ジャックスライム</v>
      </c>
      <c r="F28" s="192" t="s">
        <v>5888</v>
      </c>
      <c r="G28" s="192" t="s">
        <v>5887</v>
      </c>
      <c r="H28" s="339" t="str">
        <f>IFERROR(__xludf.DUMMYFUNCTION("GOOGLETRANSLATE(D28,""zh-tw"",""ja"")"),"-")</f>
        <v>-</v>
      </c>
      <c r="I28" s="191" t="s">
        <v>5889</v>
      </c>
      <c r="J28" s="192" t="s">
        <v>5890</v>
      </c>
      <c r="K28" s="192" t="s">
        <v>5887</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5887</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5887</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5887</v>
      </c>
      <c r="X28" s="339"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5887</v>
      </c>
      <c r="AB28" s="338" t="str">
        <f>IFERROR(__xludf.DUMMYFUNCTION("GOOGLETRANSLATE(D28,""zh-tw"",""ru"")"),"-")</f>
        <v>-</v>
      </c>
      <c r="AC28" s="191" t="s">
        <v>5891</v>
      </c>
      <c r="AD28" s="192" t="s">
        <v>5892</v>
      </c>
      <c r="AE28" s="192" t="s">
        <v>5887</v>
      </c>
      <c r="AF28" s="345" t="s">
        <v>5773</v>
      </c>
      <c r="AG28" s="181" t="s">
        <v>5893</v>
      </c>
      <c r="AH28" s="340" t="s">
        <v>5894</v>
      </c>
      <c r="AI28" s="340" t="s">
        <v>5887</v>
      </c>
      <c r="AJ28" s="338" t="s">
        <v>1120</v>
      </c>
      <c r="AK28" s="191" t="s">
        <v>5895</v>
      </c>
      <c r="AL28" s="192" t="s">
        <v>5896</v>
      </c>
      <c r="AM28" s="192" t="s">
        <v>5887</v>
      </c>
      <c r="AN28" s="338" t="s">
        <v>1120</v>
      </c>
      <c r="AO28" s="191"/>
      <c r="AP28" s="88"/>
      <c r="AQ28" s="88"/>
      <c r="AR28" s="338"/>
    </row>
    <row r="29">
      <c r="A29" s="151" t="s">
        <v>5897</v>
      </c>
      <c r="B29" s="153" t="s">
        <v>5898</v>
      </c>
      <c r="C29" s="153" t="s">
        <v>5899</v>
      </c>
      <c r="D29" s="338" t="s">
        <v>1120</v>
      </c>
      <c r="E29" s="191" t="s">
        <v>5900</v>
      </c>
      <c r="F29" s="192" t="s">
        <v>5901</v>
      </c>
      <c r="G29" s="153" t="s">
        <v>5899</v>
      </c>
      <c r="H29" s="339" t="str">
        <f>IFERROR(__xludf.DUMMYFUNCTION("GOOGLETRANSLATE(D29,""zh-tw"",""ja"")"),"-")</f>
        <v>-</v>
      </c>
      <c r="I29" s="191" t="str">
        <f>IFERROR(__xludf.DUMMYFUNCTION("GOOGLETRANSLATE(A29,""zh-tw"",""en"")"),"Maid Bunny")</f>
        <v>Maid Bunny</v>
      </c>
      <c r="J29" s="192" t="s">
        <v>5902</v>
      </c>
      <c r="K29" s="192" t="s">
        <v>5899</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5899</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5899</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5899</v>
      </c>
      <c r="X29" s="339"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5899</v>
      </c>
      <c r="AB29" s="338" t="str">
        <f>IFERROR(__xludf.DUMMYFUNCTION("GOOGLETRANSLATE(D29,""zh-tw"",""ru"")"),"-")</f>
        <v>-</v>
      </c>
      <c r="AC29" s="191" t="s">
        <v>5903</v>
      </c>
      <c r="AD29" s="192" t="s">
        <v>5904</v>
      </c>
      <c r="AE29" s="192" t="s">
        <v>5899</v>
      </c>
      <c r="AF29" s="345" t="s">
        <v>5773</v>
      </c>
      <c r="AG29" s="181" t="s">
        <v>5905</v>
      </c>
      <c r="AH29" s="340" t="s">
        <v>5906</v>
      </c>
      <c r="AI29" s="340" t="s">
        <v>5899</v>
      </c>
      <c r="AJ29" s="338" t="s">
        <v>1120</v>
      </c>
      <c r="AK29" s="191" t="s">
        <v>5907</v>
      </c>
      <c r="AL29" s="192" t="s">
        <v>5908</v>
      </c>
      <c r="AM29" s="192" t="s">
        <v>5899</v>
      </c>
      <c r="AN29" s="338" t="s">
        <v>1120</v>
      </c>
      <c r="AO29" s="191"/>
      <c r="AP29" s="88"/>
      <c r="AQ29" s="88"/>
      <c r="AR29" s="338"/>
    </row>
    <row r="30">
      <c r="A30" s="151" t="s">
        <v>5909</v>
      </c>
      <c r="B30" s="153" t="s">
        <v>5910</v>
      </c>
      <c r="C30" s="153" t="s">
        <v>5911</v>
      </c>
      <c r="D30" s="338" t="s">
        <v>1120</v>
      </c>
      <c r="E30" s="191" t="s">
        <v>5912</v>
      </c>
      <c r="F30" s="192" t="s">
        <v>5913</v>
      </c>
      <c r="G30" s="153" t="s">
        <v>5911</v>
      </c>
      <c r="H30" s="339" t="str">
        <f>IFERROR(__xludf.DUMMYFUNCTION("GOOGLETRANSLATE(D30,""zh-tw"",""ja"")"),"-")</f>
        <v>-</v>
      </c>
      <c r="I30" s="191" t="s">
        <v>5914</v>
      </c>
      <c r="J30" s="192" t="s">
        <v>5915</v>
      </c>
      <c r="K30" s="192" t="s">
        <v>5911</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5911</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5911</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5911</v>
      </c>
      <c r="X30" s="339"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5911</v>
      </c>
      <c r="AB30" s="338" t="str">
        <f>IFERROR(__xludf.DUMMYFUNCTION("GOOGLETRANSLATE(D30,""zh-tw"",""ru"")"),"-")</f>
        <v>-</v>
      </c>
      <c r="AC30" s="191" t="s">
        <v>5916</v>
      </c>
      <c r="AD30" s="192" t="s">
        <v>5917</v>
      </c>
      <c r="AE30" s="192" t="s">
        <v>5911</v>
      </c>
      <c r="AF30" s="345" t="s">
        <v>5773</v>
      </c>
      <c r="AG30" s="181" t="s">
        <v>5918</v>
      </c>
      <c r="AH30" s="340" t="s">
        <v>5919</v>
      </c>
      <c r="AI30" s="340" t="s">
        <v>5911</v>
      </c>
      <c r="AJ30" s="338" t="s">
        <v>1120</v>
      </c>
      <c r="AK30" s="191" t="s">
        <v>5920</v>
      </c>
      <c r="AL30" s="168" t="s">
        <v>5921</v>
      </c>
      <c r="AM30" s="192" t="s">
        <v>5911</v>
      </c>
      <c r="AN30" s="338" t="s">
        <v>1120</v>
      </c>
      <c r="AO30" s="191"/>
      <c r="AP30" s="88"/>
      <c r="AQ30" s="88"/>
      <c r="AR30" s="338"/>
    </row>
    <row r="31">
      <c r="A31" s="151" t="s">
        <v>5922</v>
      </c>
      <c r="B31" s="153" t="s">
        <v>5923</v>
      </c>
      <c r="C31" s="153" t="s">
        <v>5924</v>
      </c>
      <c r="D31" s="338" t="s">
        <v>1120</v>
      </c>
      <c r="E31" s="191" t="s">
        <v>5925</v>
      </c>
      <c r="F31" s="192" t="s">
        <v>5926</v>
      </c>
      <c r="G31" s="153" t="s">
        <v>5924</v>
      </c>
      <c r="H31" s="339" t="str">
        <f>IFERROR(__xludf.DUMMYFUNCTION("GOOGLETRANSLATE(D31,""zh-tw"",""ja"")"),"-")</f>
        <v>-</v>
      </c>
      <c r="I31" s="191" t="s">
        <v>5927</v>
      </c>
      <c r="J31" s="192" t="s">
        <v>5928</v>
      </c>
      <c r="K31" s="192" t="s">
        <v>5924</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5924</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5924</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5924</v>
      </c>
      <c r="X31" s="339"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5924</v>
      </c>
      <c r="AB31" s="338" t="str">
        <f>IFERROR(__xludf.DUMMYFUNCTION("GOOGLETRANSLATE(D31,""zh-tw"",""ru"")"),"-")</f>
        <v>-</v>
      </c>
      <c r="AC31" s="191" t="s">
        <v>5929</v>
      </c>
      <c r="AD31" s="192" t="s">
        <v>5930</v>
      </c>
      <c r="AE31" s="192" t="s">
        <v>5924</v>
      </c>
      <c r="AF31" s="345" t="s">
        <v>5773</v>
      </c>
      <c r="AG31" s="181" t="s">
        <v>5931</v>
      </c>
      <c r="AH31" s="340" t="s">
        <v>5932</v>
      </c>
      <c r="AI31" s="340" t="s">
        <v>5924</v>
      </c>
      <c r="AJ31" s="338" t="s">
        <v>1120</v>
      </c>
      <c r="AK31" s="191" t="s">
        <v>5933</v>
      </c>
      <c r="AL31" s="168" t="s">
        <v>5934</v>
      </c>
      <c r="AM31" s="192" t="s">
        <v>5924</v>
      </c>
      <c r="AN31" s="338" t="s">
        <v>1120</v>
      </c>
      <c r="AO31" s="191"/>
      <c r="AP31" s="88"/>
      <c r="AQ31" s="88"/>
      <c r="AR31" s="338"/>
    </row>
    <row r="32">
      <c r="A32" s="151" t="s">
        <v>5935</v>
      </c>
      <c r="B32" s="153" t="s">
        <v>5936</v>
      </c>
      <c r="C32" s="153" t="s">
        <v>5937</v>
      </c>
      <c r="D32" s="338" t="s">
        <v>1120</v>
      </c>
      <c r="E32" s="151" t="str">
        <f>IFERROR(__xludf.DUMMYFUNCTION("GOOGLETRANSLATE(A32,""zh-tw"",""ja"")"),"怨霊")</f>
        <v>怨霊</v>
      </c>
      <c r="F32" s="153" t="s">
        <v>5938</v>
      </c>
      <c r="G32" s="153" t="s">
        <v>5937</v>
      </c>
      <c r="H32" s="339" t="str">
        <f>IFERROR(__xludf.DUMMYFUNCTION("GOOGLETRANSLATE(D32,""zh-tw"",""ja"")"),"-")</f>
        <v>-</v>
      </c>
      <c r="I32" s="151" t="s">
        <v>5939</v>
      </c>
      <c r="J32" s="192" t="s">
        <v>5940</v>
      </c>
      <c r="K32" s="192" t="s">
        <v>5937</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5937</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2" t="s">
        <v>5937</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3" t="s">
        <v>5937</v>
      </c>
      <c r="X32" s="339"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2" s="153" t="s">
        <v>5937</v>
      </c>
      <c r="AB32" s="338" t="str">
        <f>IFERROR(__xludf.DUMMYFUNCTION("GOOGLETRANSLATE(D32,""zh-tw"",""ru"")"),"-")</f>
        <v>-</v>
      </c>
      <c r="AC32" s="191" t="s">
        <v>5941</v>
      </c>
      <c r="AD32" s="192" t="s">
        <v>5942</v>
      </c>
      <c r="AE32" s="192" t="s">
        <v>5937</v>
      </c>
      <c r="AF32" s="345" t="s">
        <v>5773</v>
      </c>
      <c r="AG32" s="181" t="s">
        <v>5943</v>
      </c>
      <c r="AH32" s="340" t="s">
        <v>5944</v>
      </c>
      <c r="AI32" s="340" t="s">
        <v>5937</v>
      </c>
      <c r="AJ32" s="338" t="s">
        <v>1120</v>
      </c>
      <c r="AK32" s="191" t="s">
        <v>5945</v>
      </c>
      <c r="AL32" s="168" t="s">
        <v>5946</v>
      </c>
      <c r="AM32" s="192" t="s">
        <v>5937</v>
      </c>
      <c r="AN32" s="338" t="s">
        <v>1120</v>
      </c>
      <c r="AO32" s="191"/>
      <c r="AP32" s="88"/>
      <c r="AQ32" s="88"/>
      <c r="AR32" s="338"/>
    </row>
    <row r="33">
      <c r="A33" s="151" t="s">
        <v>5947</v>
      </c>
      <c r="B33" s="153" t="s">
        <v>5948</v>
      </c>
      <c r="C33" s="153" t="s">
        <v>5949</v>
      </c>
      <c r="D33" s="338" t="s">
        <v>1120</v>
      </c>
      <c r="E33" s="191" t="str">
        <f>IFERROR(__xludf.DUMMYFUNCTION("GOOGLETRANSLATE(A33,""zh-tw"",""ja"")"),"ゾンビ")</f>
        <v>ゾンビ</v>
      </c>
      <c r="F33" s="192" t="s">
        <v>5950</v>
      </c>
      <c r="G33" s="153" t="s">
        <v>5949</v>
      </c>
      <c r="H33" s="339" t="str">
        <f>IFERROR(__xludf.DUMMYFUNCTION("GOOGLETRANSLATE(D33,""zh-tw"",""ja"")"),"-")</f>
        <v>-</v>
      </c>
      <c r="I33" s="191" t="s">
        <v>5951</v>
      </c>
      <c r="J33" s="192" t="s">
        <v>5952</v>
      </c>
      <c r="K33" s="192" t="s">
        <v>5949</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5949</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5949</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5949</v>
      </c>
      <c r="X33" s="339"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5949</v>
      </c>
      <c r="AB33" s="338" t="str">
        <f>IFERROR(__xludf.DUMMYFUNCTION("GOOGLETRANSLATE(D33,""zh-tw"",""ru"")"),"-")</f>
        <v>-</v>
      </c>
      <c r="AC33" s="191" t="s">
        <v>5953</v>
      </c>
      <c r="AD33" s="192" t="s">
        <v>5954</v>
      </c>
      <c r="AE33" s="192" t="s">
        <v>5949</v>
      </c>
      <c r="AF33" s="345" t="s">
        <v>5773</v>
      </c>
      <c r="AG33" s="181" t="s">
        <v>5951</v>
      </c>
      <c r="AH33" s="340" t="s">
        <v>5955</v>
      </c>
      <c r="AI33" s="340" t="s">
        <v>5949</v>
      </c>
      <c r="AJ33" s="338" t="s">
        <v>1120</v>
      </c>
      <c r="AK33" s="191" t="s">
        <v>5956</v>
      </c>
      <c r="AL33" s="168" t="s">
        <v>5957</v>
      </c>
      <c r="AM33" s="192" t="s">
        <v>5949</v>
      </c>
      <c r="AN33" s="338" t="s">
        <v>1120</v>
      </c>
      <c r="AO33" s="191"/>
      <c r="AP33" s="88"/>
      <c r="AQ33" s="88"/>
      <c r="AR33" s="338"/>
    </row>
    <row r="34">
      <c r="A34" s="151" t="s">
        <v>5958</v>
      </c>
      <c r="B34" s="153" t="s">
        <v>5959</v>
      </c>
      <c r="C34" s="153" t="s">
        <v>5960</v>
      </c>
      <c r="D34" s="338" t="s">
        <v>5961</v>
      </c>
      <c r="E34" s="191" t="s">
        <v>5962</v>
      </c>
      <c r="F34" s="192" t="str">
        <f>IFERROR(__xludf.DUMMYFUNCTION("GOOGLETRANSLATE(B34,""zh-tw"",""ja"")"),"怒りの拳
シェリスの呪われた手
カーネリアンのペンダント *")</f>
        <v>怒りの拳
シェリスの呪われた手
カーネリアンのペンダント *</v>
      </c>
      <c r="G34" s="153" t="s">
        <v>5960</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5963</v>
      </c>
      <c r="J34" s="192" t="s">
        <v>5964</v>
      </c>
      <c r="K34" s="192" t="s">
        <v>5960</v>
      </c>
      <c r="L34" s="338" t="s">
        <v>5965</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5960</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5960</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5960</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5960</v>
      </c>
      <c r="AB34" s="338"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5966</v>
      </c>
      <c r="AD34" s="192" t="s">
        <v>5967</v>
      </c>
      <c r="AE34" s="192" t="s">
        <v>5960</v>
      </c>
      <c r="AF34" s="338" t="s">
        <v>1120</v>
      </c>
      <c r="AG34" s="181" t="s">
        <v>5968</v>
      </c>
      <c r="AH34" s="340" t="s">
        <v>5969</v>
      </c>
      <c r="AI34" s="340" t="s">
        <v>5960</v>
      </c>
      <c r="AJ34" s="338" t="s">
        <v>5970</v>
      </c>
      <c r="AK34" s="191" t="s">
        <v>5971</v>
      </c>
      <c r="AL34" s="192" t="s">
        <v>5972</v>
      </c>
      <c r="AM34" s="192" t="s">
        <v>5960</v>
      </c>
      <c r="AN34" s="338" t="s">
        <v>5973</v>
      </c>
      <c r="AO34" s="191"/>
      <c r="AP34" s="88"/>
      <c r="AQ34" s="88"/>
      <c r="AR34" s="338"/>
    </row>
    <row r="35">
      <c r="A35" s="334" t="s">
        <v>5974</v>
      </c>
      <c r="E35" s="335" t="str">
        <f>IFERROR(__xludf.DUMMYFUNCTION("GOOGLETRANSLATE(A35,""zh-tw"",""ja"")"),"ボス/特殊クリーチャー")</f>
        <v>ボス/特殊クリーチャー</v>
      </c>
      <c r="I35" s="335" t="s">
        <v>5975</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tr">
        <f>IFERROR(__xludf.DUMMYFUNCTION("GOOGLETRANSLATE(A35,""zh-tw"",""ru"")"),"Босс/Особое существо")</f>
        <v>Босс/Особое существо</v>
      </c>
      <c r="AC35" s="335" t="str">
        <f>IFERROR(__xludf.DUMMYFUNCTION("GOOGLETRANSLATE(A34,""zh-tw"",""DE"")"),"Die abgetrennte Hand des gefallenen Magiers")</f>
        <v>Die abgetrennte Hand des gefallenen Magiers</v>
      </c>
      <c r="AG35" s="337" t="s">
        <v>5976</v>
      </c>
      <c r="AK35" s="335" t="s">
        <v>5975</v>
      </c>
      <c r="AO35" s="335"/>
      <c r="AP35" s="88"/>
      <c r="AQ35" s="88"/>
      <c r="AR35" s="335"/>
    </row>
    <row r="36">
      <c r="A36" s="151" t="s">
        <v>5977</v>
      </c>
      <c r="B36" s="153" t="s">
        <v>5978</v>
      </c>
      <c r="C36" s="153" t="s">
        <v>5979</v>
      </c>
      <c r="D36" s="338" t="s">
        <v>5980</v>
      </c>
      <c r="E36" s="191" t="str">
        <f>IFERROR(__xludf.DUMMYFUNCTION("GOOGLETRANSLATE(A36,""zh-tw"",""ja"")"),"狂乱の赤い獣")</f>
        <v>狂乱の赤い獣</v>
      </c>
      <c r="F36" s="192" t="s">
        <v>5981</v>
      </c>
      <c r="G36" s="153" t="s">
        <v>5979</v>
      </c>
      <c r="H36" s="339" t="s">
        <v>5982</v>
      </c>
      <c r="I36" s="191" t="s">
        <v>5983</v>
      </c>
      <c r="J36" s="192" t="s">
        <v>5984</v>
      </c>
      <c r="K36" s="192" t="s">
        <v>5979</v>
      </c>
      <c r="L36" s="338" t="s">
        <v>5985</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5979</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5979</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5986</v>
      </c>
      <c r="W36" s="153" t="s">
        <v>5979</v>
      </c>
      <c r="X36" s="339" t="s">
        <v>5987</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5979</v>
      </c>
      <c r="AB36" s="338" t="str">
        <f>IFERROR(__xludf.DUMMYFUNCTION("GOOGLETRANSLATE(D36,""zh-tw"",""ru"")"),"Босс Руин
Слабость: Яд")</f>
        <v>Босс Руин
Слабость: Яд</v>
      </c>
      <c r="AC36" s="191" t="s">
        <v>5988</v>
      </c>
      <c r="AD36" s="192" t="s">
        <v>5989</v>
      </c>
      <c r="AE36" s="192" t="s">
        <v>5979</v>
      </c>
      <c r="AF36" s="338" t="s">
        <v>5990</v>
      </c>
      <c r="AG36" s="181" t="s">
        <v>5991</v>
      </c>
      <c r="AH36" s="340" t="s">
        <v>5992</v>
      </c>
      <c r="AI36" s="340" t="s">
        <v>5979</v>
      </c>
      <c r="AJ36" s="338" t="s">
        <v>5993</v>
      </c>
      <c r="AK36" s="191" t="s">
        <v>5994</v>
      </c>
      <c r="AL36" s="168" t="s">
        <v>5995</v>
      </c>
      <c r="AM36" s="192" t="s">
        <v>5979</v>
      </c>
      <c r="AN36" s="338" t="s">
        <v>5996</v>
      </c>
      <c r="AO36" s="191"/>
      <c r="AP36" s="88"/>
      <c r="AQ36" s="88"/>
      <c r="AR36" s="338"/>
    </row>
    <row r="37">
      <c r="A37" s="151" t="s">
        <v>5997</v>
      </c>
      <c r="B37" s="153" t="s">
        <v>5998</v>
      </c>
      <c r="C37" s="153" t="s">
        <v>5999</v>
      </c>
      <c r="D37" s="339" t="s">
        <v>6000</v>
      </c>
      <c r="E37" s="151" t="s">
        <v>6001</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5999</v>
      </c>
      <c r="H37" s="339" t="s">
        <v>6000</v>
      </c>
      <c r="I37" s="191" t="s">
        <v>6002</v>
      </c>
      <c r="J37" s="192" t="s">
        <v>6003</v>
      </c>
      <c r="K37" s="192" t="s">
        <v>5999</v>
      </c>
      <c r="L37" s="338" t="s">
        <v>6000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5999</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5999</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5999</v>
      </c>
      <c r="X37" s="339" t="s">
        <v>6000</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5999</v>
      </c>
      <c r="AB37" s="338" t="s">
        <v>6000</v>
      </c>
      <c r="AC37" s="191" t="s">
        <v>6004</v>
      </c>
      <c r="AD37" s="192" t="s">
        <v>6005</v>
      </c>
      <c r="AE37" s="192" t="s">
        <v>5999</v>
      </c>
      <c r="AF37" s="338" t="s">
        <v>6006</v>
      </c>
      <c r="AG37" s="181" t="s">
        <v>6007</v>
      </c>
      <c r="AH37" s="340" t="s">
        <v>6008</v>
      </c>
      <c r="AI37" s="340" t="s">
        <v>5999</v>
      </c>
      <c r="AJ37" s="338" t="s">
        <v>6000</v>
      </c>
      <c r="AK37" s="191" t="s">
        <v>6009</v>
      </c>
      <c r="AL37" s="192" t="s">
        <v>6010</v>
      </c>
      <c r="AM37" s="192" t="s">
        <v>5999</v>
      </c>
      <c r="AN37" s="338" t="s">
        <v>6011</v>
      </c>
      <c r="AO37" s="191"/>
      <c r="AP37" s="88"/>
      <c r="AQ37" s="88"/>
      <c r="AR37" s="338"/>
    </row>
    <row r="38">
      <c r="A38" s="151" t="s">
        <v>3920</v>
      </c>
      <c r="B38" s="153" t="s">
        <v>6012</v>
      </c>
      <c r="C38" s="153">
        <v>100.0</v>
      </c>
      <c r="D38" s="338" t="s">
        <v>6013</v>
      </c>
      <c r="E38" s="151" t="str">
        <f>IFERROR(__xludf.DUMMYFUNCTION("GOOGLETRANSLATE(A38,""zh-tw"",""ja"")"),"かかし")</f>
        <v>かかし</v>
      </c>
      <c r="F38" s="153" t="s">
        <v>6014</v>
      </c>
      <c r="G38" s="153">
        <v>100.0</v>
      </c>
      <c r="H38" s="339" t="s">
        <v>6015</v>
      </c>
      <c r="I38" s="151" t="s">
        <v>3926</v>
      </c>
      <c r="J38" s="192" t="s">
        <v>6016</v>
      </c>
      <c r="K38" s="192">
        <v>100.0</v>
      </c>
      <c r="L38" s="338" t="s">
        <v>6017</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6018</v>
      </c>
      <c r="W38" s="153">
        <v>100.0</v>
      </c>
      <c r="X38" s="339" t="s">
        <v>6019</v>
      </c>
      <c r="Y38" s="151" t="str">
        <f>IFERROR(__xludf.DUMMYFUNCTION("GOOGLETRANSLATE(A38,""zh-tw"",""ru"")"),"пугало")</f>
        <v>пугало</v>
      </c>
      <c r="Z38" s="153" t="str">
        <f>IFERROR(__xludf.DUMMYFUNCTION("GOOGLETRANSLATE(B38,""zh-tw"",""ru"")"),"Сердце Пугала")</f>
        <v>Сердце Пугала</v>
      </c>
      <c r="AA38" s="153">
        <v>100.0</v>
      </c>
      <c r="AB38" s="338" t="str">
        <f>IFERROR(__xludf.DUMMYFUNCTION("GOOGLETRANSLATE(D38,""zh-tw"",""ru"")"),"Тест на повреждения")</f>
        <v>Тест на повреждения</v>
      </c>
      <c r="AC38" s="191" t="s">
        <v>3932</v>
      </c>
      <c r="AD38" s="192" t="s">
        <v>6020</v>
      </c>
      <c r="AE38" s="192">
        <v>100.0</v>
      </c>
      <c r="AF38" s="338" t="s">
        <v>6021</v>
      </c>
      <c r="AG38" s="181" t="s">
        <v>3935</v>
      </c>
      <c r="AH38" s="340" t="s">
        <v>6022</v>
      </c>
      <c r="AI38" s="340">
        <v>100.0</v>
      </c>
      <c r="AJ38" s="338" t="s">
        <v>6023</v>
      </c>
      <c r="AK38" s="191" t="s">
        <v>3938</v>
      </c>
      <c r="AL38" s="192" t="s">
        <v>6024</v>
      </c>
      <c r="AM38" s="192">
        <v>100.0</v>
      </c>
      <c r="AN38" s="338" t="s">
        <v>6025</v>
      </c>
      <c r="AO38" s="191"/>
      <c r="AP38" s="88"/>
      <c r="AQ38" s="88"/>
      <c r="AR38" s="338"/>
    </row>
    <row r="39">
      <c r="A39" s="151" t="s">
        <v>6026</v>
      </c>
      <c r="B39" s="153" t="s">
        <v>6027</v>
      </c>
      <c r="C39" s="153">
        <v>100.0</v>
      </c>
      <c r="D39" s="338" t="s">
        <v>6028</v>
      </c>
      <c r="E39" s="151" t="s">
        <v>6026</v>
      </c>
      <c r="F39" s="153" t="s">
        <v>6029</v>
      </c>
      <c r="G39" s="153">
        <v>100.0</v>
      </c>
      <c r="H39" s="339" t="s">
        <v>6030</v>
      </c>
      <c r="I39" s="151" t="s">
        <v>6026</v>
      </c>
      <c r="J39" s="192" t="s">
        <v>6031</v>
      </c>
      <c r="K39" s="192">
        <v>100.0</v>
      </c>
      <c r="L39" s="338" t="s">
        <v>6032</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6033</v>
      </c>
      <c r="Z39" s="168" t="s">
        <v>6034</v>
      </c>
      <c r="AA39" s="153">
        <v>100.0</v>
      </c>
      <c r="AB39" s="338" t="str">
        <f>IFERROR(__xludf.DUMMYFUNCTION("GOOGLETRANSLATE(D39,""zh-tw"",""ru"")"),"Доро Асаба будет есть клубнику, растущую вдоль дороги.")</f>
        <v>Доро Асаба будет есть клубнику, растущую вдоль дороги.</v>
      </c>
      <c r="AC39" s="191" t="s">
        <v>6026</v>
      </c>
      <c r="AD39" s="192" t="s">
        <v>6035</v>
      </c>
      <c r="AE39" s="192">
        <v>100.0</v>
      </c>
      <c r="AF39" s="338" t="s">
        <v>6036</v>
      </c>
      <c r="AG39" s="181" t="s">
        <v>6037</v>
      </c>
      <c r="AH39" s="340" t="s">
        <v>6038</v>
      </c>
      <c r="AI39" s="340">
        <v>100.0</v>
      </c>
      <c r="AJ39" s="338" t="s">
        <v>6039</v>
      </c>
      <c r="AK39" s="191" t="s">
        <v>6026</v>
      </c>
      <c r="AL39" s="192" t="s">
        <v>6040</v>
      </c>
      <c r="AM39" s="192">
        <v>100.0</v>
      </c>
      <c r="AN39" s="338" t="s">
        <v>6041</v>
      </c>
      <c r="AO39" s="191"/>
      <c r="AP39" s="88"/>
      <c r="AQ39" s="88"/>
      <c r="AR39" s="338"/>
    </row>
    <row r="40">
      <c r="A40" s="151" t="s">
        <v>6042</v>
      </c>
      <c r="B40" s="153" t="s">
        <v>6043</v>
      </c>
      <c r="C40" s="153" t="s">
        <v>6044</v>
      </c>
      <c r="D40" s="339" t="s">
        <v>6045</v>
      </c>
      <c r="E40" s="151" t="s">
        <v>6046</v>
      </c>
      <c r="F40" s="192" t="s">
        <v>6047</v>
      </c>
      <c r="G40" s="153" t="s">
        <v>6044</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6048</v>
      </c>
      <c r="J40" s="192" t="s">
        <v>6049</v>
      </c>
      <c r="K40" s="192" t="s">
        <v>6044</v>
      </c>
      <c r="L40" s="338" t="s">
        <v>6050</v>
      </c>
      <c r="M40" s="191" t="str">
        <f>IFERROR(__xludf.DUMMYFUNCTION("GOOGLETRANSLATE(A40,""zh-tw"",""zh"")"),"狂暴的ASABA")</f>
        <v>狂暴的ASABA</v>
      </c>
      <c r="N40" s="192" t="str">
        <f>IFERROR(__xludf.DUMMYFUNCTION("GOOGLETRANSLATE(B40,""zh-tw"",""zh"")"),"ASAB的草莓
把草莓夺回来！ ! *")</f>
        <v>ASAB的草莓
把草莓夺回来！ ! *</v>
      </c>
      <c r="O40" s="192" t="s">
        <v>6044</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6044</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6044</v>
      </c>
      <c r="X40" s="339" t="s">
        <v>6000</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6044</v>
      </c>
      <c r="AB40" s="338" t="s">
        <v>6000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6044</v>
      </c>
      <c r="AF40" s="338" t="s">
        <v>6000</v>
      </c>
      <c r="AG40" s="181" t="s">
        <v>6037</v>
      </c>
      <c r="AH40" s="340" t="s">
        <v>6051</v>
      </c>
      <c r="AI40" s="340" t="s">
        <v>6044</v>
      </c>
      <c r="AJ40" s="338" t="s">
        <v>6000</v>
      </c>
      <c r="AK40" s="191" t="s">
        <v>6052</v>
      </c>
      <c r="AL40" s="192" t="s">
        <v>6053</v>
      </c>
      <c r="AM40" s="192" t="s">
        <v>6044</v>
      </c>
      <c r="AN40" s="338" t="s">
        <v>6054</v>
      </c>
      <c r="AO40" s="191"/>
      <c r="AP40" s="88"/>
      <c r="AQ40" s="88"/>
      <c r="AR40" s="338"/>
    </row>
    <row r="41">
      <c r="A41" s="151" t="s">
        <v>6055</v>
      </c>
      <c r="B41" s="153" t="s">
        <v>6056</v>
      </c>
      <c r="C41" s="153">
        <v>100.0</v>
      </c>
      <c r="D41" s="339" t="s">
        <v>6057</v>
      </c>
      <c r="E41" s="151" t="str">
        <f>IFERROR(__xludf.DUMMYFUNCTION("GOOGLETRANSLATE(A41,""zh-tw"",""ja"")"),"浅羽")</f>
        <v>浅羽</v>
      </c>
      <c r="F41" s="192" t="s">
        <v>6058</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6059</v>
      </c>
      <c r="J41" s="192" t="s">
        <v>6060</v>
      </c>
      <c r="K41" s="192">
        <v>100.0</v>
      </c>
      <c r="L41" s="338" t="s">
        <v>6061</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6062</v>
      </c>
      <c r="W41" s="153">
        <v>100.0</v>
      </c>
      <c r="X41" s="339" t="s">
        <v>6063</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38"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6059</v>
      </c>
      <c r="AD41" s="192" t="s">
        <v>6064</v>
      </c>
      <c r="AE41" s="192">
        <v>100.0</v>
      </c>
      <c r="AF41" s="338" t="s">
        <v>6065</v>
      </c>
      <c r="AG41" s="181" t="s">
        <v>6059</v>
      </c>
      <c r="AH41" s="340" t="s">
        <v>6066</v>
      </c>
      <c r="AI41" s="340">
        <v>100.0</v>
      </c>
      <c r="AJ41" s="338" t="s">
        <v>6067</v>
      </c>
      <c r="AK41" s="191" t="s">
        <v>6059</v>
      </c>
      <c r="AL41" s="192" t="s">
        <v>6068</v>
      </c>
      <c r="AM41" s="192">
        <v>100.0</v>
      </c>
      <c r="AN41" s="345" t="s">
        <v>6069</v>
      </c>
      <c r="AO41" s="191"/>
      <c r="AP41" s="88"/>
      <c r="AQ41" s="88"/>
      <c r="AR41" s="338"/>
    </row>
    <row r="42">
      <c r="A42" s="151" t="s">
        <v>6070</v>
      </c>
      <c r="B42" s="153" t="s">
        <v>6071</v>
      </c>
      <c r="C42" s="153" t="s">
        <v>6072</v>
      </c>
      <c r="D42" s="339" t="s">
        <v>6073</v>
      </c>
      <c r="E42" s="151" t="s">
        <v>6074</v>
      </c>
      <c r="F42" s="192" t="s">
        <v>6075</v>
      </c>
      <c r="G42" s="153" t="s">
        <v>6072</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6076</v>
      </c>
      <c r="J42" s="192" t="s">
        <v>6077</v>
      </c>
      <c r="K42" s="192" t="s">
        <v>6072</v>
      </c>
      <c r="L42" s="338" t="s">
        <v>6078</v>
      </c>
      <c r="M42" s="191" t="str">
        <f>IFERROR(__xludf.DUMMYFUNCTION("GOOGLETRANSLATE(A42,""zh-tw"",""zh"")"),"应该已经灭绝的河之主!?")</f>
        <v>应该已经灭绝的河之主!?</v>
      </c>
      <c r="N42" s="192" t="str">
        <f>IFERROR(__xludf.DUMMYFUNCTION("GOOGLETRANSLATE(B42,""zh-tw"",""zh"")"),"◉▽◉(粉色)
王权之令")</f>
        <v>◉▽◉(粉色)
王权之令</v>
      </c>
      <c r="O42" s="192" t="s">
        <v>6072</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6072</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6072</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6072</v>
      </c>
      <c r="AB42" s="338"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6079</v>
      </c>
      <c r="AD42" s="192" t="s">
        <v>6080</v>
      </c>
      <c r="AE42" s="192" t="s">
        <v>6072</v>
      </c>
      <c r="AF42" s="338" t="s">
        <v>6081</v>
      </c>
      <c r="AG42" s="181" t="s">
        <v>6082</v>
      </c>
      <c r="AH42" s="340" t="s">
        <v>6083</v>
      </c>
      <c r="AI42" s="340" t="s">
        <v>6072</v>
      </c>
      <c r="AJ42" s="338" t="s">
        <v>6084</v>
      </c>
      <c r="AK42" s="166" t="s">
        <v>6085</v>
      </c>
      <c r="AL42" s="192" t="s">
        <v>6086</v>
      </c>
      <c r="AM42" s="192" t="s">
        <v>6072</v>
      </c>
      <c r="AN42" s="338" t="s">
        <v>6087</v>
      </c>
      <c r="AO42" s="191"/>
      <c r="AP42" s="88"/>
      <c r="AQ42" s="88"/>
      <c r="AR42" s="338"/>
    </row>
    <row r="43">
      <c r="A43" s="335" t="s">
        <v>6088</v>
      </c>
      <c r="E43" s="334" t="str">
        <f>IFERROR(__xludf.DUMMYFUNCTION("GOOGLETRANSLATE(A43,""zh-tw"",""ja"")"),"シーンオブジェクト")</f>
        <v>シーンオブジェクト</v>
      </c>
      <c r="I43" s="334" t="s">
        <v>6089</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tr">
        <f>IFERROR(__xludf.DUMMYFUNCTION("GOOGLETRANSLATE(A43,""zh-tw"",""ru"")"),"Объекты сцены")</f>
        <v>Объекты сцены</v>
      </c>
      <c r="AC43" s="335" t="str">
        <f>IFERROR(__xludf.DUMMYFUNCTION("GOOGLETRANSLATE(A42,""zh-tw"",""DE"")"),"Der Flussherr, der eigentlich schon ausgestorben sein sollte!?")</f>
        <v>Der Flussherr, der eigentlich schon ausgestorben sein sollte!?</v>
      </c>
      <c r="AG43" s="337" t="s">
        <v>6090</v>
      </c>
      <c r="AK43" s="335" t="s">
        <v>6089</v>
      </c>
      <c r="AO43" s="335"/>
      <c r="AP43" s="335"/>
      <c r="AQ43" s="335"/>
      <c r="AR43" s="335"/>
    </row>
    <row r="44">
      <c r="A44" s="151" t="s">
        <v>6091</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6092</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39"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38"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6093</v>
      </c>
      <c r="AH44" s="340"/>
      <c r="AI44" s="340" t="s">
        <v>1120</v>
      </c>
      <c r="AJ44" s="338" t="s">
        <v>1120</v>
      </c>
      <c r="AK44" s="191" t="s">
        <v>6094</v>
      </c>
      <c r="AL44" s="192" t="s">
        <v>1120</v>
      </c>
      <c r="AM44" s="192" t="s">
        <v>1120</v>
      </c>
      <c r="AN44" s="338" t="s">
        <v>1120</v>
      </c>
      <c r="AO44" s="191"/>
      <c r="AP44" s="88"/>
      <c r="AQ44" s="88"/>
      <c r="AR44" s="338"/>
    </row>
    <row r="45">
      <c r="A45" s="151" t="s">
        <v>6095</v>
      </c>
      <c r="B45" s="153" t="s">
        <v>6096</v>
      </c>
      <c r="C45" s="153">
        <v>100.0</v>
      </c>
      <c r="D45" s="339" t="s">
        <v>1120</v>
      </c>
      <c r="E45" s="151" t="s">
        <v>6097</v>
      </c>
      <c r="F45" s="153" t="str">
        <f>IFERROR(__xludf.DUMMYFUNCTION("GOOGLETRANSLATE(B45,""zh-tw"",""ja"")"),"騎士の剣")</f>
        <v>騎士の剣</v>
      </c>
      <c r="G45" s="153">
        <v>100.0</v>
      </c>
      <c r="H45" s="339" t="str">
        <f>IFERROR(__xludf.DUMMYFUNCTION("GOOGLETRANSLATE(D45,""zh-tw"",""ja"")"),"-")</f>
        <v>-</v>
      </c>
      <c r="I45" s="151" t="s">
        <v>6098</v>
      </c>
      <c r="J45" s="192" t="s">
        <v>6099</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6100</v>
      </c>
      <c r="V45" s="153" t="s">
        <v>6101</v>
      </c>
      <c r="W45" s="153">
        <v>100.0</v>
      </c>
      <c r="X45" s="339"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38" t="str">
        <f>IFERROR(__xludf.DUMMYFUNCTION("GOOGLETRANSLATE(D45,""zh-tw"",""ru"")"),"-")</f>
        <v>-</v>
      </c>
      <c r="AC45" s="191" t="s">
        <v>6102</v>
      </c>
      <c r="AD45" s="192" t="s">
        <v>6103</v>
      </c>
      <c r="AE45" s="192">
        <v>100.0</v>
      </c>
      <c r="AF45" s="345" t="s">
        <v>6104</v>
      </c>
      <c r="AG45" s="181" t="s">
        <v>6105</v>
      </c>
      <c r="AH45" s="340" t="s">
        <v>6106</v>
      </c>
      <c r="AI45" s="340">
        <v>100.0</v>
      </c>
      <c r="AJ45" s="338" t="s">
        <v>1120</v>
      </c>
      <c r="AK45" s="191" t="s">
        <v>6107</v>
      </c>
      <c r="AL45" s="192" t="s">
        <v>6108</v>
      </c>
      <c r="AM45" s="192">
        <v>100.0</v>
      </c>
      <c r="AN45" s="338" t="s">
        <v>1120</v>
      </c>
      <c r="AO45" s="191"/>
      <c r="AP45" s="88"/>
      <c r="AQ45" s="88"/>
      <c r="AR45" s="338"/>
    </row>
    <row r="46">
      <c r="A46" s="191" t="s">
        <v>6109</v>
      </c>
      <c r="B46" s="192" t="s">
        <v>6110</v>
      </c>
      <c r="C46" s="153" t="s">
        <v>6111</v>
      </c>
      <c r="D46" s="338" t="s">
        <v>6112</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6111</v>
      </c>
      <c r="H46" s="339"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6113</v>
      </c>
      <c r="J46" s="192" t="s">
        <v>6114</v>
      </c>
      <c r="K46" s="192" t="s">
        <v>6111</v>
      </c>
      <c r="L46" s="338" t="s">
        <v>6115</v>
      </c>
      <c r="M46" s="191" t="str">
        <f>IFERROR(__xludf.DUMMYFUNCTION("GOOGLETRANSLATE(A46,""zh-tw"",""zh"")"),"很大的蛋")</f>
        <v>很大的蛋</v>
      </c>
      <c r="N46" s="192" t="str">
        <f>IFERROR(__xludf.DUMMYFUNCTION("GOOGLETRANSLATE(B46,""zh-tw"",""zh"")"),"很大的蛋
小红怪*")</f>
        <v>很大的蛋
小红怪*</v>
      </c>
      <c r="O46" s="153" t="s">
        <v>6111</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6111</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6116</v>
      </c>
      <c r="V46" s="192" t="s">
        <v>6116</v>
      </c>
      <c r="W46" s="192" t="s">
        <v>6111</v>
      </c>
      <c r="X46" s="339" t="s">
        <v>6117</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6111</v>
      </c>
      <c r="AB46" s="338"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6118</v>
      </c>
      <c r="AD46" s="192" t="s">
        <v>6119</v>
      </c>
      <c r="AE46" s="192" t="s">
        <v>6111</v>
      </c>
      <c r="AF46" s="338" t="s">
        <v>6120</v>
      </c>
      <c r="AG46" s="181" t="s">
        <v>6121</v>
      </c>
      <c r="AH46" s="340" t="s">
        <v>6122</v>
      </c>
      <c r="AI46" s="340" t="s">
        <v>6111</v>
      </c>
      <c r="AJ46" s="338" t="s">
        <v>6123</v>
      </c>
      <c r="AK46" s="191" t="s">
        <v>6124</v>
      </c>
      <c r="AL46" s="192" t="s">
        <v>6125</v>
      </c>
      <c r="AM46" s="192" t="s">
        <v>6111</v>
      </c>
      <c r="AN46" s="338" t="s">
        <v>6126</v>
      </c>
      <c r="AO46" s="191"/>
      <c r="AP46" s="88"/>
      <c r="AQ46" s="88"/>
      <c r="AR46" s="338"/>
    </row>
    <row r="47">
      <c r="A47" s="151" t="s">
        <v>6127</v>
      </c>
      <c r="B47" s="153" t="s">
        <v>6128</v>
      </c>
      <c r="C47" s="153" t="s">
        <v>6129</v>
      </c>
      <c r="D47" s="339" t="s">
        <v>6130</v>
      </c>
      <c r="E47" s="151" t="s">
        <v>6131</v>
      </c>
      <c r="F47" s="192" t="s">
        <v>6132</v>
      </c>
      <c r="G47" s="153" t="s">
        <v>6129</v>
      </c>
      <c r="H47" s="339" t="s">
        <v>6133</v>
      </c>
      <c r="I47" s="151" t="s">
        <v>6134</v>
      </c>
      <c r="J47" s="192" t="s">
        <v>6135</v>
      </c>
      <c r="K47" s="192" t="s">
        <v>6129</v>
      </c>
      <c r="L47" s="338" t="s">
        <v>6136</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6129</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6129</v>
      </c>
      <c r="T47" s="338" t="str">
        <f>IFERROR(__xludf.DUMMYFUNCTION("GOOGLETRANSLATE(D47,""zh-tw"",""es-MX"")"),"Golpea los hongos en el suelo en las ruinas.")</f>
        <v>Golpea los hongos en el suelo en las ruinas.</v>
      </c>
      <c r="U47" s="191" t="s">
        <v>6137</v>
      </c>
      <c r="V47" s="153" t="s">
        <v>6138</v>
      </c>
      <c r="W47" s="153" t="s">
        <v>6129</v>
      </c>
      <c r="X47" s="339" t="s">
        <v>6139</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6129</v>
      </c>
      <c r="AB47" s="338" t="str">
        <f>IFERROR(__xludf.DUMMYFUNCTION("GOOGLETRANSLATE(D47,""zh-tw"",""ru"")"),"Накопайте грибы на земле в руинах.")</f>
        <v>Накопайте грибы на земле в руинах.</v>
      </c>
      <c r="AC47" s="191" t="s">
        <v>6140</v>
      </c>
      <c r="AD47" s="192" t="s">
        <v>6141</v>
      </c>
      <c r="AE47" s="192" t="s">
        <v>6129</v>
      </c>
      <c r="AF47" s="338" t="s">
        <v>6142</v>
      </c>
      <c r="AG47" s="181" t="s">
        <v>6143</v>
      </c>
      <c r="AH47" s="340" t="s">
        <v>6144</v>
      </c>
      <c r="AI47" s="340" t="s">
        <v>6129</v>
      </c>
      <c r="AJ47" s="338" t="s">
        <v>6145</v>
      </c>
      <c r="AK47" s="191" t="s">
        <v>6146</v>
      </c>
      <c r="AL47" s="192" t="s">
        <v>6147</v>
      </c>
      <c r="AM47" s="192" t="s">
        <v>6129</v>
      </c>
      <c r="AN47" s="338" t="s">
        <v>6148</v>
      </c>
      <c r="AO47" s="191"/>
      <c r="AP47" s="88"/>
      <c r="AQ47" s="88"/>
      <c r="AR47" s="338"/>
    </row>
    <row r="48">
      <c r="A48" s="151" t="s">
        <v>6149</v>
      </c>
      <c r="B48" s="153" t="s">
        <v>6150</v>
      </c>
      <c r="C48" s="153" t="s">
        <v>6151</v>
      </c>
      <c r="D48" s="339" t="s">
        <v>6152</v>
      </c>
      <c r="E48" s="151" t="s">
        <v>6153</v>
      </c>
      <c r="F48" s="153" t="s">
        <v>6154</v>
      </c>
      <c r="G48" s="153" t="s">
        <v>6151</v>
      </c>
      <c r="H48" s="339" t="s">
        <v>6155</v>
      </c>
      <c r="I48" s="151" t="s">
        <v>6156</v>
      </c>
      <c r="J48" s="192" t="s">
        <v>6157</v>
      </c>
      <c r="K48" s="192" t="s">
        <v>6151</v>
      </c>
      <c r="L48" s="338" t="s">
        <v>6158</v>
      </c>
      <c r="M48" s="191" t="str">
        <f>IFERROR(__xludf.DUMMYFUNCTION("GOOGLETRANSLATE(A48,""zh-tw"",""zh"")"),"红花")</f>
        <v>红花</v>
      </c>
      <c r="N48" s="192" t="str">
        <f>IFERROR(__xludf.DUMMYFUNCTION("GOOGLETRANSLATE(B48,""zh-tw"",""zh"")"),"火鸟的羽毛
500元
1000元")</f>
        <v>火鸟的羽毛
500元
1000元</v>
      </c>
      <c r="O48" s="192" t="s">
        <v>6151</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6151</v>
      </c>
      <c r="T48" s="338" t="str">
        <f>IFERROR(__xludf.DUMMYFUNCTION("GOOGLETRANSLATE(D48,""zh-tw"",""es-MX"")"),"Flores rojas en el suelo de las ruinas.")</f>
        <v>Flores rojas en el suelo de las ruinas.</v>
      </c>
      <c r="U48" s="191" t="s">
        <v>6159</v>
      </c>
      <c r="V48" s="153" t="s">
        <v>6160</v>
      </c>
      <c r="W48" s="153" t="s">
        <v>6151</v>
      </c>
      <c r="X48" s="339" t="s">
        <v>6161</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6151</v>
      </c>
      <c r="AB48" s="338" t="str">
        <f>IFERROR(__xludf.DUMMYFUNCTION("GOOGLETRANSLATE(D48,""zh-tw"",""ru"")"),"Красные цветы на земле у руин")</f>
        <v>Красные цветы на земле у руин</v>
      </c>
      <c r="AC48" s="191" t="s">
        <v>6162</v>
      </c>
      <c r="AD48" s="192" t="s">
        <v>6163</v>
      </c>
      <c r="AE48" s="192" t="s">
        <v>6151</v>
      </c>
      <c r="AF48" s="338" t="s">
        <v>6164</v>
      </c>
      <c r="AG48" s="181" t="s">
        <v>6165</v>
      </c>
      <c r="AH48" s="340" t="s">
        <v>6166</v>
      </c>
      <c r="AI48" s="340" t="s">
        <v>6151</v>
      </c>
      <c r="AJ48" s="338" t="s">
        <v>6167</v>
      </c>
      <c r="AK48" s="191" t="s">
        <v>6156</v>
      </c>
      <c r="AL48" s="192" t="s">
        <v>6168</v>
      </c>
      <c r="AM48" s="192" t="s">
        <v>6151</v>
      </c>
      <c r="AN48" s="338" t="s">
        <v>6169</v>
      </c>
      <c r="AO48" s="191"/>
      <c r="AP48" s="88"/>
      <c r="AQ48" s="88"/>
      <c r="AR48" s="338"/>
    </row>
    <row r="49">
      <c r="A49" s="151" t="s">
        <v>6170</v>
      </c>
      <c r="B49" s="168" t="s">
        <v>6171</v>
      </c>
      <c r="C49" s="153" t="s">
        <v>6172</v>
      </c>
      <c r="D49" s="339" t="s">
        <v>1120</v>
      </c>
      <c r="E49" s="151" t="s">
        <v>6173</v>
      </c>
      <c r="F49" s="153" t="s">
        <v>6174</v>
      </c>
      <c r="G49" s="153" t="s">
        <v>6172</v>
      </c>
      <c r="H49" s="339" t="str">
        <f>IFERROR(__xludf.DUMMYFUNCTION("GOOGLETRANSLATE(D49,""zh-tw"",""ja"")"),"-")</f>
        <v>-</v>
      </c>
      <c r="I49" s="151" t="s">
        <v>6175</v>
      </c>
      <c r="J49" s="168" t="s">
        <v>6176</v>
      </c>
      <c r="K49" s="192" t="s">
        <v>6172</v>
      </c>
      <c r="L49" s="338"/>
      <c r="M49" s="191" t="s">
        <v>6170</v>
      </c>
      <c r="N49" s="192" t="s">
        <v>6177</v>
      </c>
      <c r="O49" s="192" t="s">
        <v>6172</v>
      </c>
      <c r="P49" s="338"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6172</v>
      </c>
      <c r="T49" s="338"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6172</v>
      </c>
      <c r="X49" s="339"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6172</v>
      </c>
      <c r="AB49" s="338" t="s">
        <v>1120</v>
      </c>
      <c r="AC49" s="191" t="s">
        <v>6178</v>
      </c>
      <c r="AD49" s="192" t="s">
        <v>6179</v>
      </c>
      <c r="AE49" s="192" t="s">
        <v>6172</v>
      </c>
      <c r="AF49" s="345" t="s">
        <v>6104</v>
      </c>
      <c r="AG49" s="181" t="s">
        <v>6180</v>
      </c>
      <c r="AH49" s="49" t="s">
        <v>6181</v>
      </c>
      <c r="AI49" s="340" t="s">
        <v>6172</v>
      </c>
      <c r="AJ49" s="338" t="s">
        <v>1120</v>
      </c>
      <c r="AK49" s="191" t="s">
        <v>6182</v>
      </c>
      <c r="AL49" s="168" t="s">
        <v>6183</v>
      </c>
      <c r="AM49" s="192" t="s">
        <v>6172</v>
      </c>
      <c r="AN49" s="338" t="s">
        <v>1120</v>
      </c>
      <c r="AO49" s="191"/>
      <c r="AP49" s="88"/>
      <c r="AQ49" s="88"/>
      <c r="AR49" s="338"/>
    </row>
    <row r="50">
      <c r="A50" s="151" t="s">
        <v>6184</v>
      </c>
      <c r="B50" s="168" t="s">
        <v>6171</v>
      </c>
      <c r="C50" s="153" t="s">
        <v>6172</v>
      </c>
      <c r="D50" s="339" t="s">
        <v>1120</v>
      </c>
      <c r="E50" s="151" t="s">
        <v>6185</v>
      </c>
      <c r="F50" s="153" t="s">
        <v>6174</v>
      </c>
      <c r="G50" s="153" t="s">
        <v>6172</v>
      </c>
      <c r="H50" s="339" t="str">
        <f>IFERROR(__xludf.DUMMYFUNCTION("GOOGLETRANSLATE(D50,""zh-tw"",""ja"")"),"-")</f>
        <v>-</v>
      </c>
      <c r="I50" s="151" t="s">
        <v>6186</v>
      </c>
      <c r="J50" s="168" t="s">
        <v>6176</v>
      </c>
      <c r="K50" s="192" t="s">
        <v>6172</v>
      </c>
      <c r="L50" s="338"/>
      <c r="M50" s="191" t="s">
        <v>6187</v>
      </c>
      <c r="N50" s="192" t="s">
        <v>6177</v>
      </c>
      <c r="O50" s="192" t="s">
        <v>6172</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6172</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6172</v>
      </c>
      <c r="X50" s="339"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6172</v>
      </c>
      <c r="AB50" s="338" t="s">
        <v>1120</v>
      </c>
      <c r="AC50" s="191" t="s">
        <v>6188</v>
      </c>
      <c r="AD50" s="192" t="s">
        <v>6179</v>
      </c>
      <c r="AE50" s="192" t="s">
        <v>6172</v>
      </c>
      <c r="AF50" s="345" t="s">
        <v>6104</v>
      </c>
      <c r="AG50" s="181" t="s">
        <v>6189</v>
      </c>
      <c r="AH50" s="49" t="s">
        <v>6181</v>
      </c>
      <c r="AI50" s="340" t="s">
        <v>6172</v>
      </c>
      <c r="AJ50" s="338" t="s">
        <v>1120</v>
      </c>
      <c r="AK50" s="191" t="s">
        <v>6186</v>
      </c>
      <c r="AL50" s="168" t="s">
        <v>6183</v>
      </c>
      <c r="AM50" s="192" t="s">
        <v>6172</v>
      </c>
      <c r="AN50" s="338" t="s">
        <v>1120</v>
      </c>
      <c r="AO50" s="191"/>
      <c r="AP50" s="88"/>
      <c r="AQ50" s="88"/>
      <c r="AR50" s="338"/>
    </row>
    <row r="51">
      <c r="A51" s="191" t="s">
        <v>6190</v>
      </c>
      <c r="B51" s="168" t="s">
        <v>6171</v>
      </c>
      <c r="C51" s="192" t="s">
        <v>6172</v>
      </c>
      <c r="D51" s="338" t="s">
        <v>1120</v>
      </c>
      <c r="E51" s="191" t="s">
        <v>6190</v>
      </c>
      <c r="F51" s="192" t="s">
        <v>6174</v>
      </c>
      <c r="G51" s="192" t="s">
        <v>6172</v>
      </c>
      <c r="H51" s="338" t="str">
        <f>IFERROR(__xludf.DUMMYFUNCTION("GOOGLETRANSLATE(D51,""zh-tw"",""ja"")"),"-")</f>
        <v>-</v>
      </c>
      <c r="I51" s="191" t="s">
        <v>6191</v>
      </c>
      <c r="J51" s="168" t="s">
        <v>6176</v>
      </c>
      <c r="K51" s="192" t="s">
        <v>6172</v>
      </c>
      <c r="L51" s="338"/>
      <c r="M51" s="191" t="s">
        <v>6190</v>
      </c>
      <c r="N51" s="192" t="s">
        <v>6177</v>
      </c>
      <c r="O51" s="192" t="s">
        <v>6172</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6172</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6172</v>
      </c>
      <c r="X51" s="338"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6172</v>
      </c>
      <c r="AB51" s="338" t="s">
        <v>1120</v>
      </c>
      <c r="AC51" s="191" t="s">
        <v>6192</v>
      </c>
      <c r="AD51" s="192" t="s">
        <v>6179</v>
      </c>
      <c r="AE51" s="192" t="s">
        <v>6172</v>
      </c>
      <c r="AF51" s="345" t="s">
        <v>6104</v>
      </c>
      <c r="AG51" s="181" t="s">
        <v>6193</v>
      </c>
      <c r="AH51" s="49" t="s">
        <v>6181</v>
      </c>
      <c r="AI51" s="340" t="s">
        <v>6172</v>
      </c>
      <c r="AJ51" s="338" t="s">
        <v>1120</v>
      </c>
      <c r="AK51" s="191" t="s">
        <v>6194</v>
      </c>
      <c r="AL51" s="168" t="s">
        <v>6183</v>
      </c>
      <c r="AM51" s="192" t="s">
        <v>6172</v>
      </c>
      <c r="AN51" s="338" t="s">
        <v>1120</v>
      </c>
      <c r="AO51" s="191"/>
      <c r="AP51" s="88"/>
      <c r="AQ51" s="88"/>
      <c r="AR51" s="338"/>
    </row>
    <row r="52">
      <c r="A52" s="191" t="s">
        <v>6195</v>
      </c>
      <c r="B52" s="168" t="s">
        <v>6171</v>
      </c>
      <c r="C52" s="192" t="s">
        <v>6172</v>
      </c>
      <c r="D52" s="338" t="s">
        <v>1120</v>
      </c>
      <c r="E52" s="191" t="s">
        <v>6196</v>
      </c>
      <c r="F52" s="192" t="s">
        <v>6174</v>
      </c>
      <c r="G52" s="192" t="s">
        <v>6172</v>
      </c>
      <c r="H52" s="338" t="str">
        <f>IFERROR(__xludf.DUMMYFUNCTION("GOOGLETRANSLATE(D52,""zh-tw"",""ja"")"),"-")</f>
        <v>-</v>
      </c>
      <c r="I52" s="191" t="s">
        <v>6197</v>
      </c>
      <c r="J52" s="168" t="s">
        <v>6176</v>
      </c>
      <c r="K52" s="192" t="s">
        <v>6172</v>
      </c>
      <c r="L52" s="338"/>
      <c r="M52" s="191" t="s">
        <v>6195</v>
      </c>
      <c r="N52" s="192" t="s">
        <v>6177</v>
      </c>
      <c r="O52" s="192" t="s">
        <v>6172</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6172</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6172</v>
      </c>
      <c r="X52" s="338"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6172</v>
      </c>
      <c r="AB52" s="338" t="s">
        <v>1120</v>
      </c>
      <c r="AC52" s="191" t="s">
        <v>6198</v>
      </c>
      <c r="AD52" s="192" t="s">
        <v>6179</v>
      </c>
      <c r="AE52" s="192" t="s">
        <v>6172</v>
      </c>
      <c r="AF52" s="345" t="s">
        <v>6104</v>
      </c>
      <c r="AG52" s="181" t="s">
        <v>6199</v>
      </c>
      <c r="AH52" s="49" t="s">
        <v>6181</v>
      </c>
      <c r="AI52" s="340" t="s">
        <v>6172</v>
      </c>
      <c r="AJ52" s="338" t="s">
        <v>1120</v>
      </c>
      <c r="AK52" s="191" t="s">
        <v>6200</v>
      </c>
      <c r="AL52" s="168" t="s">
        <v>6183</v>
      </c>
      <c r="AM52" s="192" t="s">
        <v>6172</v>
      </c>
      <c r="AN52" s="338" t="s">
        <v>1120</v>
      </c>
      <c r="AO52" s="191"/>
      <c r="AP52" s="88"/>
      <c r="AQ52" s="88"/>
      <c r="AR52" s="338"/>
    </row>
    <row r="53">
      <c r="A53" s="191" t="s">
        <v>6201</v>
      </c>
      <c r="B53" s="192" t="s">
        <v>6202</v>
      </c>
      <c r="C53" s="192" t="s">
        <v>6203</v>
      </c>
      <c r="D53" s="338" t="s">
        <v>1120</v>
      </c>
      <c r="E53" s="191" t="str">
        <f>IFERROR(__xludf.DUMMYFUNCTION("GOOGLETRANSLATE(A53,""zh-tw"",""ja"")"),"鉱石")</f>
        <v>鉱石</v>
      </c>
      <c r="F53" s="192" t="s">
        <v>6204</v>
      </c>
      <c r="G53" s="192" t="s">
        <v>6203</v>
      </c>
      <c r="H53" s="338" t="str">
        <f>IFERROR(__xludf.DUMMYFUNCTION("GOOGLETRANSLATE(D53,""zh-tw"",""ja"")"),"-")</f>
        <v>-</v>
      </c>
      <c r="I53" s="191" t="s">
        <v>6205</v>
      </c>
      <c r="J53" s="192" t="s">
        <v>6206</v>
      </c>
      <c r="K53" s="192" t="s">
        <v>6203</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6203</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6203</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6203</v>
      </c>
      <c r="X53" s="338"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6203</v>
      </c>
      <c r="AB53" s="338" t="str">
        <f>IFERROR(__xludf.DUMMYFUNCTION("GOOGLETRANSLATE(D53,""zh-tw"",""ru"")"),"-")</f>
        <v>-</v>
      </c>
      <c r="AC53" s="191" t="s">
        <v>6207</v>
      </c>
      <c r="AD53" s="192" t="s">
        <v>6208</v>
      </c>
      <c r="AE53" s="192" t="s">
        <v>6203</v>
      </c>
      <c r="AF53" s="338" t="s">
        <v>6209</v>
      </c>
      <c r="AG53" s="181" t="s">
        <v>6210</v>
      </c>
      <c r="AH53" s="340" t="s">
        <v>6211</v>
      </c>
      <c r="AI53" s="340" t="s">
        <v>6203</v>
      </c>
      <c r="AJ53" s="338" t="s">
        <v>1120</v>
      </c>
      <c r="AK53" s="191" t="s">
        <v>6212</v>
      </c>
      <c r="AL53" s="192" t="s">
        <v>6213</v>
      </c>
      <c r="AM53" s="192" t="s">
        <v>6203</v>
      </c>
      <c r="AN53" s="338" t="s">
        <v>1120</v>
      </c>
      <c r="AO53" s="191"/>
      <c r="AP53" s="88"/>
      <c r="AQ53" s="88"/>
      <c r="AR53" s="338"/>
    </row>
    <row r="54">
      <c r="A54" s="191" t="s">
        <v>6214</v>
      </c>
      <c r="B54" s="192" t="s">
        <v>6215</v>
      </c>
      <c r="C54" s="192" t="s">
        <v>6216</v>
      </c>
      <c r="D54" s="338" t="s">
        <v>1120</v>
      </c>
      <c r="E54" s="191" t="str">
        <f>IFERROR(__xludf.DUMMYFUNCTION("GOOGLETRANSLATE(A54,""zh-tw"",""ja"")"),"果樹")</f>
        <v>果樹</v>
      </c>
      <c r="F54" s="192" t="s">
        <v>6217</v>
      </c>
      <c r="G54" s="192" t="s">
        <v>6216</v>
      </c>
      <c r="H54" s="338" t="str">
        <f>IFERROR(__xludf.DUMMYFUNCTION("GOOGLETRANSLATE(D54,""zh-tw"",""ja"")"),"-")</f>
        <v>-</v>
      </c>
      <c r="I54" s="191" t="s">
        <v>6218</v>
      </c>
      <c r="J54" s="192" t="s">
        <v>6219</v>
      </c>
      <c r="K54" s="192" t="s">
        <v>6216</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6216</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6216</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6216</v>
      </c>
      <c r="X54" s="338"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6216</v>
      </c>
      <c r="AB54" s="338" t="str">
        <f>IFERROR(__xludf.DUMMYFUNCTION("GOOGLETRANSLATE(D54,""zh-tw"",""ru"")"),"-")</f>
        <v>-</v>
      </c>
      <c r="AC54" s="191" t="s">
        <v>6220</v>
      </c>
      <c r="AD54" s="192" t="s">
        <v>6221</v>
      </c>
      <c r="AE54" s="192" t="s">
        <v>6216</v>
      </c>
      <c r="AF54" s="338" t="s">
        <v>6222</v>
      </c>
      <c r="AG54" s="181" t="s">
        <v>6223</v>
      </c>
      <c r="AH54" s="340" t="s">
        <v>6224</v>
      </c>
      <c r="AI54" s="340" t="s">
        <v>6216</v>
      </c>
      <c r="AJ54" s="338" t="s">
        <v>1120</v>
      </c>
      <c r="AK54" s="191" t="s">
        <v>6225</v>
      </c>
      <c r="AL54" s="192" t="s">
        <v>6226</v>
      </c>
      <c r="AM54" s="192" t="s">
        <v>6216</v>
      </c>
      <c r="AN54" s="338" t="s">
        <v>1120</v>
      </c>
      <c r="AO54" s="191"/>
      <c r="AP54" s="88"/>
      <c r="AQ54" s="88"/>
      <c r="AR54" s="338"/>
    </row>
    <row r="55">
      <c r="A55" s="191" t="s">
        <v>6227</v>
      </c>
      <c r="B55" s="192" t="s">
        <v>6227</v>
      </c>
      <c r="C55" s="192">
        <v>100.0</v>
      </c>
      <c r="D55" s="338" t="s">
        <v>1120</v>
      </c>
      <c r="E55" s="191" t="s">
        <v>6228</v>
      </c>
      <c r="F55" s="192" t="s">
        <v>6228</v>
      </c>
      <c r="G55" s="192">
        <v>100.0</v>
      </c>
      <c r="H55" s="338" t="str">
        <f>IFERROR(__xludf.DUMMYFUNCTION("GOOGLETRANSLATE(D55,""zh-tw"",""ja"")"),"-")</f>
        <v>-</v>
      </c>
      <c r="I55" s="191" t="s">
        <v>6229</v>
      </c>
      <c r="J55" s="192" t="s">
        <v>6229</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38" t="s">
        <v>1120</v>
      </c>
      <c r="AC55" s="191" t="s">
        <v>6230</v>
      </c>
      <c r="AD55" s="192" t="s">
        <v>6230</v>
      </c>
      <c r="AE55" s="192">
        <v>100.0</v>
      </c>
      <c r="AF55" s="338" t="s">
        <v>1120</v>
      </c>
      <c r="AG55" s="181" t="s">
        <v>6231</v>
      </c>
      <c r="AH55" s="340" t="s">
        <v>6231</v>
      </c>
      <c r="AI55" s="340">
        <v>100.0</v>
      </c>
      <c r="AJ55" s="338" t="s">
        <v>1120</v>
      </c>
      <c r="AK55" s="191" t="s">
        <v>6232</v>
      </c>
      <c r="AL55" s="192" t="s">
        <v>6232</v>
      </c>
      <c r="AM55" s="192">
        <v>100.0</v>
      </c>
      <c r="AN55" s="338" t="s">
        <v>1120</v>
      </c>
      <c r="AO55" s="191"/>
      <c r="AP55" s="88"/>
      <c r="AQ55" s="88"/>
      <c r="AR55" s="338"/>
    </row>
    <row r="56">
      <c r="A56" s="191" t="s">
        <v>6233</v>
      </c>
      <c r="B56" s="192" t="s">
        <v>6234</v>
      </c>
      <c r="C56" s="192" t="s">
        <v>6235</v>
      </c>
      <c r="D56" s="338" t="s">
        <v>6236</v>
      </c>
      <c r="E56" s="191" t="str">
        <f>IFERROR(__xludf.DUMMYFUNCTION("GOOGLETRANSLATE(A56,""zh-tw"",""ja"")"),"イチゴの苗")</f>
        <v>イチゴの苗</v>
      </c>
      <c r="F56" s="192" t="str">
        <f>IFERROR(__xludf.DUMMYFUNCTION("GOOGLETRANSLATE(B56,""zh-tw"",""ja"")"),"いちご")</f>
        <v>いちご</v>
      </c>
      <c r="G56" s="192" t="s">
        <v>6235</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6237</v>
      </c>
      <c r="J56" s="192" t="s">
        <v>6238</v>
      </c>
      <c r="K56" s="192" t="s">
        <v>6235</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6235</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6235</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6239</v>
      </c>
      <c r="V56" s="192" t="str">
        <f>IFERROR(__xludf.DUMMYFUNCTION("GOOGLETRANSLATE(B56,""zh-tw"",""KO"")"),"딸기")</f>
        <v>딸기</v>
      </c>
      <c r="W56" s="192" t="s">
        <v>6235</v>
      </c>
      <c r="X56" s="338"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6235</v>
      </c>
      <c r="AB56" s="338"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6240</v>
      </c>
      <c r="AD56" s="192" t="s">
        <v>6241</v>
      </c>
      <c r="AE56" s="192" t="s">
        <v>6235</v>
      </c>
      <c r="AF56" s="338" t="s">
        <v>6242</v>
      </c>
      <c r="AG56" s="181" t="s">
        <v>6243</v>
      </c>
      <c r="AH56" s="340" t="s">
        <v>6244</v>
      </c>
      <c r="AI56" s="340" t="s">
        <v>6235</v>
      </c>
      <c r="AJ56" s="338" t="s">
        <v>6245</v>
      </c>
      <c r="AK56" s="191" t="s">
        <v>6246</v>
      </c>
      <c r="AL56" s="192" t="s">
        <v>6247</v>
      </c>
      <c r="AM56" s="192" t="s">
        <v>6235</v>
      </c>
      <c r="AN56" s="338" t="s">
        <v>6248</v>
      </c>
      <c r="AO56" s="191"/>
      <c r="AP56" s="88"/>
      <c r="AQ56" s="88"/>
      <c r="AR56" s="338"/>
    </row>
    <row r="57">
      <c r="A57" s="191" t="s">
        <v>6249</v>
      </c>
      <c r="B57" s="192" t="s">
        <v>6250</v>
      </c>
      <c r="C57" s="192" t="s">
        <v>6235</v>
      </c>
      <c r="D57" s="338" t="s">
        <v>6236</v>
      </c>
      <c r="E57" s="191" t="str">
        <f>IFERROR(__xludf.DUMMYFUNCTION("GOOGLETRANSLATE(A57,""zh-tw"",""ja"")"),"ジャガイモの芽")</f>
        <v>ジャガイモの芽</v>
      </c>
      <c r="F57" s="192" t="str">
        <f>IFERROR(__xludf.DUMMYFUNCTION("GOOGLETRANSLATE(B57,""zh-tw"",""ja"")"),"じゃがいも")</f>
        <v>じゃがいも</v>
      </c>
      <c r="G57" s="192" t="s">
        <v>6235</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6251</v>
      </c>
      <c r="J57" s="192" t="s">
        <v>6252</v>
      </c>
      <c r="K57" s="192" t="s">
        <v>6235</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6235</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6235</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6253</v>
      </c>
      <c r="V57" s="192" t="str">
        <f>IFERROR(__xludf.DUMMYFUNCTION("GOOGLETRANSLATE(B57,""zh-tw"",""KO"")"),"감자")</f>
        <v>감자</v>
      </c>
      <c r="W57" s="192" t="s">
        <v>6235</v>
      </c>
      <c r="X57" s="338"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6235</v>
      </c>
      <c r="AB57" s="338"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6254</v>
      </c>
      <c r="AD57" s="192" t="s">
        <v>6255</v>
      </c>
      <c r="AE57" s="192" t="s">
        <v>6235</v>
      </c>
      <c r="AF57" s="338" t="s">
        <v>6242</v>
      </c>
      <c r="AG57" s="181" t="s">
        <v>6256</v>
      </c>
      <c r="AH57" s="340" t="s">
        <v>6257</v>
      </c>
      <c r="AI57" s="340" t="s">
        <v>6235</v>
      </c>
      <c r="AJ57" s="338" t="s">
        <v>6245</v>
      </c>
      <c r="AK57" s="191" t="s">
        <v>6258</v>
      </c>
      <c r="AL57" s="192" t="s">
        <v>6259</v>
      </c>
      <c r="AM57" s="192" t="s">
        <v>6235</v>
      </c>
      <c r="AN57" s="338" t="s">
        <v>6248</v>
      </c>
      <c r="AO57" s="191"/>
      <c r="AP57" s="88"/>
      <c r="AQ57" s="88"/>
      <c r="AR57" s="338"/>
    </row>
    <row r="58">
      <c r="A58" s="191" t="s">
        <v>6260</v>
      </c>
      <c r="B58" s="192" t="s">
        <v>6261</v>
      </c>
      <c r="C58" s="192" t="s">
        <v>6235</v>
      </c>
      <c r="D58" s="338" t="s">
        <v>6236</v>
      </c>
      <c r="E58" s="191" t="str">
        <f>IFERROR(__xludf.DUMMYFUNCTION("GOOGLETRANSLATE(A58,""zh-tw"",""ja"")"),"トマトの苗")</f>
        <v>トマトの苗</v>
      </c>
      <c r="F58" s="192" t="str">
        <f>IFERROR(__xludf.DUMMYFUNCTION("GOOGLETRANSLATE(B58,""zh-tw"",""ja"")"),"トマト")</f>
        <v>トマト</v>
      </c>
      <c r="G58" s="192" t="s">
        <v>6235</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6262</v>
      </c>
      <c r="J58" s="192" t="s">
        <v>6263</v>
      </c>
      <c r="K58" s="192" t="s">
        <v>6235</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6235</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6235</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6235</v>
      </c>
      <c r="X58" s="338"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6235</v>
      </c>
      <c r="AB58" s="33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6264</v>
      </c>
      <c r="AD58" s="192" t="s">
        <v>6265</v>
      </c>
      <c r="AE58" s="192" t="s">
        <v>6235</v>
      </c>
      <c r="AF58" s="338" t="s">
        <v>6242</v>
      </c>
      <c r="AG58" s="181" t="s">
        <v>6266</v>
      </c>
      <c r="AH58" s="340" t="s">
        <v>6267</v>
      </c>
      <c r="AI58" s="340" t="s">
        <v>6235</v>
      </c>
      <c r="AJ58" s="338" t="s">
        <v>6245</v>
      </c>
      <c r="AK58" s="191" t="s">
        <v>6268</v>
      </c>
      <c r="AL58" s="192" t="s">
        <v>6269</v>
      </c>
      <c r="AM58" s="192" t="s">
        <v>6235</v>
      </c>
      <c r="AN58" s="338" t="s">
        <v>6248</v>
      </c>
      <c r="AO58" s="191"/>
      <c r="AP58" s="88"/>
      <c r="AQ58" s="88"/>
      <c r="AR58" s="338"/>
    </row>
    <row r="59">
      <c r="A59" s="191" t="s">
        <v>6270</v>
      </c>
      <c r="B59" s="192" t="s">
        <v>6271</v>
      </c>
      <c r="C59" s="192" t="s">
        <v>6235</v>
      </c>
      <c r="D59" s="338" t="s">
        <v>6236</v>
      </c>
      <c r="E59" s="191" t="str">
        <f>IFERROR(__xludf.DUMMYFUNCTION("GOOGLETRANSLATE(A59,""zh-tw"",""ja"")"),"唐辛子の苗")</f>
        <v>唐辛子の苗</v>
      </c>
      <c r="F59" s="192" t="str">
        <f>IFERROR(__xludf.DUMMYFUNCTION("GOOGLETRANSLATE(B59,""zh-tw"",""ja"")"),"チリ")</f>
        <v>チリ</v>
      </c>
      <c r="G59" s="192" t="s">
        <v>6235</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6272</v>
      </c>
      <c r="J59" s="192" t="s">
        <v>6273</v>
      </c>
      <c r="K59" s="192" t="s">
        <v>6235</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6235</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6235</v>
      </c>
      <c r="X59" s="338"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6235</v>
      </c>
      <c r="AB59" s="33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6274</v>
      </c>
      <c r="AD59" s="192" t="s">
        <v>6275</v>
      </c>
      <c r="AE59" s="192" t="s">
        <v>6235</v>
      </c>
      <c r="AF59" s="338" t="s">
        <v>6242</v>
      </c>
      <c r="AG59" s="181" t="s">
        <v>6276</v>
      </c>
      <c r="AH59" s="340" t="s">
        <v>6277</v>
      </c>
      <c r="AI59" s="340" t="s">
        <v>6235</v>
      </c>
      <c r="AJ59" s="338" t="s">
        <v>6245</v>
      </c>
      <c r="AK59" s="191" t="s">
        <v>6278</v>
      </c>
      <c r="AL59" s="192" t="s">
        <v>6279</v>
      </c>
      <c r="AM59" s="192" t="s">
        <v>6235</v>
      </c>
      <c r="AN59" s="338" t="s">
        <v>6248</v>
      </c>
      <c r="AO59" s="191"/>
      <c r="AP59" s="88"/>
      <c r="AQ59" s="88"/>
      <c r="AR59" s="338"/>
    </row>
    <row r="60">
      <c r="A60" s="335" t="s">
        <v>6280</v>
      </c>
      <c r="E60" s="335" t="str">
        <f>IFERROR(__xludf.DUMMYFUNCTION("GOOGLETRANSLATE(A60,""zh-tw"",""ja"")"),"火山溶岩関連")</f>
        <v>火山溶岩関連</v>
      </c>
      <c r="I60" s="335" t="s">
        <v>3990</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tr">
        <f>IFERROR(__xludf.DUMMYFUNCTION("GOOGLETRANSLATE(A60,""zh-tw"",""ru"")"),"вулканическая лава")</f>
        <v>вулканическая лава</v>
      </c>
      <c r="AC60" s="335" t="str">
        <f>IFERROR(__xludf.DUMMYFUNCTION("GOOGLETRANSLATE(A59,""zh-tw"",""DE"")"),"Chili-Setzlinge")</f>
        <v>Chili-Setzlinge</v>
      </c>
      <c r="AG60" s="337" t="s">
        <v>6281</v>
      </c>
      <c r="AK60" s="335" t="s">
        <v>3990</v>
      </c>
      <c r="AO60" s="335"/>
      <c r="AP60" s="335"/>
      <c r="AQ60" s="335"/>
      <c r="AR60" s="335"/>
    </row>
    <row r="61">
      <c r="A61" s="191" t="s">
        <v>6282</v>
      </c>
      <c r="B61" s="192" t="s">
        <v>6283</v>
      </c>
      <c r="C61" s="192">
        <v>35.0</v>
      </c>
      <c r="D61" s="338" t="s">
        <v>1120</v>
      </c>
      <c r="E61" s="191" t="s">
        <v>6284</v>
      </c>
      <c r="F61" s="192" t="s">
        <v>6285</v>
      </c>
      <c r="G61" s="192">
        <v>35.0</v>
      </c>
      <c r="H61" s="338" t="str">
        <f>IFERROR(__xludf.DUMMYFUNCTION("GOOGLETRANSLATE(D61,""zh-tw"",""ja"")"),"-")</f>
        <v>-</v>
      </c>
      <c r="I61" s="191" t="s">
        <v>6286</v>
      </c>
      <c r="J61" s="192" t="s">
        <v>6287</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6288</v>
      </c>
      <c r="W61" s="192">
        <v>35.0</v>
      </c>
      <c r="X61" s="338"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38" t="str">
        <f>IFERROR(__xludf.DUMMYFUNCTION("GOOGLETRANSLATE(D61,""zh-tw"",""ru"")"),"-")</f>
        <v>-</v>
      </c>
      <c r="AC61" s="191" t="s">
        <v>6289</v>
      </c>
      <c r="AD61" s="192" t="s">
        <v>6290</v>
      </c>
      <c r="AE61" s="192">
        <v>35.0</v>
      </c>
      <c r="AF61" s="338" t="s">
        <v>6291</v>
      </c>
      <c r="AG61" s="181" t="s">
        <v>6292</v>
      </c>
      <c r="AH61" s="340" t="s">
        <v>6293</v>
      </c>
      <c r="AI61" s="340">
        <v>35.0</v>
      </c>
      <c r="AJ61" s="338" t="s">
        <v>1120</v>
      </c>
      <c r="AK61" s="191" t="s">
        <v>6294</v>
      </c>
      <c r="AL61" s="192" t="s">
        <v>6295</v>
      </c>
      <c r="AM61" s="192">
        <v>35.0</v>
      </c>
      <c r="AN61" s="338" t="s">
        <v>1120</v>
      </c>
      <c r="AO61" s="191"/>
      <c r="AP61" s="88"/>
      <c r="AQ61" s="88"/>
      <c r="AR61" s="338"/>
    </row>
    <row r="62">
      <c r="A62" s="191" t="s">
        <v>6296</v>
      </c>
      <c r="B62" s="192" t="s">
        <v>6297</v>
      </c>
      <c r="C62" s="192" t="s">
        <v>6298</v>
      </c>
      <c r="D62" s="338" t="s">
        <v>1120</v>
      </c>
      <c r="E62" s="191" t="s">
        <v>6299</v>
      </c>
      <c r="F62" s="192" t="str">
        <f>IFERROR(__xludf.DUMMYFUNCTION("GOOGLETRANSLATE(B62,""zh-tw"",""ja"")"),"溶岩リング
紫品質アイテム")</f>
        <v>溶岩リング
紫品質アイテム</v>
      </c>
      <c r="G62" s="192" t="s">
        <v>6298</v>
      </c>
      <c r="H62" s="338" t="str">
        <f>IFERROR(__xludf.DUMMYFUNCTION("GOOGLETRANSLATE(D62,""zh-tw"",""ja"")"),"-")</f>
        <v>-</v>
      </c>
      <c r="I62" s="191" t="s">
        <v>6300</v>
      </c>
      <c r="J62" s="192" t="s">
        <v>6301</v>
      </c>
      <c r="K62" s="192" t="s">
        <v>6298</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6298</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6298</v>
      </c>
      <c r="T62" s="338" t="str">
        <f>IFERROR(__xludf.DUMMYFUNCTION("GOOGLETRANSLATE(D62,""zh-tw"",""es-MX"")"),"-")</f>
        <v>-</v>
      </c>
      <c r="U62" s="191" t="str">
        <f>IFERROR(__xludf.DUMMYFUNCTION("GOOGLETRANSLATE(A62,""zh-tw"",""KO"")"),"불타는 슬라임")</f>
        <v>불타는 슬라임</v>
      </c>
      <c r="V62" s="192" t="s">
        <v>6302</v>
      </c>
      <c r="W62" s="192" t="s">
        <v>6298</v>
      </c>
      <c r="X62" s="338"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6298</v>
      </c>
      <c r="AB62" s="338" t="str">
        <f>IFERROR(__xludf.DUMMYFUNCTION("GOOGLETRANSLATE(D62,""zh-tw"",""ru"")"),"-")</f>
        <v>-</v>
      </c>
      <c r="AC62" s="191" t="s">
        <v>6303</v>
      </c>
      <c r="AD62" s="192" t="s">
        <v>6304</v>
      </c>
      <c r="AE62" s="192" t="s">
        <v>6298</v>
      </c>
      <c r="AF62" s="338" t="s">
        <v>6291</v>
      </c>
      <c r="AG62" s="181" t="s">
        <v>6305</v>
      </c>
      <c r="AH62" s="340" t="s">
        <v>6306</v>
      </c>
      <c r="AI62" s="340" t="s">
        <v>6298</v>
      </c>
      <c r="AJ62" s="338" t="s">
        <v>1120</v>
      </c>
      <c r="AK62" s="191" t="s">
        <v>6307</v>
      </c>
      <c r="AL62" s="192" t="s">
        <v>6308</v>
      </c>
      <c r="AM62" s="192" t="s">
        <v>6298</v>
      </c>
      <c r="AN62" s="338" t="s">
        <v>1120</v>
      </c>
      <c r="AO62" s="191"/>
      <c r="AP62" s="88"/>
      <c r="AQ62" s="88"/>
      <c r="AR62" s="338"/>
    </row>
    <row r="63">
      <c r="A63" s="191" t="s">
        <v>6309</v>
      </c>
      <c r="B63" s="192" t="s">
        <v>6310</v>
      </c>
      <c r="C63" s="192" t="s">
        <v>6311</v>
      </c>
      <c r="D63" s="338" t="s">
        <v>1120</v>
      </c>
      <c r="E63" s="191" t="s">
        <v>6309</v>
      </c>
      <c r="F63" s="192" t="str">
        <f>IFERROR(__xludf.DUMMYFUNCTION("GOOGLETRANSLATE(B63,""zh-tw"",""ja"")"),"溶岩の杖
サンファイア
サンホイール")</f>
        <v>溶岩の杖
サンファイア
サンホイール</v>
      </c>
      <c r="G63" s="192" t="s">
        <v>6311</v>
      </c>
      <c r="H63" s="338" t="str">
        <f>IFERROR(__xludf.DUMMYFUNCTION("GOOGLETRANSLATE(D63,""zh-tw"",""ja"")"),"-")</f>
        <v>-</v>
      </c>
      <c r="I63" s="191" t="s">
        <v>6312</v>
      </c>
      <c r="J63" s="192" t="s">
        <v>6313</v>
      </c>
      <c r="K63" s="192" t="s">
        <v>6311</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6311</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6311</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6311</v>
      </c>
      <c r="X63" s="338"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6311</v>
      </c>
      <c r="AB63" s="338" t="str">
        <f>IFERROR(__xludf.DUMMYFUNCTION("GOOGLETRANSLATE(D63,""zh-tw"",""ru"")"),"-")</f>
        <v>-</v>
      </c>
      <c r="AC63" s="191" t="s">
        <v>6312</v>
      </c>
      <c r="AD63" s="192" t="s">
        <v>6314</v>
      </c>
      <c r="AE63" s="192" t="s">
        <v>6311</v>
      </c>
      <c r="AF63" s="338" t="s">
        <v>6291</v>
      </c>
      <c r="AG63" s="181" t="s">
        <v>6312</v>
      </c>
      <c r="AH63" s="340" t="s">
        <v>6315</v>
      </c>
      <c r="AI63" s="340" t="s">
        <v>6311</v>
      </c>
      <c r="AJ63" s="338" t="s">
        <v>1120</v>
      </c>
      <c r="AK63" s="191" t="s">
        <v>6312</v>
      </c>
      <c r="AL63" s="168" t="s">
        <v>6316</v>
      </c>
      <c r="AM63" s="192" t="s">
        <v>6311</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6317</v>
      </c>
      <c r="B1" s="88" t="s">
        <v>6318</v>
      </c>
      <c r="C1" s="346" t="str">
        <f>IFERROR(__xludf.DUMMYFUNCTION("GOOGLETRANSLATE(A1,""zh-tw"",""ja"")"),"武器プロジェクト")</f>
        <v>武器プロジェクト</v>
      </c>
      <c r="D1" s="88" t="str">
        <f>IFERROR(__xludf.DUMMYFUNCTION("GOOGLETRANSLATE(B1,""zh-tw"",""ja"")"),"武器の属性")</f>
        <v>武器の属性</v>
      </c>
      <c r="E1" s="346" t="s">
        <v>6319</v>
      </c>
      <c r="F1" s="88" t="s">
        <v>6320</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6321</v>
      </c>
      <c r="N1" s="27" t="s">
        <v>6322</v>
      </c>
      <c r="O1" s="346" t="s">
        <v>6323</v>
      </c>
      <c r="P1" s="88" t="s">
        <v>6324</v>
      </c>
      <c r="Q1" s="350" t="s">
        <v>6325</v>
      </c>
      <c r="R1" s="351" t="s">
        <v>6326</v>
      </c>
      <c r="S1" s="83" t="s">
        <v>6327</v>
      </c>
      <c r="T1" s="85" t="s">
        <v>6328</v>
      </c>
      <c r="U1" s="83"/>
      <c r="V1" s="85"/>
      <c r="W1" s="85"/>
      <c r="X1" s="85"/>
    </row>
    <row r="2">
      <c r="A2" s="352" t="s">
        <v>6329</v>
      </c>
      <c r="B2" s="168" t="s">
        <v>6330</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6331</v>
      </c>
      <c r="F2" s="197" t="s">
        <v>6332</v>
      </c>
      <c r="G2" s="353" t="str">
        <f>IFERROR(__xludf.DUMMYFUNCTION("GOOGLETRANSLATE(A2,""zh-tw"",""zh"")"),"握紧的拳头")</f>
        <v>握紧的拳头</v>
      </c>
      <c r="H2" s="197" t="str">
        <f>IFERROR(__xludf.DUMMYFUNCTION("GOOGLETRANSLATE(B2,""zh-tw"",""zh"")"),"物攻：2
攻击依照最大体力增加")</f>
        <v>物攻：2
攻击依照最大体力增加</v>
      </c>
      <c r="I2" s="352" t="s">
        <v>6333</v>
      </c>
      <c r="J2" s="192" t="str">
        <f>IFERROR(__xludf.DUMMYFUNCTION("GOOGLETRANSLATE(B2,""zh-tw"",""es-MX"")"),"Ataque físico: 2. El ataque aumenta según el HP máximo.")</f>
        <v>Ataque físico: 2. El ataque aumenta según el HP máximo.</v>
      </c>
      <c r="K2" s="352" t="s">
        <v>6334</v>
      </c>
      <c r="L2" s="168" t="s">
        <v>6335</v>
      </c>
      <c r="M2" s="353" t="s">
        <v>6336</v>
      </c>
      <c r="N2" s="197" t="s">
        <v>6337</v>
      </c>
      <c r="O2" s="353" t="s">
        <v>6338</v>
      </c>
      <c r="P2" s="197" t="s">
        <v>6339</v>
      </c>
      <c r="Q2" s="354" t="s">
        <v>6340</v>
      </c>
      <c r="R2" s="355" t="s">
        <v>6341</v>
      </c>
      <c r="S2" s="191" t="s">
        <v>6342</v>
      </c>
      <c r="T2" s="192" t="s">
        <v>6343</v>
      </c>
      <c r="U2" s="191"/>
      <c r="V2" s="192"/>
      <c r="W2" s="192"/>
      <c r="X2" s="192"/>
    </row>
    <row r="3">
      <c r="A3" s="353" t="s">
        <v>6344</v>
      </c>
      <c r="B3" s="197" t="s">
        <v>6345</v>
      </c>
      <c r="C3" s="353" t="s">
        <v>6346</v>
      </c>
      <c r="D3" s="197" t="str">
        <f>IFERROR(__xludf.DUMMYFUNCTION("GOOGLETRANSLATE(B3,""zh-tw"",""ja"")"),"物理攻撃力: 15")</f>
        <v>物理攻撃力: 15</v>
      </c>
      <c r="E3" s="353" t="s">
        <v>6347</v>
      </c>
      <c r="F3" s="197" t="s">
        <v>6348</v>
      </c>
      <c r="G3" s="353" t="str">
        <f>IFERROR(__xludf.DUMMYFUNCTION("GOOGLETRANSLATE(A3,""zh-tw"",""zh"")"),"硬木剑")</f>
        <v>硬木剑</v>
      </c>
      <c r="H3" s="197" t="str">
        <f>IFERROR(__xludf.DUMMYFUNCTION("GOOGLETRANSLATE(B3,""zh-tw"",""zh"")"),"物攻：15")</f>
        <v>物攻：15</v>
      </c>
      <c r="I3" s="352" t="s">
        <v>6349</v>
      </c>
      <c r="J3" s="192" t="str">
        <f>IFERROR(__xludf.DUMMYFUNCTION("GOOGLETRANSLATE(B3,""zh-tw"",""es-MX"")"),"Ataque físico: 15")</f>
        <v>Ataque físico: 15</v>
      </c>
      <c r="K3" s="353" t="s">
        <v>6350</v>
      </c>
      <c r="L3" s="168" t="s">
        <v>6351</v>
      </c>
      <c r="M3" s="353" t="s">
        <v>6352</v>
      </c>
      <c r="N3" s="197" t="s">
        <v>6353</v>
      </c>
      <c r="O3" s="353" t="s">
        <v>6354</v>
      </c>
      <c r="P3" s="197" t="s">
        <v>6355</v>
      </c>
      <c r="Q3" s="354" t="s">
        <v>6356</v>
      </c>
      <c r="R3" s="355" t="s">
        <v>6357</v>
      </c>
      <c r="S3" s="191" t="s">
        <v>6358</v>
      </c>
      <c r="T3" s="192" t="s">
        <v>6359</v>
      </c>
      <c r="U3" s="191"/>
      <c r="V3" s="192"/>
      <c r="W3" s="192"/>
      <c r="X3" s="192"/>
    </row>
    <row r="4">
      <c r="A4" s="353" t="s">
        <v>6360</v>
      </c>
      <c r="B4" s="197" t="s">
        <v>6361</v>
      </c>
      <c r="C4" s="353" t="s">
        <v>6362</v>
      </c>
      <c r="D4" s="197" t="str">
        <f>IFERROR(__xludf.DUMMYFUNCTION("GOOGLETRANSLATE(B4,""zh-tw"",""ja"")"),"物理攻撃力: 14")</f>
        <v>物理攻撃力: 14</v>
      </c>
      <c r="E4" s="353" t="s">
        <v>6363</v>
      </c>
      <c r="F4" s="197" t="s">
        <v>6364</v>
      </c>
      <c r="G4" s="353" t="str">
        <f>IFERROR(__xludf.DUMMYFUNCTION("GOOGLETRANSLATE(A4,""zh-tw"",""zh"")"),"硬木棒")</f>
        <v>硬木棒</v>
      </c>
      <c r="H4" s="197" t="str">
        <f>IFERROR(__xludf.DUMMYFUNCTION("GOOGLETRANSLATE(B4,""zh-tw"",""zh"")"),"物攻：14")</f>
        <v>物攻：14</v>
      </c>
      <c r="I4" s="352" t="s">
        <v>6365</v>
      </c>
      <c r="J4" s="192" t="str">
        <f>IFERROR(__xludf.DUMMYFUNCTION("GOOGLETRANSLATE(B4,""zh-tw"",""es-MX"")"),"Ataque físico: 14")</f>
        <v>Ataque físico: 14</v>
      </c>
      <c r="K4" s="356" t="str">
        <f>IFERROR(__xludf.DUMMYFUNCTION("GOOGLETRANSLATE(A4,""zh-tw"",""KO"")"),"단단한 나무 막대기")</f>
        <v>단단한 나무 막대기</v>
      </c>
      <c r="L4" s="168" t="s">
        <v>6366</v>
      </c>
      <c r="M4" s="353" t="s">
        <v>6367</v>
      </c>
      <c r="N4" s="197" t="s">
        <v>6368</v>
      </c>
      <c r="O4" s="353" t="s">
        <v>6369</v>
      </c>
      <c r="P4" s="197" t="s">
        <v>6370</v>
      </c>
      <c r="Q4" s="354" t="s">
        <v>6371</v>
      </c>
      <c r="R4" s="355" t="s">
        <v>6372</v>
      </c>
      <c r="S4" s="191" t="s">
        <v>6373</v>
      </c>
      <c r="T4" s="192" t="s">
        <v>6374</v>
      </c>
      <c r="U4" s="191"/>
      <c r="V4" s="192"/>
      <c r="W4" s="192"/>
      <c r="X4" s="192"/>
    </row>
    <row r="5">
      <c r="A5" s="353" t="s">
        <v>6375</v>
      </c>
      <c r="B5" s="197" t="s">
        <v>6376</v>
      </c>
      <c r="C5" s="353" t="str">
        <f>IFERROR(__xludf.DUMMYFUNCTION("GOOGLETRANSLATE(A5,""zh-tw"",""ja"")"),"伐採斧")</f>
        <v>伐採斧</v>
      </c>
      <c r="D5" s="197" t="str">
        <f>IFERROR(__xludf.DUMMYFUNCTION("GOOGLETRANSLATE(B5,""zh-tw"",""ja"")"),"物理攻撃力: 24")</f>
        <v>物理攻撃力: 24</v>
      </c>
      <c r="E5" s="353" t="s">
        <v>6377</v>
      </c>
      <c r="F5" s="197" t="s">
        <v>6378</v>
      </c>
      <c r="G5" s="353" t="str">
        <f>IFERROR(__xludf.DUMMYFUNCTION("GOOGLETRANSLATE(A5,""zh-tw"",""zh"")"),"伐木斧")</f>
        <v>伐木斧</v>
      </c>
      <c r="H5" s="197" t="str">
        <f>IFERROR(__xludf.DUMMYFUNCTION("GOOGLETRANSLATE(B5,""zh-tw"",""zh"")"),"物攻：24")</f>
        <v>物攻：24</v>
      </c>
      <c r="I5" s="352" t="s">
        <v>6379</v>
      </c>
      <c r="J5" s="192" t="str">
        <f>IFERROR(__xludf.DUMMYFUNCTION("GOOGLETRANSLATE(B5,""zh-tw"",""es-MX"")"),"Ataque físico: 24")</f>
        <v>Ataque físico: 24</v>
      </c>
      <c r="K5" s="352" t="s">
        <v>6380</v>
      </c>
      <c r="L5" s="168" t="s">
        <v>6381</v>
      </c>
      <c r="M5" s="353" t="s">
        <v>6382</v>
      </c>
      <c r="N5" s="197" t="s">
        <v>6383</v>
      </c>
      <c r="O5" s="353" t="s">
        <v>6384</v>
      </c>
      <c r="P5" s="197" t="s">
        <v>6385</v>
      </c>
      <c r="Q5" s="354" t="s">
        <v>6386</v>
      </c>
      <c r="R5" s="355" t="s">
        <v>6387</v>
      </c>
      <c r="S5" s="191" t="s">
        <v>6388</v>
      </c>
      <c r="T5" s="192" t="s">
        <v>6389</v>
      </c>
      <c r="U5" s="191"/>
      <c r="V5" s="192"/>
      <c r="W5" s="192"/>
      <c r="X5" s="192"/>
    </row>
    <row r="6">
      <c r="A6" s="353" t="s">
        <v>6096</v>
      </c>
      <c r="B6" s="197" t="s">
        <v>6390</v>
      </c>
      <c r="C6" s="353" t="str">
        <f>IFERROR(__xludf.DUMMYFUNCTION("GOOGLETRANSLATE(A6,""zh-tw"",""ja"")"),"騎士の剣")</f>
        <v>騎士の剣</v>
      </c>
      <c r="D6" s="197" t="str">
        <f>IFERROR(__xludf.DUMMYFUNCTION("GOOGLETRANSLATE(B6,""zh-tw"",""ja"")"),"物理攻撃力：30（特定条件を満たすと2倍）")</f>
        <v>物理攻撃力：30（特定条件を満たすと2倍）</v>
      </c>
      <c r="E6" s="353" t="s">
        <v>6099</v>
      </c>
      <c r="F6" s="197" t="s">
        <v>6391</v>
      </c>
      <c r="G6" s="353" t="str">
        <f>IFERROR(__xludf.DUMMYFUNCTION("GOOGLETRANSLATE(A6,""zh-tw"",""zh"")"),"骑士之剑")</f>
        <v>骑士之剑</v>
      </c>
      <c r="H6" s="197" t="str">
        <f>IFERROR(__xludf.DUMMYFUNCTION("GOOGLETRANSLATE(B6,""zh-tw"",""zh"")"),"物攻：30
满足条件后翻倍")</f>
        <v>物攻：30
满足条件后翻倍</v>
      </c>
      <c r="I6" s="352" t="s">
        <v>6392</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6393</v>
      </c>
      <c r="M6" s="353" t="s">
        <v>6394</v>
      </c>
      <c r="N6" s="197" t="s">
        <v>6395</v>
      </c>
      <c r="O6" s="353" t="s">
        <v>6103</v>
      </c>
      <c r="P6" s="197" t="s">
        <v>6396</v>
      </c>
      <c r="Q6" s="354" t="s">
        <v>6397</v>
      </c>
      <c r="R6" s="355" t="s">
        <v>6398</v>
      </c>
      <c r="S6" s="191" t="s">
        <v>6108</v>
      </c>
      <c r="T6" s="192" t="s">
        <v>6399</v>
      </c>
      <c r="U6" s="191"/>
      <c r="V6" s="192"/>
      <c r="W6" s="192"/>
      <c r="X6" s="192"/>
    </row>
    <row r="7">
      <c r="A7" s="353" t="s">
        <v>6400</v>
      </c>
      <c r="B7" s="197" t="s">
        <v>6401</v>
      </c>
      <c r="C7" s="353" t="s">
        <v>6402</v>
      </c>
      <c r="D7" s="197" t="str">
        <f>IFERROR(__xludf.DUMMYFUNCTION("GOOGLETRANSLATE(B7,""zh-tw"",""ja"")"),"物理攻撃力: 42")</f>
        <v>物理攻撃力: 42</v>
      </c>
      <c r="E7" s="353" t="s">
        <v>6403</v>
      </c>
      <c r="F7" s="197" t="s">
        <v>6404</v>
      </c>
      <c r="G7" s="353" t="str">
        <f>IFERROR(__xludf.DUMMYFUNCTION("GOOGLETRANSLATE(A7,""zh-tw"",""zh"")"),"兽人的骨釜")</f>
        <v>兽人的骨釜</v>
      </c>
      <c r="H7" s="197" t="str">
        <f>IFERROR(__xludf.DUMMYFUNCTION("GOOGLETRANSLATE(B7,""zh-tw"",""zh"")"),"物攻：42")</f>
        <v>物攻：42</v>
      </c>
      <c r="I7" s="352" t="s">
        <v>6405</v>
      </c>
      <c r="J7" s="192" t="str">
        <f>IFERROR(__xludf.DUMMYFUNCTION("GOOGLETRANSLATE(B7,""zh-tw"",""es-MX"")"),"Ataque físico: 42")</f>
        <v>Ataque físico: 42</v>
      </c>
      <c r="K7" s="353" t="s">
        <v>6406</v>
      </c>
      <c r="L7" s="168" t="s">
        <v>6407</v>
      </c>
      <c r="M7" s="353" t="s">
        <v>6408</v>
      </c>
      <c r="N7" s="197" t="s">
        <v>6409</v>
      </c>
      <c r="O7" s="353" t="s">
        <v>6410</v>
      </c>
      <c r="P7" s="197" t="s">
        <v>6411</v>
      </c>
      <c r="Q7" s="354" t="s">
        <v>6412</v>
      </c>
      <c r="R7" s="355" t="s">
        <v>6413</v>
      </c>
      <c r="S7" s="191" t="s">
        <v>6414</v>
      </c>
      <c r="T7" s="192" t="s">
        <v>6415</v>
      </c>
      <c r="U7" s="191"/>
      <c r="V7" s="192"/>
      <c r="W7" s="192"/>
      <c r="X7" s="192"/>
    </row>
    <row r="8">
      <c r="A8" s="356" t="s">
        <v>6416</v>
      </c>
      <c r="B8" s="192" t="s">
        <v>6417</v>
      </c>
      <c r="C8" s="356" t="s">
        <v>6418</v>
      </c>
      <c r="D8" s="153" t="s">
        <v>6419</v>
      </c>
      <c r="E8" s="357" t="s">
        <v>6420</v>
      </c>
      <c r="F8" s="153" t="s">
        <v>6421</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6422</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6423</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6424</v>
      </c>
      <c r="N8" s="197" t="s">
        <v>6425</v>
      </c>
      <c r="O8" s="357" t="s">
        <v>6426</v>
      </c>
      <c r="P8" s="153" t="s">
        <v>6427</v>
      </c>
      <c r="Q8" s="358" t="s">
        <v>6428</v>
      </c>
      <c r="R8" s="355" t="s">
        <v>6429</v>
      </c>
      <c r="S8" s="191" t="s">
        <v>6430</v>
      </c>
      <c r="T8" s="192" t="s">
        <v>6431</v>
      </c>
      <c r="U8" s="191"/>
      <c r="V8" s="192"/>
      <c r="W8" s="192"/>
      <c r="X8" s="192"/>
    </row>
    <row r="9">
      <c r="A9" s="353" t="s">
        <v>6432</v>
      </c>
      <c r="B9" s="197" t="s">
        <v>6433</v>
      </c>
      <c r="C9" s="353" t="s">
        <v>6434</v>
      </c>
      <c r="D9" s="197" t="str">
        <f>IFERROR(__xludf.DUMMYFUNCTION("GOOGLETRANSLATE(B9,""zh-tw"",""ja"")"),"物理攻撃: 20 飛び道具を反射する")</f>
        <v>物理攻撃: 20 飛び道具を反射する</v>
      </c>
      <c r="E9" s="353" t="s">
        <v>6435</v>
      </c>
      <c r="F9" s="197" t="s">
        <v>6436</v>
      </c>
      <c r="G9" s="353" t="str">
        <f>IFERROR(__xludf.DUMMYFUNCTION("GOOGLETRANSLATE(A9,""zh-tw"",""zh"")"),"棒球棍")</f>
        <v>棒球棍</v>
      </c>
      <c r="H9" s="197" t="str">
        <f>IFERROR(__xludf.DUMMYFUNCTION("GOOGLETRANSLATE(B9,""zh-tw"",""zh"")"),"物攻：20
反弹抛射物")</f>
        <v>物攻：20
反弹抛射物</v>
      </c>
      <c r="I9" s="352" t="s">
        <v>6437</v>
      </c>
      <c r="J9" s="192" t="str">
        <f>IFERROR(__xludf.DUMMYFUNCTION("GOOGLETRANSLATE(B9,""zh-tw"",""es-MX"")"),"Ataque físico: 20 Refleja proyectiles")</f>
        <v>Ataque físico: 20 Refleja proyectiles</v>
      </c>
      <c r="K9" s="352" t="s">
        <v>6438</v>
      </c>
      <c r="L9" s="168" t="s">
        <v>6439</v>
      </c>
      <c r="M9" s="353" t="s">
        <v>6440</v>
      </c>
      <c r="N9" s="197" t="s">
        <v>6441</v>
      </c>
      <c r="O9" s="353" t="s">
        <v>6442</v>
      </c>
      <c r="P9" s="197" t="s">
        <v>6443</v>
      </c>
      <c r="Q9" s="354" t="s">
        <v>6444</v>
      </c>
      <c r="R9" s="355" t="s">
        <v>6445</v>
      </c>
      <c r="S9" s="191" t="s">
        <v>6446</v>
      </c>
      <c r="T9" s="192" t="s">
        <v>6447</v>
      </c>
      <c r="U9" s="191"/>
      <c r="V9" s="192"/>
      <c r="W9" s="192"/>
      <c r="X9" s="192"/>
    </row>
    <row r="10">
      <c r="A10" s="353" t="s">
        <v>6448</v>
      </c>
      <c r="B10" s="197" t="s">
        <v>6449</v>
      </c>
      <c r="C10" s="353" t="s">
        <v>6450</v>
      </c>
      <c r="D10" s="197" t="str">
        <f>IFERROR(__xludf.DUMMYFUNCTION("GOOGLETRANSLATE(B10,""zh-tw"",""ja"")"),"物理攻撃力: 14 悪臭を放つ")</f>
        <v>物理攻撃力: 14 悪臭を放つ</v>
      </c>
      <c r="E10" s="353" t="s">
        <v>6451</v>
      </c>
      <c r="F10" s="197" t="s">
        <v>6452</v>
      </c>
      <c r="G10" s="353" t="str">
        <f>IFERROR(__xludf.DUMMYFUNCTION("GOOGLETRANSLATE(A10,""zh-tw"",""zh"")"),"臭鱼骨")</f>
        <v>臭鱼骨</v>
      </c>
      <c r="H10" s="197" t="str">
        <f>IFERROR(__xludf.DUMMYFUNCTION("GOOGLETRANSLATE(B10,""zh-tw"",""zh"")"),"物攻：14
散发恶臭")</f>
        <v>物攻：14
散发恶臭</v>
      </c>
      <c r="I10" s="352" t="s">
        <v>6453</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6454</v>
      </c>
      <c r="M10" s="353" t="s">
        <v>6455</v>
      </c>
      <c r="N10" s="197" t="s">
        <v>6456</v>
      </c>
      <c r="O10" s="353" t="s">
        <v>6457</v>
      </c>
      <c r="P10" s="197" t="s">
        <v>6458</v>
      </c>
      <c r="Q10" s="354" t="s">
        <v>6459</v>
      </c>
      <c r="R10" s="355" t="s">
        <v>6460</v>
      </c>
      <c r="S10" s="191" t="s">
        <v>6461</v>
      </c>
      <c r="T10" s="192" t="s">
        <v>6462</v>
      </c>
      <c r="U10" s="191"/>
      <c r="V10" s="192"/>
      <c r="W10" s="192"/>
      <c r="X10" s="192"/>
    </row>
    <row r="11">
      <c r="A11" s="353" t="s">
        <v>6463</v>
      </c>
      <c r="B11" s="197" t="s">
        <v>6464</v>
      </c>
      <c r="C11" s="353" t="s">
        <v>6463</v>
      </c>
      <c r="D11" s="197" t="str">
        <f>IFERROR(__xludf.DUMMYFUNCTION("GOOGLETRANSLATE(B11,""zh-tw"",""ja"")"),"物理攻撃力：24
魔法攻撃力：16
火属性")</f>
        <v>物理攻撃力：24
魔法攻撃力：16
火属性</v>
      </c>
      <c r="E11" s="353" t="s">
        <v>6465</v>
      </c>
      <c r="F11" s="197" t="s">
        <v>6466</v>
      </c>
      <c r="G11" s="353" t="str">
        <f>IFERROR(__xludf.DUMMYFUNCTION("GOOGLETRANSLATE(A11,""zh-tw"",""zh"")"),"阳炎")</f>
        <v>阳炎</v>
      </c>
      <c r="H11" s="197" t="str">
        <f>IFERROR(__xludf.DUMMYFUNCTION("GOOGLETRANSLATE(B11,""zh-tw"",""zh"")"),"物攻：24
魔攻：16
炎属性")</f>
        <v>物攻：24
魔攻：16
炎属性</v>
      </c>
      <c r="I11" s="352" t="s">
        <v>6467</v>
      </c>
      <c r="J11" s="192" t="str">
        <f>IFERROR(__xludf.DUMMYFUNCTION("GOOGLETRANSLATE(B11,""zh-tw"",""es-MX"")"),"Ataque físico: 24
Ataque mágico: 16
Atributo de fuego")</f>
        <v>Ataque físico: 24
Ataque mágico: 16
Atributo de fuego</v>
      </c>
      <c r="K11" s="353" t="s">
        <v>6468</v>
      </c>
      <c r="L11" s="168" t="s">
        <v>6469</v>
      </c>
      <c r="M11" s="353" t="s">
        <v>6470</v>
      </c>
      <c r="N11" s="197" t="s">
        <v>6471</v>
      </c>
      <c r="O11" s="353" t="s">
        <v>6472</v>
      </c>
      <c r="P11" s="197" t="s">
        <v>6473</v>
      </c>
      <c r="Q11" s="354" t="s">
        <v>6474</v>
      </c>
      <c r="R11" s="359" t="s">
        <v>6475</v>
      </c>
      <c r="S11" s="191" t="s">
        <v>6476</v>
      </c>
      <c r="T11" s="192" t="s">
        <v>6477</v>
      </c>
      <c r="U11" s="191"/>
      <c r="V11" s="192"/>
      <c r="W11" s="192"/>
      <c r="X11" s="192"/>
    </row>
    <row r="12">
      <c r="A12" s="353" t="s">
        <v>6478</v>
      </c>
      <c r="B12" s="197" t="s">
        <v>6479</v>
      </c>
      <c r="C12" s="353" t="s">
        <v>6478</v>
      </c>
      <c r="D12" s="197" t="str">
        <f>IFERROR(__xludf.DUMMYFUNCTION("GOOGLETRANSLATE(B12,""zh-tw"",""ja"")"),"物理攻撃力：20
魔法攻撃力：14
氷属性")</f>
        <v>物理攻撃力：20
魔法攻撃力：14
氷属性</v>
      </c>
      <c r="E12" s="353" t="s">
        <v>6480</v>
      </c>
      <c r="F12" s="197" t="s">
        <v>6481</v>
      </c>
      <c r="G12" s="353" t="str">
        <f>IFERROR(__xludf.DUMMYFUNCTION("GOOGLETRANSLATE(A12,""zh-tw"",""zh"")"),"霜月")</f>
        <v>霜月</v>
      </c>
      <c r="H12" s="197" t="str">
        <f>IFERROR(__xludf.DUMMYFUNCTION("GOOGLETRANSLATE(B12,""zh-tw"",""zh"")"),"物攻：20
魔攻：14
冰属性")</f>
        <v>物攻：20
魔攻：14
冰属性</v>
      </c>
      <c r="I12" s="352" t="s">
        <v>6482</v>
      </c>
      <c r="J12" s="192" t="str">
        <f>IFERROR(__xludf.DUMMYFUNCTION("GOOGLETRANSLATE(B12,""zh-tw"",""es-MX"")"),"Ataque físico: 20
Ataque mágico: 14
Atributo hielo")</f>
        <v>Ataque físico: 20
Ataque mágico: 14
Atributo hielo</v>
      </c>
      <c r="K12" s="352" t="s">
        <v>6483</v>
      </c>
      <c r="L12" s="168" t="s">
        <v>6484</v>
      </c>
      <c r="M12" s="353" t="s">
        <v>6485</v>
      </c>
      <c r="N12" s="197" t="s">
        <v>6486</v>
      </c>
      <c r="O12" s="353" t="s">
        <v>6487</v>
      </c>
      <c r="P12" s="197" t="s">
        <v>6488</v>
      </c>
      <c r="Q12" s="358" t="s">
        <v>6489</v>
      </c>
      <c r="R12" s="355" t="s">
        <v>6490</v>
      </c>
      <c r="S12" s="191" t="s">
        <v>6491</v>
      </c>
      <c r="T12" s="192" t="s">
        <v>6492</v>
      </c>
      <c r="U12" s="191"/>
      <c r="V12" s="192"/>
      <c r="W12" s="192"/>
      <c r="X12" s="192"/>
    </row>
    <row r="13">
      <c r="A13" s="353" t="s">
        <v>6493</v>
      </c>
      <c r="B13" s="197" t="s">
        <v>6494</v>
      </c>
      <c r="C13" s="353" t="s">
        <v>6495</v>
      </c>
      <c r="D13" s="197" t="str">
        <f>IFERROR(__xludf.DUMMYFUNCTION("GOOGLETRANSLATE(B13,""zh-tw"",""ja"")"),"物理攻撃力：28
魔法攻撃力：12
電撃属性")</f>
        <v>物理攻撃力：28
魔法攻撃力：12
電撃属性</v>
      </c>
      <c r="E13" s="353" t="s">
        <v>6496</v>
      </c>
      <c r="F13" s="197" t="s">
        <v>6497</v>
      </c>
      <c r="G13" s="353" t="str">
        <f>IFERROR(__xludf.DUMMYFUNCTION("GOOGLETRANSLATE(A13,""zh-tw"",""zh"")"),"会漏电的不良品")</f>
        <v>会漏电的不良品</v>
      </c>
      <c r="H13" s="197" t="str">
        <f>IFERROR(__xludf.DUMMYFUNCTION("GOOGLETRANSLATE(B13,""zh-tw"",""zh"")"),"物攻：28
魔攻：12
电属性")</f>
        <v>物攻：28
魔攻：12
电属性</v>
      </c>
      <c r="I13" s="352" t="s">
        <v>6498</v>
      </c>
      <c r="J13" s="192" t="str">
        <f>IFERROR(__xludf.DUMMYFUNCTION("GOOGLETRANSLATE(B13,""zh-tw"",""es-MX"")"),"Ataque físico: 28
Ataque mágico: 12
Atributo eléctrico")</f>
        <v>Ataque físico: 28
Ataque mágico: 12
Atributo eléctrico</v>
      </c>
      <c r="K13" s="352" t="s">
        <v>6499</v>
      </c>
      <c r="L13" s="192" t="str">
        <f>IFERROR(__xludf.DUMMYFUNCTION("GOOGLETRANSLATE(B13,""zh-tw"",""KO"")"),"물리 공격력: 28
마법 공격력: 12
속성: 전기")</f>
        <v>물리 공격력: 28
마법 공격력: 12
속성: 전기</v>
      </c>
      <c r="M13" s="353" t="s">
        <v>6500</v>
      </c>
      <c r="N13" s="197" t="s">
        <v>6501</v>
      </c>
      <c r="O13" s="353" t="s">
        <v>6502</v>
      </c>
      <c r="P13" s="197" t="s">
        <v>6503</v>
      </c>
      <c r="Q13" s="354" t="s">
        <v>6504</v>
      </c>
      <c r="R13" s="359" t="s">
        <v>6505</v>
      </c>
      <c r="S13" s="191" t="s">
        <v>6506</v>
      </c>
      <c r="T13" s="192" t="s">
        <v>6507</v>
      </c>
      <c r="U13" s="191"/>
      <c r="V13" s="192"/>
      <c r="W13" s="192"/>
      <c r="X13" s="192"/>
    </row>
    <row r="14">
      <c r="A14" s="353" t="s">
        <v>6508</v>
      </c>
      <c r="B14" s="197" t="s">
        <v>6509</v>
      </c>
      <c r="C14" s="353" t="s">
        <v>6510</v>
      </c>
      <c r="D14" s="197" t="str">
        <f>IFERROR(__xludf.DUMMYFUNCTION("GOOGLETRANSLATE(B14,""zh-tw"",""ja"")"),"物理攻撃：毒属性14")</f>
        <v>物理攻撃：毒属性14</v>
      </c>
      <c r="E14" s="353" t="s">
        <v>6511</v>
      </c>
      <c r="F14" s="197" t="s">
        <v>6512</v>
      </c>
      <c r="G14" s="353" t="str">
        <f>IFERROR(__xludf.DUMMYFUNCTION("GOOGLETRANSLATE(A14,""zh-tw"",""zh"")"),"毒孢针")</f>
        <v>毒孢针</v>
      </c>
      <c r="H14" s="197" t="str">
        <f>IFERROR(__xludf.DUMMYFUNCTION("GOOGLETRANSLATE(B14,""zh-tw"",""zh"")"),"物攻：14
毒属性")</f>
        <v>物攻：14
毒属性</v>
      </c>
      <c r="I14" s="352" t="s">
        <v>6513</v>
      </c>
      <c r="J14" s="192" t="str">
        <f>IFERROR(__xludf.DUMMYFUNCTION("GOOGLETRANSLATE(B14,""zh-tw"",""es-MX"")"),"Ataque físico: 14 Atributo Veneno")</f>
        <v>Ataque físico: 14 Atributo Veneno</v>
      </c>
      <c r="K14" s="352" t="s">
        <v>6514</v>
      </c>
      <c r="L14" s="192" t="str">
        <f>IFERROR(__xludf.DUMMYFUNCTION("GOOGLETRANSLATE(B14,""zh-tw"",""KO"")"),"물리 공격력: 14 독 속성")</f>
        <v>물리 공격력: 14 독 속성</v>
      </c>
      <c r="M14" s="353" t="s">
        <v>6515</v>
      </c>
      <c r="N14" s="197" t="s">
        <v>6516</v>
      </c>
      <c r="O14" s="353" t="s">
        <v>6517</v>
      </c>
      <c r="P14" s="197" t="s">
        <v>6518</v>
      </c>
      <c r="Q14" s="354" t="s">
        <v>6519</v>
      </c>
      <c r="R14" s="355" t="s">
        <v>6520</v>
      </c>
      <c r="S14" s="191" t="s">
        <v>6521</v>
      </c>
      <c r="T14" s="192" t="s">
        <v>6522</v>
      </c>
      <c r="U14" s="191"/>
      <c r="V14" s="192"/>
      <c r="W14" s="192"/>
      <c r="X14" s="192"/>
    </row>
    <row r="15">
      <c r="A15" s="353" t="s">
        <v>6523</v>
      </c>
      <c r="B15" s="197" t="s">
        <v>6524</v>
      </c>
      <c r="C15" s="353" t="s">
        <v>6525</v>
      </c>
      <c r="D15" s="197" t="str">
        <f>IFERROR(__xludf.DUMMYFUNCTION("GOOGLETRANSLATE(B15,""zh-tw"",""ja"")"),"物理攻撃：32 分割攻撃")</f>
        <v>物理攻撃：32 分割攻撃</v>
      </c>
      <c r="E15" s="352" t="s">
        <v>6526</v>
      </c>
      <c r="F15" s="168" t="s">
        <v>6527</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6528</v>
      </c>
      <c r="N15" s="197" t="s">
        <v>6529</v>
      </c>
      <c r="O15" s="353" t="s">
        <v>6530</v>
      </c>
      <c r="P15" s="197" t="s">
        <v>6531</v>
      </c>
      <c r="Q15" s="354" t="s">
        <v>6532</v>
      </c>
      <c r="R15" s="359" t="s">
        <v>6533</v>
      </c>
      <c r="S15" s="191" t="s">
        <v>6534</v>
      </c>
      <c r="T15" s="192" t="s">
        <v>6535</v>
      </c>
      <c r="U15" s="191"/>
      <c r="V15" s="192"/>
      <c r="W15" s="192"/>
      <c r="X15" s="192"/>
    </row>
    <row r="16">
      <c r="A16" s="353" t="s">
        <v>6536</v>
      </c>
      <c r="B16" s="197" t="s">
        <v>6537</v>
      </c>
      <c r="C16" s="353" t="s">
        <v>6538</v>
      </c>
      <c r="D16" s="197" t="str">
        <f>IFERROR(__xludf.DUMMYFUNCTION("GOOGLETRANSLATE(B16,""zh-tw"",""ja"")"),"物理攻撃力：48
魔法耐性：20
条件を満たす武器種")</f>
        <v>物理攻撃力：48
魔法耐性：20
条件を満たす武器種</v>
      </c>
      <c r="E16" s="353" t="s">
        <v>6539</v>
      </c>
      <c r="F16" s="197" t="s">
        <v>6540</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6541</v>
      </c>
      <c r="J16" s="192" t="str">
        <f>IFERROR(__xludf.DUMMYFUNCTION("GOOGLETRANSLATE(B16,""zh-tw"",""es-MX"")"),"Ataque físico: 48
Resistencia mágica: 20
Tipo de arma que cumple con los requisitos")</f>
        <v>Ataque físico: 48
Resistencia mágica: 20
Tipo de arma que cumple con los requisitos</v>
      </c>
      <c r="K16" s="352" t="s">
        <v>6542</v>
      </c>
      <c r="L16" s="192" t="str">
        <f>IFERROR(__xludf.DUMMYFUNCTION("GOOGLETRANSLATE(B16,""zh-tw"",""KO"")"),"물리 공격력: 48
마법 저항력: 20
요구 조건을 충족하는 무기 유형")</f>
        <v>물리 공격력: 48
마법 저항력: 20
요구 조건을 충족하는 무기 유형</v>
      </c>
      <c r="M16" s="353" t="s">
        <v>6543</v>
      </c>
      <c r="N16" s="197" t="s">
        <v>6544</v>
      </c>
      <c r="O16" s="353" t="s">
        <v>6545</v>
      </c>
      <c r="P16" s="197" t="s">
        <v>6546</v>
      </c>
      <c r="Q16" s="354" t="s">
        <v>6547</v>
      </c>
      <c r="R16" s="355" t="s">
        <v>6548</v>
      </c>
      <c r="S16" s="191" t="s">
        <v>6549</v>
      </c>
      <c r="T16" s="192" t="s">
        <v>6550</v>
      </c>
      <c r="U16" s="191"/>
      <c r="V16" s="192"/>
      <c r="W16" s="192"/>
      <c r="X16" s="192"/>
    </row>
    <row r="17">
      <c r="A17" s="353" t="s">
        <v>6551</v>
      </c>
      <c r="B17" s="197" t="s">
        <v>6552</v>
      </c>
      <c r="C17" s="353" t="s">
        <v>6553</v>
      </c>
      <c r="D17" s="197" t="str">
        <f>IFERROR(__xludf.DUMMYFUNCTION("GOOGLETRANSLATE(B17,""zh-tw"",""ja"")"),"物理攻撃：1累積ダメージ武器")</f>
        <v>物理攻撃：1累積ダメージ武器</v>
      </c>
      <c r="E17" s="353" t="s">
        <v>6554</v>
      </c>
      <c r="F17" s="197" t="s">
        <v>6555</v>
      </c>
      <c r="G17" s="353" t="str">
        <f>IFERROR(__xludf.DUMMYFUNCTION("GOOGLETRANSLATE(A17,""zh-tw"",""zh"")"),"甜筒大剑")</f>
        <v>甜筒大剑</v>
      </c>
      <c r="H17" s="197" t="str">
        <f>IFERROR(__xludf.DUMMYFUNCTION("GOOGLETRANSLATE(B17,""zh-tw"",""zh"")"),"物攻：1
累计伤害型武器")</f>
        <v>物攻：1
累计伤害型武器</v>
      </c>
      <c r="I17" s="352" t="s">
        <v>6556</v>
      </c>
      <c r="J17" s="192" t="str">
        <f>IFERROR(__xludf.DUMMYFUNCTION("GOOGLETRANSLATE(B17,""zh-tw"",""es-MX"")"),"Ataque físico: 1 arma de daño acumulativo")</f>
        <v>Ataque físico: 1 arma de daño acumulativo</v>
      </c>
      <c r="K17" s="356" t="str">
        <f>IFERROR(__xludf.DUMMYFUNCTION("GOOGLETRANSLATE(A17,""zh-tw"",""KO"")"),"아이스크림 콘 검")</f>
        <v>아이스크림 콘 검</v>
      </c>
      <c r="L17" s="192" t="str">
        <f>IFERROR(__xludf.DUMMYFUNCTION("GOOGLETRANSLATE(B17,""zh-tw"",""KO"")"),"물리 공격: 누적 피해량 1 무기")</f>
        <v>물리 공격: 누적 피해량 1 무기</v>
      </c>
      <c r="M17" s="353" t="s">
        <v>6557</v>
      </c>
      <c r="N17" s="197" t="s">
        <v>6558</v>
      </c>
      <c r="O17" s="353" t="s">
        <v>6559</v>
      </c>
      <c r="P17" s="197" t="s">
        <v>6560</v>
      </c>
      <c r="Q17" s="354" t="s">
        <v>6561</v>
      </c>
      <c r="R17" s="355" t="s">
        <v>6562</v>
      </c>
      <c r="S17" s="191" t="s">
        <v>6563</v>
      </c>
      <c r="T17" s="192" t="s">
        <v>6564</v>
      </c>
      <c r="U17" s="191"/>
      <c r="V17" s="192"/>
      <c r="W17" s="192"/>
      <c r="X17" s="192"/>
    </row>
    <row r="18">
      <c r="A18" s="353" t="s">
        <v>6565</v>
      </c>
      <c r="B18" s="197" t="s">
        <v>6566</v>
      </c>
      <c r="C18" s="353" t="s">
        <v>6567</v>
      </c>
      <c r="D18" s="197" t="str">
        <f>IFERROR(__xludf.DUMMYFUNCTION("GOOGLETRANSLATE(B18,""zh-tw"",""ja"")"),"物理攻撃力：20
物理耐性：2
累積ステータスベースの武器")</f>
        <v>物理攻撃力：20
物理耐性：2
累積ステータスベースの武器</v>
      </c>
      <c r="E18" s="353" t="s">
        <v>6568</v>
      </c>
      <c r="F18" s="197" t="s">
        <v>6569</v>
      </c>
      <c r="G18" s="353" t="str">
        <f>IFERROR(__xludf.DUMMYFUNCTION("GOOGLETRANSLATE(A18,""zh-tw"",""zh"")"),"古树残骸")</f>
        <v>古树残骸</v>
      </c>
      <c r="H18" s="197" t="str">
        <f>IFERROR(__xludf.DUMMYFUNCTION("GOOGLETRANSLATE(B18,""zh-tw"",""zh"")"),"物攻：20
物抗：2
累计素质型武器")</f>
        <v>物攻：20
物抗：2
累计素质型武器</v>
      </c>
      <c r="I18" s="352" t="s">
        <v>6570</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6571</v>
      </c>
      <c r="N18" s="197" t="s">
        <v>6572</v>
      </c>
      <c r="O18" s="353" t="s">
        <v>6573</v>
      </c>
      <c r="P18" s="197" t="s">
        <v>6574</v>
      </c>
      <c r="Q18" s="354" t="s">
        <v>6575</v>
      </c>
      <c r="R18" s="355" t="s">
        <v>6576</v>
      </c>
      <c r="S18" s="191" t="s">
        <v>6577</v>
      </c>
      <c r="T18" s="192" t="s">
        <v>6578</v>
      </c>
      <c r="U18" s="191"/>
      <c r="V18" s="192"/>
      <c r="W18" s="192"/>
      <c r="X18" s="192"/>
    </row>
    <row r="19">
      <c r="A19" s="353" t="s">
        <v>6579</v>
      </c>
      <c r="B19" s="197" t="s">
        <v>6580</v>
      </c>
      <c r="C19" s="353" t="s">
        <v>6581</v>
      </c>
      <c r="D19" s="197" t="str">
        <f>IFERROR(__xludf.DUMMYFUNCTION("GOOGLETRANSLATE(B19,""zh-tw"",""ja"")"),"物理攻撃力：40 剣波を発射する")</f>
        <v>物理攻撃力：40 剣波を発射する</v>
      </c>
      <c r="E19" s="353" t="s">
        <v>6582</v>
      </c>
      <c r="F19" s="197" t="s">
        <v>6583</v>
      </c>
      <c r="G19" s="353" t="str">
        <f>IFERROR(__xludf.DUMMYFUNCTION("GOOGLETRANSLATE(A19,""zh-tw"",""zh"")"),"斩裂剑提尔锋")</f>
        <v>斩裂剑提尔锋</v>
      </c>
      <c r="H19" s="197" t="str">
        <f>IFERROR(__xludf.DUMMYFUNCTION("GOOGLETRANSLATE(B19,""zh-tw"",""zh"")"),"物攻：40
发射剑波")</f>
        <v>物攻：40
发射剑波</v>
      </c>
      <c r="I19" s="352" t="s">
        <v>6584</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6585</v>
      </c>
      <c r="N19" s="197" t="s">
        <v>6586</v>
      </c>
      <c r="O19" s="353" t="s">
        <v>6587</v>
      </c>
      <c r="P19" s="197" t="s">
        <v>6588</v>
      </c>
      <c r="Q19" s="354" t="s">
        <v>6589</v>
      </c>
      <c r="R19" s="355" t="s">
        <v>6590</v>
      </c>
      <c r="S19" s="191" t="s">
        <v>6582</v>
      </c>
      <c r="T19" s="192" t="s">
        <v>6591</v>
      </c>
      <c r="U19" s="191"/>
      <c r="V19" s="192"/>
      <c r="W19" s="192"/>
      <c r="X19" s="192"/>
    </row>
    <row r="20">
      <c r="A20" s="353" t="s">
        <v>6592</v>
      </c>
      <c r="B20" s="197" t="s">
        <v>6593</v>
      </c>
      <c r="C20" s="353" t="s">
        <v>6594</v>
      </c>
      <c r="D20" s="197" t="str">
        <f>IFERROR(__xludf.DUMMYFUNCTION("GOOGLETRANSLATE(B20,""zh-tw"",""ja"")"),"物理攻撃：出血30")</f>
        <v>物理攻撃：出血30</v>
      </c>
      <c r="E20" s="353" t="s">
        <v>6595</v>
      </c>
      <c r="F20" s="197" t="s">
        <v>6596</v>
      </c>
      <c r="G20" s="353" t="str">
        <f>IFERROR(__xludf.DUMMYFUNCTION("GOOGLETRANSLATE(A20,""zh-tw"",""zh"")"),"来自地狱")</f>
        <v>来自地狱</v>
      </c>
      <c r="H20" s="197" t="str">
        <f>IFERROR(__xludf.DUMMYFUNCTION("GOOGLETRANSLATE(B20,""zh-tw"",""zh"")"),"物攻：30
出血")</f>
        <v>物攻：30
出血</v>
      </c>
      <c r="I20" s="352" t="s">
        <v>6597</v>
      </c>
      <c r="J20" s="192" t="str">
        <f>IFERROR(__xludf.DUMMYFUNCTION("GOOGLETRANSLATE(B20,""zh-tw"",""es-MX"")"),"Ataque físico: 30 sangrado")</f>
        <v>Ataque físico: 30 sangrado</v>
      </c>
      <c r="K20" s="352" t="s">
        <v>6598</v>
      </c>
      <c r="L20" s="192" t="str">
        <f>IFERROR(__xludf.DUMMYFUNCTION("GOOGLETRANSLATE(B20,""zh-tw"",""KO"")"),"물리 공격: 출혈 30")</f>
        <v>물리 공격: 출혈 30</v>
      </c>
      <c r="M20" s="353" t="s">
        <v>6599</v>
      </c>
      <c r="N20" s="197" t="s">
        <v>6600</v>
      </c>
      <c r="O20" s="353" t="s">
        <v>6601</v>
      </c>
      <c r="P20" s="197" t="s">
        <v>6602</v>
      </c>
      <c r="Q20" s="354" t="s">
        <v>6603</v>
      </c>
      <c r="R20" s="355" t="s">
        <v>6604</v>
      </c>
      <c r="S20" s="191" t="s">
        <v>6605</v>
      </c>
      <c r="T20" s="192" t="s">
        <v>6606</v>
      </c>
      <c r="U20" s="191"/>
      <c r="V20" s="192"/>
      <c r="W20" s="192"/>
      <c r="X20" s="192"/>
    </row>
    <row r="21">
      <c r="A21" s="353" t="s">
        <v>6607</v>
      </c>
      <c r="B21" s="197" t="s">
        <v>6608</v>
      </c>
      <c r="C21" s="353" t="s">
        <v>6609</v>
      </c>
      <c r="D21" s="197" t="str">
        <f>IFERROR(__xludf.DUMMYFUNCTION("GOOGLETRANSLATE(B21,""zh-tw"",""ja"")"),"物理攻撃：ノックダウン回復32")</f>
        <v>物理攻撃：ノックダウン回復32</v>
      </c>
      <c r="E21" s="353" t="s">
        <v>6610</v>
      </c>
      <c r="F21" s="197" t="s">
        <v>6611</v>
      </c>
      <c r="G21" s="353" t="str">
        <f>IFERROR(__xludf.DUMMYFUNCTION("GOOGLETRANSLATE(A21,""zh-tw"",""zh"")"),"寄生刃")</f>
        <v>寄生刃</v>
      </c>
      <c r="H21" s="197" t="str">
        <f>IFERROR(__xludf.DUMMYFUNCTION("GOOGLETRANSLATE(B21,""zh-tw"",""zh"")"),"物攻：32
击倒回复")</f>
        <v>物攻：32
击倒回复</v>
      </c>
      <c r="I21" s="352" t="s">
        <v>6612</v>
      </c>
      <c r="J21" s="192" t="str">
        <f>IFERROR(__xludf.DUMMYFUNCTION("GOOGLETRANSLATE(B21,""zh-tw"",""es-MX"")"),"Ataque físico: 32 Recuperación de derribo")</f>
        <v>Ataque físico: 32 Recuperación de derribo</v>
      </c>
      <c r="K21" s="352" t="s">
        <v>6613</v>
      </c>
      <c r="L21" s="168" t="s">
        <v>6614</v>
      </c>
      <c r="M21" s="353" t="s">
        <v>6615</v>
      </c>
      <c r="N21" s="197" t="s">
        <v>6616</v>
      </c>
      <c r="O21" s="353" t="s">
        <v>6617</v>
      </c>
      <c r="P21" s="197" t="s">
        <v>6618</v>
      </c>
      <c r="Q21" s="354" t="s">
        <v>6619</v>
      </c>
      <c r="R21" s="355" t="s">
        <v>6620</v>
      </c>
      <c r="S21" s="191" t="s">
        <v>6621</v>
      </c>
      <c r="T21" s="192" t="s">
        <v>6622</v>
      </c>
      <c r="U21" s="191"/>
      <c r="V21" s="192"/>
      <c r="W21" s="192"/>
      <c r="X21" s="192"/>
    </row>
    <row r="22">
      <c r="A22" s="357" t="s">
        <v>6623</v>
      </c>
      <c r="B22" s="153" t="s">
        <v>6624</v>
      </c>
      <c r="C22" s="357" t="s">
        <v>6625</v>
      </c>
      <c r="D22" s="153" t="s">
        <v>6626</v>
      </c>
      <c r="E22" s="357" t="s">
        <v>6627</v>
      </c>
      <c r="F22" s="153" t="s">
        <v>6628</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6629</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6630</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6631</v>
      </c>
      <c r="N22" s="197" t="s">
        <v>6632</v>
      </c>
      <c r="O22" s="357" t="s">
        <v>6633</v>
      </c>
      <c r="P22" s="153" t="s">
        <v>6634</v>
      </c>
      <c r="Q22" s="354" t="s">
        <v>6635</v>
      </c>
      <c r="R22" s="359" t="s">
        <v>6636</v>
      </c>
      <c r="S22" s="191" t="s">
        <v>6637</v>
      </c>
      <c r="T22" s="192" t="s">
        <v>6638</v>
      </c>
      <c r="U22" s="191"/>
      <c r="V22" s="192"/>
      <c r="W22" s="192"/>
      <c r="X22" s="192"/>
    </row>
    <row r="23">
      <c r="A23" s="357" t="s">
        <v>6639</v>
      </c>
      <c r="B23" s="168" t="s">
        <v>6640</v>
      </c>
      <c r="C23" s="357" t="s">
        <v>6639</v>
      </c>
      <c r="D23" s="168" t="s">
        <v>6641</v>
      </c>
      <c r="E23" s="357" t="s">
        <v>6642</v>
      </c>
      <c r="F23" s="168" t="s">
        <v>6643</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6644</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6645</v>
      </c>
      <c r="N23" s="197" t="s">
        <v>6646</v>
      </c>
      <c r="O23" s="357" t="s">
        <v>6647</v>
      </c>
      <c r="P23" s="168" t="s">
        <v>6648</v>
      </c>
      <c r="Q23" s="354" t="s">
        <v>6649</v>
      </c>
      <c r="R23" s="359" t="s">
        <v>6650</v>
      </c>
      <c r="S23" s="191" t="s">
        <v>6651</v>
      </c>
      <c r="T23" s="192" t="s">
        <v>6652</v>
      </c>
      <c r="U23" s="191"/>
      <c r="V23" s="192"/>
      <c r="W23" s="192"/>
      <c r="X23" s="192"/>
    </row>
    <row r="24">
      <c r="A24" s="353" t="s">
        <v>6653</v>
      </c>
      <c r="B24" s="197" t="s">
        <v>6654</v>
      </c>
      <c r="C24" s="353" t="s">
        <v>6655</v>
      </c>
      <c r="D24" s="197" t="s">
        <v>6656</v>
      </c>
      <c r="E24" s="353" t="s">
        <v>6657</v>
      </c>
      <c r="F24" s="197" t="s">
        <v>6658</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6659</v>
      </c>
      <c r="N24" s="197" t="s">
        <v>6660</v>
      </c>
      <c r="O24" s="353" t="s">
        <v>6661</v>
      </c>
      <c r="P24" s="197" t="s">
        <v>6662</v>
      </c>
      <c r="Q24" s="354" t="s">
        <v>6663</v>
      </c>
      <c r="R24" s="355" t="s">
        <v>6664</v>
      </c>
      <c r="S24" s="191" t="s">
        <v>6665</v>
      </c>
      <c r="T24" s="192" t="s">
        <v>6666</v>
      </c>
      <c r="U24" s="191"/>
      <c r="V24" s="192"/>
      <c r="W24" s="192"/>
      <c r="X24" s="192"/>
    </row>
    <row r="25">
      <c r="A25" s="353" t="s">
        <v>6667</v>
      </c>
      <c r="B25" s="197" t="s">
        <v>6668</v>
      </c>
      <c r="C25" s="353" t="s">
        <v>6669</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6670</v>
      </c>
      <c r="F25" s="197" t="s">
        <v>6671</v>
      </c>
      <c r="G25" s="353" t="str">
        <f>IFERROR(__xludf.DUMMYFUNCTION("GOOGLETRANSLATE(A25,""zh-tw"",""zh"")"),"克里乌之光")</f>
        <v>克里乌之光</v>
      </c>
      <c r="H25" s="197" t="s">
        <v>6672</v>
      </c>
      <c r="I25" s="352" t="s">
        <v>6670</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6673</v>
      </c>
      <c r="N25" s="197" t="s">
        <v>6674</v>
      </c>
      <c r="O25" s="353" t="s">
        <v>6675</v>
      </c>
      <c r="P25" s="197" t="s">
        <v>6676</v>
      </c>
      <c r="Q25" s="354" t="s">
        <v>6677</v>
      </c>
      <c r="R25" s="355" t="s">
        <v>6678</v>
      </c>
      <c r="S25" s="191" t="s">
        <v>6670</v>
      </c>
      <c r="T25" s="192" t="s">
        <v>6679</v>
      </c>
      <c r="U25" s="191"/>
      <c r="V25" s="192"/>
      <c r="W25" s="192"/>
      <c r="X25" s="192"/>
    </row>
    <row r="26">
      <c r="A26" s="353" t="s">
        <v>6680</v>
      </c>
      <c r="B26" s="197" t="s">
        <v>6681</v>
      </c>
      <c r="C26" s="353" t="str">
        <f>IFERROR(__xludf.DUMMYFUNCTION("GOOGLETRANSLATE(A26,""zh-tw"",""ja"")"),"木製の弓")</f>
        <v>木製の弓</v>
      </c>
      <c r="D26" s="197" t="str">
        <f>IFERROR(__xludf.DUMMYFUNCTION("GOOGLETRANSLATE(B26,""zh-tw"",""ja"")"),"物理攻撃：貫通力20（ダメージ減少）")</f>
        <v>物理攻撃：貫通力20（ダメージ減少）</v>
      </c>
      <c r="E26" s="353" t="s">
        <v>6682</v>
      </c>
      <c r="F26" s="197" t="s">
        <v>6683</v>
      </c>
      <c r="G26" s="353" t="str">
        <f>IFERROR(__xludf.DUMMYFUNCTION("GOOGLETRANSLATE(A26,""zh-tw"",""zh"")"),"木弓")</f>
        <v>木弓</v>
      </c>
      <c r="H26" s="197" t="str">
        <f>IFERROR(__xludf.DUMMYFUNCTION("GOOGLETRANSLATE(B26,""zh-tw"",""zh"")"),"物攻：20
穿透(伤害递减)")</f>
        <v>物攻：20
穿透(伤害递减)</v>
      </c>
      <c r="I26" s="352" t="s">
        <v>6684</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6685</v>
      </c>
      <c r="N26" s="197" t="s">
        <v>6686</v>
      </c>
      <c r="O26" s="353" t="s">
        <v>6687</v>
      </c>
      <c r="P26" s="197" t="s">
        <v>6688</v>
      </c>
      <c r="Q26" s="354" t="s">
        <v>6689</v>
      </c>
      <c r="R26" s="355" t="s">
        <v>6690</v>
      </c>
      <c r="S26" s="191" t="s">
        <v>6691</v>
      </c>
      <c r="T26" s="192" t="s">
        <v>6692</v>
      </c>
      <c r="U26" s="191"/>
      <c r="V26" s="192"/>
      <c r="W26" s="192"/>
      <c r="X26" s="192"/>
    </row>
    <row r="27">
      <c r="A27" s="353" t="s">
        <v>6693</v>
      </c>
      <c r="B27" s="197" t="s">
        <v>6694</v>
      </c>
      <c r="C27" s="353" t="s">
        <v>6695</v>
      </c>
      <c r="D27" s="197" t="str">
        <f>IFERROR(__xludf.DUMMYFUNCTION("GOOGLETRANSLATE(B27,""zh-tw"",""ja"")"),"物理攻撃：貫通力24")</f>
        <v>物理攻撃：貫通力24</v>
      </c>
      <c r="E27" s="353" t="s">
        <v>6696</v>
      </c>
      <c r="F27" s="197" t="s">
        <v>6697</v>
      </c>
      <c r="G27" s="353" t="str">
        <f>IFERROR(__xludf.DUMMYFUNCTION("GOOGLETRANSLATE(A27,""zh-tw"",""zh"")"),"猎人之弓")</f>
        <v>猎人之弓</v>
      </c>
      <c r="H27" s="197" t="str">
        <f>IFERROR(__xludf.DUMMYFUNCTION("GOOGLETRANSLATE(B27,""zh-tw"",""zh"")"),"物攻：24
穿透")</f>
        <v>物攻：24
穿透</v>
      </c>
      <c r="I27" s="352" t="s">
        <v>6698</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6699</v>
      </c>
      <c r="N27" s="197" t="s">
        <v>6700</v>
      </c>
      <c r="O27" s="353" t="s">
        <v>6701</v>
      </c>
      <c r="P27" s="197" t="s">
        <v>6702</v>
      </c>
      <c r="Q27" s="354" t="s">
        <v>6703</v>
      </c>
      <c r="R27" s="355" t="s">
        <v>6704</v>
      </c>
      <c r="S27" s="191" t="s">
        <v>6705</v>
      </c>
      <c r="T27" s="192" t="s">
        <v>6706</v>
      </c>
      <c r="U27" s="191"/>
      <c r="V27" s="192"/>
      <c r="W27" s="192"/>
      <c r="X27" s="192"/>
    </row>
    <row r="28">
      <c r="A28" s="353" t="s">
        <v>6707</v>
      </c>
      <c r="B28" s="197" t="s">
        <v>6708</v>
      </c>
      <c r="C28" s="353" t="s">
        <v>6709</v>
      </c>
      <c r="D28" s="197" t="str">
        <f>IFERROR(__xludf.DUMMYFUNCTION("GOOGLETRANSLATE(B28,""zh-tw"",""ja"")"),"物理攻撃力：18
魔法攻撃力：18
火属性")</f>
        <v>物理攻撃力：18
魔法攻撃力：18
火属性</v>
      </c>
      <c r="E28" s="353" t="s">
        <v>6710</v>
      </c>
      <c r="F28" s="197" t="s">
        <v>6711</v>
      </c>
      <c r="G28" s="353" t="str">
        <f>IFERROR(__xludf.DUMMYFUNCTION("GOOGLETRANSLATE(A28,""zh-tw"",""zh"")"),"火烧云")</f>
        <v>火烧云</v>
      </c>
      <c r="H28" s="197" t="str">
        <f>IFERROR(__xludf.DUMMYFUNCTION("GOOGLETRANSLATE(B28,""zh-tw"",""zh"")"),"物攻：18
魔攻：18
炎属性")</f>
        <v>物攻：18
魔攻：18
炎属性</v>
      </c>
      <c r="I28" s="352" t="s">
        <v>6712</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6713</v>
      </c>
      <c r="N28" s="197" t="s">
        <v>6714</v>
      </c>
      <c r="O28" s="353" t="s">
        <v>6715</v>
      </c>
      <c r="P28" s="197" t="s">
        <v>6716</v>
      </c>
      <c r="Q28" s="354" t="s">
        <v>6717</v>
      </c>
      <c r="R28" s="355" t="s">
        <v>6718</v>
      </c>
      <c r="S28" s="166" t="s">
        <v>6719</v>
      </c>
      <c r="T28" s="192" t="s">
        <v>6720</v>
      </c>
      <c r="U28" s="191"/>
      <c r="V28" s="192"/>
      <c r="W28" s="192"/>
      <c r="X28" s="192"/>
    </row>
    <row r="29">
      <c r="A29" s="353" t="s">
        <v>6721</v>
      </c>
      <c r="B29" s="197" t="s">
        <v>6722</v>
      </c>
      <c r="C29" s="353" t="s">
        <v>6721</v>
      </c>
      <c r="D29" s="197" t="str">
        <f>IFERROR(__xludf.DUMMYFUNCTION("GOOGLETRANSLATE(B29,""zh-tw"",""ja"")"),"物理攻撃力：16
魔法攻撃力：16
氷属性")</f>
        <v>物理攻撃力：16
魔法攻撃力：16
氷属性</v>
      </c>
      <c r="E29" s="353" t="s">
        <v>6723</v>
      </c>
      <c r="F29" s="197" t="s">
        <v>6724</v>
      </c>
      <c r="G29" s="353" t="str">
        <f>IFERROR(__xludf.DUMMYFUNCTION("GOOGLETRANSLATE(A29,""zh-tw"",""zh"")"),"雪见")</f>
        <v>雪见</v>
      </c>
      <c r="H29" s="197" t="str">
        <f>IFERROR(__xludf.DUMMYFUNCTION("GOOGLETRANSLATE(B29,""zh-tw"",""zh"")"),"物攻：16
魔攻：16
冰属性")</f>
        <v>物攻：16
魔攻：16
冰属性</v>
      </c>
      <c r="I29" s="352" t="s">
        <v>6725</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6726</v>
      </c>
      <c r="N29" s="197" t="s">
        <v>6727</v>
      </c>
      <c r="O29" s="353" t="s">
        <v>6728</v>
      </c>
      <c r="P29" s="197" t="s">
        <v>6729</v>
      </c>
      <c r="Q29" s="354" t="s">
        <v>6730</v>
      </c>
      <c r="R29" s="355" t="s">
        <v>6731</v>
      </c>
      <c r="S29" s="191" t="s">
        <v>6732</v>
      </c>
      <c r="T29" s="192" t="s">
        <v>6733</v>
      </c>
      <c r="U29" s="191"/>
      <c r="V29" s="192"/>
      <c r="W29" s="192"/>
      <c r="X29" s="192"/>
    </row>
    <row r="30">
      <c r="A30" s="353" t="s">
        <v>6734</v>
      </c>
      <c r="B30" s="197" t="s">
        <v>6735</v>
      </c>
      <c r="C30" s="353" t="str">
        <f>IFERROR(__xludf.DUMMYFUNCTION("GOOGLETRANSLATE(A30,""zh-tw"",""ja"")"),"千鳥")</f>
        <v>千鳥</v>
      </c>
      <c r="D30" s="197" t="str">
        <f>IFERROR(__xludf.DUMMYFUNCTION("GOOGLETRANSLATE(B30,""zh-tw"",""ja"")"),"物理攻撃力：16
魔法攻撃力：16
雷属性")</f>
        <v>物理攻撃力：16
魔法攻撃力：16
雷属性</v>
      </c>
      <c r="E30" s="353" t="s">
        <v>6736</v>
      </c>
      <c r="F30" s="197" t="s">
        <v>6737</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6738</v>
      </c>
      <c r="N30" s="197" t="s">
        <v>6739</v>
      </c>
      <c r="O30" s="353" t="s">
        <v>6740</v>
      </c>
      <c r="P30" s="197" t="s">
        <v>6741</v>
      </c>
      <c r="Q30" s="354" t="s">
        <v>6742</v>
      </c>
      <c r="R30" s="355" t="s">
        <v>6743</v>
      </c>
      <c r="S30" s="191" t="s">
        <v>6736</v>
      </c>
      <c r="T30" s="192" t="s">
        <v>6744</v>
      </c>
      <c r="U30" s="191"/>
      <c r="V30" s="192"/>
      <c r="W30" s="192"/>
      <c r="X30" s="192"/>
    </row>
    <row r="31">
      <c r="A31" s="353" t="s">
        <v>6745</v>
      </c>
      <c r="B31" s="197" t="s">
        <v>6746</v>
      </c>
      <c r="C31" s="353" t="s">
        <v>6747</v>
      </c>
      <c r="D31" s="197" t="str">
        <f>IFERROR(__xludf.DUMMYFUNCTION("GOOGLETRANSLATE(B31,""zh-tw"",""ja"")"),"物理攻撃力：32（連射）")</f>
        <v>物理攻撃力：32（連射）</v>
      </c>
      <c r="E31" s="353" t="s">
        <v>6748</v>
      </c>
      <c r="F31" s="197" t="s">
        <v>6749</v>
      </c>
      <c r="G31" s="353" t="str">
        <f>IFERROR(__xludf.DUMMYFUNCTION("GOOGLETRANSLATE(A31,""zh-tw"",""zh"")"),"三头连弓地狱犬")</f>
        <v>三头连弓地狱犬</v>
      </c>
      <c r="H31" s="197" t="str">
        <f>IFERROR(__xludf.DUMMYFUNCTION("GOOGLETRANSLATE(B31,""zh-tw"",""zh"")"),"物攻：32
连发")</f>
        <v>物攻：32
连发</v>
      </c>
      <c r="I31" s="352" t="s">
        <v>6750</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6751</v>
      </c>
      <c r="N31" s="197" t="s">
        <v>6752</v>
      </c>
      <c r="O31" s="353" t="s">
        <v>6753</v>
      </c>
      <c r="P31" s="197" t="s">
        <v>6754</v>
      </c>
      <c r="Q31" s="354" t="s">
        <v>6755</v>
      </c>
      <c r="R31" s="355" t="s">
        <v>6756</v>
      </c>
      <c r="S31" s="191" t="s">
        <v>6757</v>
      </c>
      <c r="T31" s="192" t="s">
        <v>6758</v>
      </c>
      <c r="U31" s="191"/>
      <c r="V31" s="192"/>
      <c r="W31" s="192"/>
      <c r="X31" s="192"/>
    </row>
    <row r="32">
      <c r="A32" s="353" t="s">
        <v>6283</v>
      </c>
      <c r="B32" s="197" t="s">
        <v>6759</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6287</v>
      </c>
      <c r="F32" s="197" t="s">
        <v>6760</v>
      </c>
      <c r="G32" s="353" t="str">
        <f>IFERROR(__xludf.DUMMYFUNCTION("GOOGLETRANSLATE(A32,""zh-tw"",""zh"")"),"熔岩杖")</f>
        <v>熔岩杖</v>
      </c>
      <c r="H32" s="197" t="str">
        <f>IFERROR(__xludf.DUMMYFUNCTION("GOOGLETRANSLATE(B32,""zh-tw"",""zh"")"),"物攻：1
魔攻：66
炎属性")</f>
        <v>物攻：1
魔攻：66
炎属性</v>
      </c>
      <c r="I32" s="352" t="s">
        <v>6761</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6762</v>
      </c>
      <c r="N32" s="197" t="s">
        <v>6763</v>
      </c>
      <c r="O32" s="353" t="s">
        <v>6290</v>
      </c>
      <c r="P32" s="197" t="s">
        <v>6764</v>
      </c>
      <c r="Q32" s="354" t="s">
        <v>6765</v>
      </c>
      <c r="R32" s="359" t="s">
        <v>6766</v>
      </c>
      <c r="S32" s="191" t="s">
        <v>6295</v>
      </c>
      <c r="T32" s="192" t="s">
        <v>6767</v>
      </c>
      <c r="U32" s="191"/>
      <c r="V32" s="192"/>
      <c r="W32" s="192"/>
      <c r="X32" s="192"/>
    </row>
    <row r="33">
      <c r="A33" s="353" t="s">
        <v>6768</v>
      </c>
      <c r="B33" s="197" t="s">
        <v>6769</v>
      </c>
      <c r="C33" s="353" t="s">
        <v>6770</v>
      </c>
      <c r="D33" s="197" t="str">
        <f>IFERROR(__xludf.DUMMYFUNCTION("GOOGLETRANSLATE(B33,""zh-tw"",""ja"")"),"物理攻撃: 1 魔法攻撃: 55 氷属性")</f>
        <v>物理攻撃: 1 魔法攻撃: 55 氷属性</v>
      </c>
      <c r="E33" s="353" t="s">
        <v>6771</v>
      </c>
      <c r="F33" s="197" t="s">
        <v>6772</v>
      </c>
      <c r="G33" s="353" t="str">
        <f>IFERROR(__xludf.DUMMYFUNCTION("GOOGLETRANSLATE(A33,""zh-tw"",""zh"")"),"寒冰杖")</f>
        <v>寒冰杖</v>
      </c>
      <c r="H33" s="197" t="str">
        <f>IFERROR(__xludf.DUMMYFUNCTION("GOOGLETRANSLATE(B33,""zh-tw"",""zh"")"),"物攻：1
魔攻：55
冰属性")</f>
        <v>物攻：1
魔攻：55
冰属性</v>
      </c>
      <c r="I33" s="352" t="s">
        <v>6773</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6774</v>
      </c>
      <c r="N33" s="197" t="s">
        <v>6775</v>
      </c>
      <c r="O33" s="353" t="s">
        <v>6776</v>
      </c>
      <c r="P33" s="197" t="s">
        <v>6777</v>
      </c>
      <c r="Q33" s="354" t="s">
        <v>6778</v>
      </c>
      <c r="R33" s="355" t="s">
        <v>6779</v>
      </c>
      <c r="S33" s="191" t="s">
        <v>6780</v>
      </c>
      <c r="T33" s="192" t="s">
        <v>6781</v>
      </c>
      <c r="U33" s="191"/>
      <c r="V33" s="192"/>
      <c r="W33" s="192"/>
      <c r="X33" s="192"/>
    </row>
    <row r="34">
      <c r="A34" s="353" t="s">
        <v>6782</v>
      </c>
      <c r="B34" s="197" t="s">
        <v>6783</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6784</v>
      </c>
      <c r="F34" s="197" t="s">
        <v>6785</v>
      </c>
      <c r="G34" s="353" t="str">
        <f>IFERROR(__xludf.DUMMYFUNCTION("GOOGLETRANSLATE(A34,""zh-tw"",""zh"")"),"星月夜")</f>
        <v>星月夜</v>
      </c>
      <c r="H34" s="197" t="str">
        <f>IFERROR(__xludf.DUMMYFUNCTION("GOOGLETRANSLATE(B34,""zh-tw"",""zh"")"),"物攻：1
魔攻：68
黑洞")</f>
        <v>物攻：1
魔攻：68
黑洞</v>
      </c>
      <c r="I34" s="352" t="s">
        <v>6786</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6787</v>
      </c>
      <c r="N34" s="197" t="s">
        <v>6788</v>
      </c>
      <c r="O34" s="353" t="s">
        <v>6789</v>
      </c>
      <c r="P34" s="197" t="s">
        <v>6790</v>
      </c>
      <c r="Q34" s="354" t="s">
        <v>6791</v>
      </c>
      <c r="R34" s="355" t="s">
        <v>6792</v>
      </c>
      <c r="S34" s="191" t="s">
        <v>6793</v>
      </c>
      <c r="T34" s="192" t="s">
        <v>6794</v>
      </c>
      <c r="U34" s="191"/>
      <c r="V34" s="192"/>
      <c r="W34" s="192"/>
      <c r="X34" s="192"/>
    </row>
    <row r="35">
      <c r="A35" s="353" t="s">
        <v>6795</v>
      </c>
      <c r="B35" s="197" t="s">
        <v>6796</v>
      </c>
      <c r="C35" s="353" t="str">
        <f>IFERROR(__xludf.DUMMYFUNCTION("GOOGLETRANSLATE(A35,""zh-tw"",""ja"")"),"バナナ？")</f>
        <v>バナナ？</v>
      </c>
      <c r="D35" s="197" t="str">
        <f>IFERROR(__xludf.DUMMYFUNCTION("GOOGLETRANSLATE(B35,""zh-tw"",""ja"")"),"物理攻撃力：10爆発")</f>
        <v>物理攻撃力：10爆発</v>
      </c>
      <c r="E35" s="353" t="s">
        <v>6797</v>
      </c>
      <c r="F35" s="197" t="s">
        <v>6798</v>
      </c>
      <c r="G35" s="353" t="str">
        <f>IFERROR(__xludf.DUMMYFUNCTION("GOOGLETRANSLATE(A35,""zh-tw"",""zh"")"),"香蕉?")</f>
        <v>香蕉?</v>
      </c>
      <c r="H35" s="197" t="str">
        <f>IFERROR(__xludf.DUMMYFUNCTION("GOOGLETRANSLATE(B35,""zh-tw"",""zh"")"),"物攻：10
爆炸")</f>
        <v>物攻：10
爆炸</v>
      </c>
      <c r="I35" s="352" t="s">
        <v>6799</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6800</v>
      </c>
      <c r="N35" s="197" t="s">
        <v>6801</v>
      </c>
      <c r="O35" s="353" t="s">
        <v>6802</v>
      </c>
      <c r="P35" s="197" t="s">
        <v>6803</v>
      </c>
      <c r="Q35" s="354" t="s">
        <v>6804</v>
      </c>
      <c r="R35" s="355" t="s">
        <v>6805</v>
      </c>
      <c r="S35" s="191" t="s">
        <v>6797</v>
      </c>
      <c r="T35" s="192" t="s">
        <v>6806</v>
      </c>
      <c r="U35" s="191"/>
      <c r="V35" s="192"/>
      <c r="W35" s="192"/>
      <c r="X35" s="192"/>
    </row>
    <row r="36">
      <c r="A36" s="353" t="s">
        <v>6807</v>
      </c>
      <c r="B36" s="197" t="s">
        <v>6808</v>
      </c>
      <c r="C36" s="353" t="s">
        <v>6809</v>
      </c>
      <c r="D36" s="197" t="str">
        <f>IFERROR(__xludf.DUMMYFUNCTION("GOOGLETRANSLATE(B36,""zh-tw"",""ja"")"),"物理攻撃力：1
魔法攻撃力：1
アイテム吸収")</f>
        <v>物理攻撃力：1
魔法攻撃力：1
アイテム吸収</v>
      </c>
      <c r="E36" s="353" t="s">
        <v>6810</v>
      </c>
      <c r="F36" s="197" t="s">
        <v>6811</v>
      </c>
      <c r="G36" s="353" t="str">
        <f>IFERROR(__xludf.DUMMYFUNCTION("GOOGLETRANSLATE(A36,""zh-tw"",""zh"")"),"巨蜗吸尘器")</f>
        <v>巨蜗吸尘器</v>
      </c>
      <c r="H36" s="197" t="str">
        <f>IFERROR(__xludf.DUMMYFUNCTION("GOOGLETRANSLATE(B36,""zh-tw"",""zh"")"),"物攻：1
魔攻：1
吸取物品")</f>
        <v>物攻：1
魔攻：1
吸取物品</v>
      </c>
      <c r="I36" s="352" t="s">
        <v>6812</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6813</v>
      </c>
      <c r="N36" s="197" t="s">
        <v>6814</v>
      </c>
      <c r="O36" s="353" t="s">
        <v>6815</v>
      </c>
      <c r="P36" s="197" t="s">
        <v>6816</v>
      </c>
      <c r="Q36" s="354" t="s">
        <v>6817</v>
      </c>
      <c r="R36" s="355" t="s">
        <v>6818</v>
      </c>
      <c r="S36" s="191" t="s">
        <v>6819</v>
      </c>
      <c r="T36" s="192" t="s">
        <v>6820</v>
      </c>
      <c r="U36" s="191"/>
      <c r="V36" s="192"/>
      <c r="W36" s="192"/>
      <c r="X36" s="192"/>
    </row>
    <row r="37">
      <c r="A37" s="353" t="s">
        <v>6821</v>
      </c>
      <c r="B37" s="197" t="s">
        <v>6822</v>
      </c>
      <c r="C37" s="353" t="s">
        <v>6823</v>
      </c>
      <c r="D37" s="197" t="str">
        <f>IFERROR(__xludf.DUMMYFUNCTION("GOOGLETRANSLATE(B37,""zh-tw"",""ja"")"),"物理攻撃: 15 ターゲットをクランプする")</f>
        <v>物理攻撃: 15 ターゲットをクランプする</v>
      </c>
      <c r="E37" s="353" t="s">
        <v>6824</v>
      </c>
      <c r="F37" s="197" t="s">
        <v>6825</v>
      </c>
      <c r="G37" s="353" t="str">
        <f>IFERROR(__xludf.DUMMYFUNCTION("GOOGLETRANSLATE(A37,""zh-tw"",""zh"")"),"巨大蟹钳")</f>
        <v>巨大蟹钳</v>
      </c>
      <c r="H37" s="197" t="str">
        <f>IFERROR(__xludf.DUMMYFUNCTION("GOOGLETRANSLATE(B37,""zh-tw"",""zh"")"),"物攻：15
夹住目标")</f>
        <v>物攻：15
夹住目标</v>
      </c>
      <c r="I37" s="352" t="s">
        <v>6826</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6827</v>
      </c>
      <c r="N37" s="197" t="s">
        <v>6828</v>
      </c>
      <c r="O37" s="353" t="s">
        <v>6829</v>
      </c>
      <c r="P37" s="197" t="s">
        <v>6830</v>
      </c>
      <c r="Q37" s="354" t="s">
        <v>6831</v>
      </c>
      <c r="R37" s="355" t="s">
        <v>6832</v>
      </c>
      <c r="S37" s="191" t="s">
        <v>6833</v>
      </c>
      <c r="T37" s="192" t="s">
        <v>6834</v>
      </c>
      <c r="U37" s="191"/>
      <c r="V37" s="192"/>
      <c r="W37" s="192"/>
      <c r="X37" s="192"/>
    </row>
    <row r="38">
      <c r="A38" s="352" t="s">
        <v>6835</v>
      </c>
      <c r="B38" s="168" t="s">
        <v>6836</v>
      </c>
      <c r="C38" s="353" t="s">
        <v>6835</v>
      </c>
      <c r="D38" s="197" t="str">
        <f>IFERROR(__xludf.DUMMYFUNCTION("GOOGLETRANSLATE(B38,""zh-tw"",""ja"")"),"物理攻撃：スタンの確率36%")</f>
        <v>物理攻撃：スタンの確率36%</v>
      </c>
      <c r="E38" s="353" t="s">
        <v>6837</v>
      </c>
      <c r="F38" s="197" t="s">
        <v>6838</v>
      </c>
      <c r="G38" s="353" t="str">
        <f>IFERROR(__xludf.DUMMYFUNCTION("GOOGLETRANSLATE(A38,""zh-tw"",""zh"")"),"大木槌")</f>
        <v>大木槌</v>
      </c>
      <c r="H38" s="197" t="str">
        <f>IFERROR(__xludf.DUMMYFUNCTION("GOOGLETRANSLATE(B38,""zh-tw"",""zh"")"),"物攻：36
机率晕眩")</f>
        <v>物攻：36
机率晕眩</v>
      </c>
      <c r="I38" s="352" t="s">
        <v>6839</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6840</v>
      </c>
      <c r="N38" s="197" t="s">
        <v>6841</v>
      </c>
      <c r="O38" s="353" t="s">
        <v>6842</v>
      </c>
      <c r="P38" s="197" t="s">
        <v>6843</v>
      </c>
      <c r="Q38" s="354" t="s">
        <v>6844</v>
      </c>
      <c r="R38" s="355" t="s">
        <v>6845</v>
      </c>
      <c r="S38" s="191" t="s">
        <v>6846</v>
      </c>
      <c r="T38" s="192" t="s">
        <v>6847</v>
      </c>
      <c r="U38" s="191"/>
      <c r="V38" s="192"/>
      <c r="W38" s="192"/>
      <c r="X38" s="192"/>
    </row>
    <row r="39">
      <c r="A39" s="356" t="s">
        <v>6848</v>
      </c>
      <c r="B39" s="192" t="s">
        <v>6849</v>
      </c>
      <c r="C39" s="356" t="s">
        <v>6848</v>
      </c>
      <c r="D39" s="192" t="s">
        <v>6850</v>
      </c>
      <c r="E39" s="356" t="s">
        <v>6851</v>
      </c>
      <c r="F39" s="168" t="s">
        <v>6852</v>
      </c>
      <c r="G39" s="353" t="str">
        <f>IFERROR(__xludf.DUMMYFUNCTION("GOOGLETRANSLATE(A39,""zh-tw"",""zh"")"),"日轮")</f>
        <v>日轮</v>
      </c>
      <c r="H39" s="197" t="str">
        <f>IFERROR(__xludf.DUMMYFUNCTION("GOOGLETRANSLATE(B39,""zh-tw"",""zh"")"),"物攻：12
魔攻：30
魔防：30
召唤陨石")</f>
        <v>物攻：12
魔攻：30
魔防：30
召唤陨石</v>
      </c>
      <c r="I39" s="352" t="s">
        <v>6851</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6853</v>
      </c>
      <c r="N39" s="197" t="s">
        <v>6854</v>
      </c>
      <c r="O39" s="357" t="s">
        <v>6855</v>
      </c>
      <c r="P39" s="153" t="s">
        <v>6856</v>
      </c>
      <c r="Q39" s="354" t="s">
        <v>6857</v>
      </c>
      <c r="R39" s="355" t="s">
        <v>6858</v>
      </c>
      <c r="S39" s="191" t="s">
        <v>6851</v>
      </c>
      <c r="T39" s="192" t="s">
        <v>6859</v>
      </c>
      <c r="U39" s="191"/>
      <c r="V39" s="192"/>
      <c r="W39" s="192"/>
      <c r="X39" s="192"/>
    </row>
    <row r="40">
      <c r="A40" s="356" t="s">
        <v>6860</v>
      </c>
      <c r="B40" s="168" t="s">
        <v>6861</v>
      </c>
      <c r="C40" s="356" t="s">
        <v>6862</v>
      </c>
      <c r="D40" s="192" t="s">
        <v>6863</v>
      </c>
      <c r="E40" s="356" t="s">
        <v>6864</v>
      </c>
      <c r="F40" s="192" t="s">
        <v>6865</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6866</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6867</v>
      </c>
      <c r="N40" s="197" t="s">
        <v>6868</v>
      </c>
      <c r="O40" s="357" t="s">
        <v>6869</v>
      </c>
      <c r="P40" s="153" t="s">
        <v>6870</v>
      </c>
      <c r="Q40" s="354" t="s">
        <v>6871</v>
      </c>
      <c r="R40" s="355" t="s">
        <v>6872</v>
      </c>
      <c r="S40" s="191" t="s">
        <v>6873</v>
      </c>
      <c r="T40" s="192" t="s">
        <v>6874</v>
      </c>
      <c r="U40" s="191"/>
      <c r="V40" s="192"/>
      <c r="W40" s="192"/>
      <c r="X40" s="192"/>
    </row>
    <row r="41">
      <c r="A41" s="352" t="s">
        <v>6875</v>
      </c>
      <c r="B41" s="168" t="s">
        <v>6876</v>
      </c>
      <c r="C41" s="352" t="s">
        <v>4391</v>
      </c>
      <c r="D41" s="192" t="str">
        <f>IFERROR(__xludf.DUMMYFUNCTION("GOOGLETRANSLATE(B41,""zh-tw"",""ja"")"),"物理攻撃: 毒または出血を与える確率 15%。毒は必ず発生します。")</f>
        <v>物理攻撃: 毒または出血を与える確率 15%。毒は必ず発生します。</v>
      </c>
      <c r="E41" s="352" t="s">
        <v>6877</v>
      </c>
      <c r="F41" s="168" t="s">
        <v>6878</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6879</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6880</v>
      </c>
      <c r="N41" s="197" t="s">
        <v>6881</v>
      </c>
      <c r="O41" s="352" t="s">
        <v>6882</v>
      </c>
      <c r="P41" s="168" t="s">
        <v>6883</v>
      </c>
      <c r="Q41" s="354" t="s">
        <v>6884</v>
      </c>
      <c r="R41" s="355" t="s">
        <v>6885</v>
      </c>
      <c r="S41" s="191" t="s">
        <v>6886</v>
      </c>
      <c r="T41" s="192" t="s">
        <v>6887</v>
      </c>
      <c r="U41" s="191"/>
      <c r="V41" s="192"/>
      <c r="W41" s="192"/>
      <c r="X41" s="192"/>
    </row>
    <row r="42">
      <c r="A42" s="352" t="s">
        <v>6888</v>
      </c>
      <c r="B42" s="168" t="s">
        <v>6889</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6890</v>
      </c>
      <c r="F42" s="168" t="s">
        <v>6891</v>
      </c>
      <c r="G42" s="353" t="str">
        <f>IFERROR(__xludf.DUMMYFUNCTION("GOOGLETRANSLATE(A42,""zh-tw"",""zh"")"),"锻造锤")</f>
        <v>锻造锤</v>
      </c>
      <c r="H42" s="197" t="str">
        <f>IFERROR(__xludf.DUMMYFUNCTION("GOOGLETRANSLATE(B42,""zh-tw"",""zh"")"),"物攻：6
锻造用途，详情于TIPS")</f>
        <v>物攻：6
锻造用途，详情于TIPS</v>
      </c>
      <c r="I42" s="352" t="s">
        <v>6892</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6893</v>
      </c>
      <c r="N42" s="197" t="s">
        <v>6894</v>
      </c>
      <c r="O42" s="352" t="s">
        <v>6895</v>
      </c>
      <c r="P42" s="168" t="s">
        <v>6896</v>
      </c>
      <c r="Q42" s="354" t="s">
        <v>6897</v>
      </c>
      <c r="R42" s="355" t="s">
        <v>6898</v>
      </c>
      <c r="S42" s="191" t="s">
        <v>6899</v>
      </c>
      <c r="T42" s="192" t="s">
        <v>6900</v>
      </c>
      <c r="U42" s="191"/>
      <c r="V42" s="192"/>
      <c r="W42" s="192"/>
      <c r="X42" s="192"/>
    </row>
    <row r="43">
      <c r="A43" s="353" t="s">
        <v>6901</v>
      </c>
      <c r="B43" s="197" t="s">
        <v>6902</v>
      </c>
      <c r="C43" s="353" t="s">
        <v>6903</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6904</v>
      </c>
      <c r="F43" s="197" t="s">
        <v>6905</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6906</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6907</v>
      </c>
      <c r="N43" s="197" t="s">
        <v>6908</v>
      </c>
      <c r="O43" s="353" t="s">
        <v>6909</v>
      </c>
      <c r="P43" s="197" t="s">
        <v>6910</v>
      </c>
      <c r="Q43" s="354" t="s">
        <v>6911</v>
      </c>
      <c r="R43" s="355" t="s">
        <v>6912</v>
      </c>
      <c r="S43" s="191" t="s">
        <v>6913</v>
      </c>
      <c r="T43" s="192" t="s">
        <v>6914</v>
      </c>
      <c r="U43" s="191"/>
      <c r="V43" s="192"/>
      <c r="W43" s="192"/>
      <c r="X43" s="192"/>
    </row>
    <row r="44">
      <c r="A44" s="352" t="s">
        <v>6915</v>
      </c>
      <c r="B44" s="168" t="s">
        <v>6916</v>
      </c>
      <c r="C44" s="352" t="s">
        <v>6917</v>
      </c>
      <c r="D44" s="168" t="s">
        <v>6918</v>
      </c>
      <c r="E44" s="352" t="s">
        <v>6919</v>
      </c>
      <c r="F44" s="168" t="s">
        <v>6920</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6921</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6922</v>
      </c>
      <c r="N44" s="197" t="s">
        <v>6923</v>
      </c>
      <c r="O44" s="352" t="s">
        <v>6924</v>
      </c>
      <c r="P44" s="168" t="s">
        <v>6925</v>
      </c>
      <c r="Q44" s="114" t="s">
        <v>6926</v>
      </c>
      <c r="R44" s="360" t="s">
        <v>6927</v>
      </c>
      <c r="S44" s="361" t="s">
        <v>6928</v>
      </c>
      <c r="T44" s="192" t="s">
        <v>6929</v>
      </c>
      <c r="U44" s="191"/>
      <c r="V44" s="192"/>
      <c r="W44" s="192"/>
      <c r="X44" s="192"/>
    </row>
    <row r="45">
      <c r="A45" s="357" t="s">
        <v>6930</v>
      </c>
      <c r="B45" s="168" t="s">
        <v>6931</v>
      </c>
      <c r="C45" s="352" t="s">
        <v>4618</v>
      </c>
      <c r="D45" s="168" t="s">
        <v>6932</v>
      </c>
      <c r="E45" s="352" t="s">
        <v>4635</v>
      </c>
      <c r="F45" s="168" t="s">
        <v>6933</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6934</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6935</v>
      </c>
      <c r="N45" s="197" t="s">
        <v>6936</v>
      </c>
      <c r="O45" s="352" t="s">
        <v>4640</v>
      </c>
      <c r="P45" s="168" t="s">
        <v>6937</v>
      </c>
      <c r="Q45" s="354" t="s">
        <v>4641</v>
      </c>
      <c r="R45" s="355" t="s">
        <v>6938</v>
      </c>
      <c r="S45" s="191" t="s">
        <v>4643</v>
      </c>
      <c r="T45" s="192" t="s">
        <v>6939</v>
      </c>
      <c r="U45" s="191"/>
      <c r="V45" s="192"/>
      <c r="W45" s="192"/>
      <c r="X45" s="192"/>
    </row>
    <row r="46">
      <c r="A46" s="352" t="s">
        <v>6940</v>
      </c>
      <c r="B46" s="168" t="s">
        <v>6941</v>
      </c>
      <c r="C46" s="352" t="s">
        <v>6942</v>
      </c>
      <c r="D46" s="168" t="s">
        <v>6943</v>
      </c>
      <c r="E46" s="352" t="s">
        <v>4620</v>
      </c>
      <c r="F46" s="168" t="s">
        <v>6944</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6945</v>
      </c>
      <c r="J46" s="192" t="str">
        <f>IFERROR(__xludf.DUMMYFUNCTION("GOOGLETRANSLATE(B46,""zh-tw"",""es-MX"")"),"Ataque físico: 26
Defensa física: 2
Efecto de congelación
Efecto de penetración al lanzar")</f>
        <v>Ataque físico: 26
Defensa física: 2
Efecto de congelación
Efecto de penetración al lanzar</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6946</v>
      </c>
      <c r="N46" s="197" t="s">
        <v>6947</v>
      </c>
      <c r="O46" s="352" t="s">
        <v>4625</v>
      </c>
      <c r="P46" s="168" t="s">
        <v>6948</v>
      </c>
      <c r="Q46" s="132" t="s">
        <v>6949</v>
      </c>
      <c r="R46" s="340" t="s">
        <v>6950</v>
      </c>
      <c r="S46" s="191" t="s">
        <v>6951</v>
      </c>
      <c r="T46" s="192" t="s">
        <v>6952</v>
      </c>
      <c r="U46" s="191"/>
      <c r="V46" s="192"/>
      <c r="W46" s="192"/>
      <c r="X46" s="192"/>
    </row>
    <row r="47">
      <c r="A47" s="352" t="s">
        <v>6953</v>
      </c>
      <c r="B47" s="168" t="s">
        <v>6954</v>
      </c>
      <c r="C47" s="352" t="s">
        <v>6955</v>
      </c>
      <c r="D47" s="168" t="s">
        <v>6956</v>
      </c>
      <c r="E47" s="352" t="s">
        <v>6957</v>
      </c>
      <c r="F47" s="168" t="s">
        <v>6958</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6959</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3" t="s">
        <v>6960</v>
      </c>
      <c r="N47" s="197" t="s">
        <v>6961</v>
      </c>
      <c r="O47" s="352" t="s">
        <v>6962</v>
      </c>
      <c r="P47" s="168" t="s">
        <v>6963</v>
      </c>
      <c r="Q47" s="132" t="s">
        <v>6964</v>
      </c>
      <c r="R47" s="340" t="s">
        <v>6965</v>
      </c>
      <c r="S47" s="191" t="s">
        <v>6966</v>
      </c>
      <c r="T47" s="192" t="s">
        <v>6967</v>
      </c>
      <c r="U47" s="191"/>
      <c r="V47" s="192"/>
      <c r="W47" s="192"/>
      <c r="X47" s="192"/>
    </row>
    <row r="48">
      <c r="A48" s="356" t="s">
        <v>6968</v>
      </c>
      <c r="B48" s="168" t="s">
        <v>6969</v>
      </c>
      <c r="C48" s="356" t="s">
        <v>6970</v>
      </c>
      <c r="D48" s="168" t="s">
        <v>6971</v>
      </c>
      <c r="E48" s="356" t="s">
        <v>6972</v>
      </c>
      <c r="F48" s="168" t="s">
        <v>6973</v>
      </c>
      <c r="G48" s="356" t="s">
        <v>6974</v>
      </c>
      <c r="H48" s="168" t="s">
        <v>6975</v>
      </c>
      <c r="I48" s="352" t="s">
        <v>6976</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6977</v>
      </c>
      <c r="N48" s="197" t="s">
        <v>6978</v>
      </c>
      <c r="O48" s="352" t="s">
        <v>6979</v>
      </c>
      <c r="P48" s="168" t="s">
        <v>6980</v>
      </c>
      <c r="Q48" s="362"/>
      <c r="R48" s="363" t="s">
        <v>6981</v>
      </c>
      <c r="S48" s="191" t="s">
        <v>6982</v>
      </c>
      <c r="T48" s="168" t="s">
        <v>6983</v>
      </c>
      <c r="U48" s="191"/>
      <c r="V48" s="192"/>
      <c r="W48" s="192"/>
      <c r="X48" s="192"/>
    </row>
    <row r="49">
      <c r="A49" s="352" t="s">
        <v>6984</v>
      </c>
      <c r="B49" s="168" t="s">
        <v>6552</v>
      </c>
      <c r="C49" s="356"/>
      <c r="D49" s="192"/>
      <c r="E49" s="352" t="s">
        <v>6985</v>
      </c>
      <c r="F49" s="168" t="s">
        <v>6986</v>
      </c>
      <c r="G49" s="352" t="s">
        <v>6984</v>
      </c>
      <c r="H49" s="168" t="s">
        <v>6987</v>
      </c>
      <c r="I49" s="356"/>
      <c r="J49" s="192"/>
      <c r="K49" s="352" t="s">
        <v>6988</v>
      </c>
      <c r="L49" s="168" t="s">
        <v>6989</v>
      </c>
      <c r="M49" s="353" t="s">
        <v>6990</v>
      </c>
      <c r="N49" s="197" t="s">
        <v>6558</v>
      </c>
      <c r="O49" s="356"/>
      <c r="P49" s="192"/>
      <c r="Q49" s="364" t="s">
        <v>6991</v>
      </c>
      <c r="R49" s="363" t="s">
        <v>6992</v>
      </c>
      <c r="S49" s="166" t="s">
        <v>6993</v>
      </c>
      <c r="T49" s="168" t="s">
        <v>6994</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6995</v>
      </c>
      <c r="B1" s="88" t="s">
        <v>6996</v>
      </c>
      <c r="C1" s="348" t="str">
        <f>IFERROR(__xludf.DUMMYFUNCTION("GOOGLETRANSLATE(A1,""zh-tw"",""ja"")"),"設備プロジェクト")</f>
        <v>設備プロジェクト</v>
      </c>
      <c r="D1" s="85" t="str">
        <f>IFERROR(__xludf.DUMMYFUNCTION("GOOGLETRANSLATE(B1,""zh-tw"",""ja"")"),"装備の属性")</f>
        <v>装備の属性</v>
      </c>
      <c r="E1" s="349" t="s">
        <v>6997</v>
      </c>
      <c r="F1" s="27" t="s">
        <v>6320</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6998</v>
      </c>
      <c r="N1" s="85" t="s">
        <v>6322</v>
      </c>
      <c r="O1" s="346" t="s">
        <v>6999</v>
      </c>
      <c r="P1" s="88" t="s">
        <v>7000</v>
      </c>
      <c r="Q1" s="367" t="s">
        <v>7001</v>
      </c>
      <c r="R1" s="351" t="s">
        <v>6326</v>
      </c>
      <c r="S1" s="347" t="s">
        <v>7002</v>
      </c>
      <c r="T1" s="53" t="s">
        <v>6328</v>
      </c>
      <c r="U1" s="347"/>
      <c r="V1" s="53"/>
      <c r="W1" s="8"/>
      <c r="X1" s="8"/>
      <c r="Y1" s="8"/>
      <c r="Z1" s="8"/>
      <c r="AA1" s="8"/>
      <c r="AB1" s="8"/>
    </row>
    <row r="2">
      <c r="A2" s="353" t="s">
        <v>7003</v>
      </c>
      <c r="B2" s="197" t="s">
        <v>7004</v>
      </c>
      <c r="C2" s="352" t="s">
        <v>7005</v>
      </c>
      <c r="D2" s="168" t="s">
        <v>7006</v>
      </c>
      <c r="E2" s="352" t="s">
        <v>7007</v>
      </c>
      <c r="F2" s="168" t="s">
        <v>7008</v>
      </c>
      <c r="G2" s="356" t="str">
        <f>IFERROR(__xludf.DUMMYFUNCTION("GOOGLETRANSLATE(A2,""zh-tw"",""zh"")"),"妹妹脱下的内裤")</f>
        <v>妹妹脱下的内裤</v>
      </c>
      <c r="H2" s="192" t="str">
        <f>IFERROR(__xludf.DUMMYFUNCTION("GOOGLETRANSLATE(B2,""zh-tw"",""zh"")"),"低体力回复")</f>
        <v>低体力回复</v>
      </c>
      <c r="I2" s="352" t="s">
        <v>7009</v>
      </c>
      <c r="J2" s="168" t="s">
        <v>7010</v>
      </c>
      <c r="K2" s="352" t="s">
        <v>7011</v>
      </c>
      <c r="L2" s="168" t="s">
        <v>7012</v>
      </c>
      <c r="M2" s="356" t="s">
        <v>7013</v>
      </c>
      <c r="N2" s="192" t="s">
        <v>7014</v>
      </c>
      <c r="O2" s="353" t="s">
        <v>7015</v>
      </c>
      <c r="P2" s="197" t="s">
        <v>7016</v>
      </c>
      <c r="Q2" s="368" t="s">
        <v>7017</v>
      </c>
      <c r="R2" s="355" t="s">
        <v>7018</v>
      </c>
      <c r="S2" s="352" t="s">
        <v>7019</v>
      </c>
      <c r="T2" s="192" t="s">
        <v>7020</v>
      </c>
      <c r="U2" s="356"/>
      <c r="V2" s="192"/>
      <c r="W2" s="8"/>
      <c r="X2" s="8"/>
      <c r="Y2" s="8"/>
      <c r="Z2" s="8"/>
      <c r="AA2" s="8"/>
      <c r="AB2" s="8"/>
    </row>
    <row r="3">
      <c r="A3" s="353" t="s">
        <v>7021</v>
      </c>
      <c r="B3" s="197" t="s">
        <v>7022</v>
      </c>
      <c r="C3" s="352" t="s">
        <v>7023</v>
      </c>
      <c r="D3" s="192" t="str">
        <f>IFERROR(__xludf.DUMMYFUNCTION("GOOGLETRANSLATE(B3,""zh-tw"",""ja"")"),"性欲が増し、全属性が10%増加します。")</f>
        <v>性欲が増し、全属性が10%増加します。</v>
      </c>
      <c r="E3" s="352" t="s">
        <v>7024</v>
      </c>
      <c r="F3" s="168" t="s">
        <v>7025</v>
      </c>
      <c r="G3" s="356" t="str">
        <f>IFERROR(__xludf.DUMMYFUNCTION("GOOGLETRANSLATE(A3,""zh-tw"",""zh"")"),"少女的笑容")</f>
        <v>少女的笑容</v>
      </c>
      <c r="H3" s="192" t="str">
        <f>IFERROR(__xludf.DUMMYFUNCTION("GOOGLETRANSLATE(B3,""zh-tw"",""zh"")"),"性欲上升，全属性上升10%")</f>
        <v>性欲上升，全属性上升10%</v>
      </c>
      <c r="I3" s="352" t="s">
        <v>7026</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7027</v>
      </c>
      <c r="M3" s="356" t="s">
        <v>7028</v>
      </c>
      <c r="N3" s="192" t="s">
        <v>7029</v>
      </c>
      <c r="O3" s="353" t="s">
        <v>7030</v>
      </c>
      <c r="P3" s="197" t="s">
        <v>7031</v>
      </c>
      <c r="Q3" s="368" t="s">
        <v>7032</v>
      </c>
      <c r="R3" s="355" t="s">
        <v>7033</v>
      </c>
      <c r="S3" s="356" t="s">
        <v>7034</v>
      </c>
      <c r="T3" s="192" t="s">
        <v>7035</v>
      </c>
      <c r="U3" s="356"/>
      <c r="V3" s="192"/>
      <c r="W3" s="8"/>
      <c r="X3" s="8"/>
      <c r="Y3" s="8"/>
      <c r="Z3" s="8"/>
      <c r="AA3" s="8"/>
      <c r="AB3" s="8"/>
    </row>
    <row r="4">
      <c r="A4" s="353" t="s">
        <v>7036</v>
      </c>
      <c r="B4" s="197" t="s">
        <v>1120</v>
      </c>
      <c r="C4" s="356" t="str">
        <f>IFERROR(__xludf.DUMMYFUNCTION("GOOGLETRANSLATE(A4,""zh-tw"",""ja"")"),"フライドポテト")</f>
        <v>フライドポテト</v>
      </c>
      <c r="D4" s="192" t="str">
        <f>IFERROR(__xludf.DUMMYFUNCTION("GOOGLETRANSLATE(B4,""zh-tw"",""ja"")"),"-")</f>
        <v>-</v>
      </c>
      <c r="E4" s="352" t="s">
        <v>7037</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7038</v>
      </c>
      <c r="N4" s="192" t="s">
        <v>1120</v>
      </c>
      <c r="O4" s="353" t="s">
        <v>7039</v>
      </c>
      <c r="P4" s="197" t="s">
        <v>7040</v>
      </c>
      <c r="Q4" s="368" t="s">
        <v>7041</v>
      </c>
      <c r="R4" s="355" t="s">
        <v>1120</v>
      </c>
      <c r="S4" s="356" t="s">
        <v>7042</v>
      </c>
      <c r="T4" s="192" t="s">
        <v>1120</v>
      </c>
      <c r="U4" s="356"/>
      <c r="V4" s="192"/>
      <c r="W4" s="8"/>
      <c r="X4" s="8"/>
      <c r="Y4" s="8"/>
      <c r="Z4" s="8"/>
      <c r="AA4" s="8"/>
      <c r="AB4" s="8"/>
    </row>
    <row r="5">
      <c r="A5" s="353" t="s">
        <v>7043</v>
      </c>
      <c r="B5" s="197" t="s">
        <v>7044</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7045</v>
      </c>
      <c r="F5" s="168" t="s">
        <v>7046</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7047</v>
      </c>
      <c r="M5" s="356" t="s">
        <v>7048</v>
      </c>
      <c r="N5" s="192" t="s">
        <v>7049</v>
      </c>
      <c r="O5" s="353" t="s">
        <v>7050</v>
      </c>
      <c r="P5" s="197" t="s">
        <v>7051</v>
      </c>
      <c r="Q5" s="368" t="s">
        <v>7052</v>
      </c>
      <c r="R5" s="359" t="s">
        <v>7053</v>
      </c>
      <c r="S5" s="356" t="s">
        <v>7054</v>
      </c>
      <c r="T5" s="192" t="s">
        <v>7055</v>
      </c>
      <c r="U5" s="356"/>
      <c r="V5" s="192"/>
      <c r="W5" s="8"/>
      <c r="X5" s="8"/>
      <c r="Y5" s="8"/>
      <c r="Z5" s="8"/>
      <c r="AA5" s="8"/>
      <c r="AB5" s="8"/>
    </row>
    <row r="6">
      <c r="A6" s="353" t="s">
        <v>7056</v>
      </c>
      <c r="B6" s="197" t="s">
        <v>7057</v>
      </c>
      <c r="C6" s="352" t="s">
        <v>7058</v>
      </c>
      <c r="D6" s="192" t="str">
        <f>IFERROR(__xludf.DUMMYFUNCTION("GOOGLETRANSLATE(B6,""zh-tw"",""ja"")"),"運：10（回復確率）")</f>
        <v>運：10（回復確率）</v>
      </c>
      <c r="E6" s="352" t="s">
        <v>7059</v>
      </c>
      <c r="F6" s="168" t="s">
        <v>7060</v>
      </c>
      <c r="G6" s="356" t="str">
        <f>IFERROR(__xludf.DUMMYFUNCTION("GOOGLETRANSLATE(A6,""zh-tw"",""zh"")"),"苹果头套")</f>
        <v>苹果头套</v>
      </c>
      <c r="H6" s="192" t="str">
        <f>IFERROR(__xludf.DUMMYFUNCTION("GOOGLETRANSLATE(B6,""zh-tw"",""zh"")"),"幸运：10
概率回复")</f>
        <v>幸运：10
概率回复</v>
      </c>
      <c r="I6" s="352" t="s">
        <v>7061</v>
      </c>
      <c r="J6" s="168" t="s">
        <v>7062</v>
      </c>
      <c r="K6" s="352" t="s">
        <v>7063</v>
      </c>
      <c r="L6" s="168" t="s">
        <v>7064</v>
      </c>
      <c r="M6" s="356" t="s">
        <v>7065</v>
      </c>
      <c r="N6" s="192" t="s">
        <v>7066</v>
      </c>
      <c r="O6" s="353" t="s">
        <v>7067</v>
      </c>
      <c r="P6" s="197" t="s">
        <v>7068</v>
      </c>
      <c r="Q6" s="368" t="s">
        <v>7069</v>
      </c>
      <c r="R6" s="355" t="s">
        <v>7070</v>
      </c>
      <c r="S6" s="356" t="s">
        <v>7071</v>
      </c>
      <c r="T6" s="192" t="s">
        <v>7072</v>
      </c>
      <c r="U6" s="356"/>
      <c r="V6" s="192"/>
      <c r="W6" s="8"/>
      <c r="X6" s="8"/>
      <c r="Y6" s="8"/>
      <c r="Z6" s="8"/>
      <c r="AA6" s="8"/>
      <c r="AB6" s="8"/>
    </row>
    <row r="7">
      <c r="A7" s="353" t="s">
        <v>7073</v>
      </c>
      <c r="B7" s="197" t="s">
        <v>7074</v>
      </c>
      <c r="C7" s="352" t="s">
        <v>7075</v>
      </c>
      <c r="D7" s="192" t="str">
        <f>IFERROR(__xludf.DUMMYFUNCTION("GOOGLETRANSLATE(B7,""zh-tw"",""ja"")"),"物理攻撃：5。攻撃力と攻撃速度が向上します。")</f>
        <v>物理攻撃：5。攻撃力と攻撃速度が向上します。</v>
      </c>
      <c r="E7" s="352" t="s">
        <v>7076</v>
      </c>
      <c r="F7" s="168" t="s">
        <v>7077</v>
      </c>
      <c r="G7" s="356" t="str">
        <f>IFERROR(__xludf.DUMMYFUNCTION("GOOGLETRANSLATE(A7,""zh-tw"",""zh"")"),"借来的猫爪")</f>
        <v>借来的猫爪</v>
      </c>
      <c r="H7" s="192" t="str">
        <f>IFERROR(__xludf.DUMMYFUNCTION("GOOGLETRANSLATE(B7,""zh-tw"",""zh"")"),"物攻：5
攻击力、攻速上升")</f>
        <v>物攻：5
攻击力、攻速上升</v>
      </c>
      <c r="I7" s="352" t="s">
        <v>7078</v>
      </c>
      <c r="J7" s="192" t="str">
        <f>IFERROR(__xludf.DUMMYFUNCTION("GOOGLETRANSLATE(B7,""zh-tw"",""es-MX"")"),"Ataque físico: 5. Aumenta el poder de ataque y la velocidad de ataque.")</f>
        <v>Ataque físico: 5. Aumenta el poder de ataque y la velocidad de ataque.</v>
      </c>
      <c r="K7" s="352" t="s">
        <v>7079</v>
      </c>
      <c r="L7" s="168" t="s">
        <v>7080</v>
      </c>
      <c r="M7" s="356" t="s">
        <v>7081</v>
      </c>
      <c r="N7" s="192" t="s">
        <v>7082</v>
      </c>
      <c r="O7" s="353" t="s">
        <v>7083</v>
      </c>
      <c r="P7" s="197" t="s">
        <v>7084</v>
      </c>
      <c r="Q7" s="368" t="s">
        <v>7085</v>
      </c>
      <c r="R7" s="355" t="s">
        <v>7086</v>
      </c>
      <c r="S7" s="356" t="s">
        <v>7087</v>
      </c>
      <c r="T7" s="192" t="s">
        <v>7088</v>
      </c>
      <c r="U7" s="356"/>
      <c r="V7" s="192"/>
      <c r="W7" s="8"/>
      <c r="X7" s="8"/>
      <c r="Y7" s="8"/>
      <c r="Z7" s="8"/>
      <c r="AA7" s="8"/>
      <c r="AB7" s="8"/>
    </row>
    <row r="8">
      <c r="A8" s="353" t="s">
        <v>7089</v>
      </c>
      <c r="B8" s="197" t="s">
        <v>7090</v>
      </c>
      <c r="C8" s="352" t="s">
        <v>7091</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7092</v>
      </c>
      <c r="F8" s="168" t="s">
        <v>7093</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7094</v>
      </c>
      <c r="L8" s="168" t="s">
        <v>7095</v>
      </c>
      <c r="M8" s="356" t="s">
        <v>7096</v>
      </c>
      <c r="N8" s="192" t="s">
        <v>7097</v>
      </c>
      <c r="O8" s="353" t="s">
        <v>7098</v>
      </c>
      <c r="P8" s="197" t="s">
        <v>7099</v>
      </c>
      <c r="Q8" s="368" t="s">
        <v>7100</v>
      </c>
      <c r="R8" s="355" t="s">
        <v>7101</v>
      </c>
      <c r="S8" s="356" t="s">
        <v>7102</v>
      </c>
      <c r="T8" s="192" t="s">
        <v>7103</v>
      </c>
      <c r="U8" s="356"/>
      <c r="V8" s="192"/>
      <c r="W8" s="8"/>
      <c r="X8" s="8"/>
      <c r="Y8" s="8"/>
      <c r="Z8" s="8"/>
      <c r="AA8" s="8"/>
      <c r="AB8" s="8"/>
    </row>
    <row r="9">
      <c r="A9" s="353" t="s">
        <v>6056</v>
      </c>
      <c r="B9" s="197" t="s">
        <v>7104</v>
      </c>
      <c r="C9" s="352" t="s">
        <v>6058</v>
      </c>
      <c r="D9" s="192" t="str">
        <f>IFERROR(__xludf.DUMMYFUNCTION("GOOGLETRANSLATE(B9,""zh-tw"",""ja"")"),"攻撃速度と攻撃回数を1増加します。")</f>
        <v>攻撃速度と攻撃回数を1増加します。</v>
      </c>
      <c r="E9" s="352" t="s">
        <v>6060</v>
      </c>
      <c r="F9" s="168" t="s">
        <v>7105</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6062</v>
      </c>
      <c r="L9" s="168" t="s">
        <v>7106</v>
      </c>
      <c r="M9" s="356" t="s">
        <v>7107</v>
      </c>
      <c r="N9" s="192" t="s">
        <v>7108</v>
      </c>
      <c r="O9" s="353" t="s">
        <v>6064</v>
      </c>
      <c r="P9" s="197" t="s">
        <v>7109</v>
      </c>
      <c r="Q9" s="368" t="s">
        <v>7110</v>
      </c>
      <c r="R9" s="355" t="s">
        <v>7111</v>
      </c>
      <c r="S9" s="356" t="s">
        <v>6068</v>
      </c>
      <c r="T9" s="192" t="s">
        <v>7112</v>
      </c>
      <c r="U9" s="356"/>
      <c r="V9" s="192"/>
      <c r="W9" s="8"/>
      <c r="X9" s="8"/>
      <c r="Y9" s="8"/>
      <c r="Z9" s="8"/>
      <c r="AA9" s="8"/>
      <c r="AB9" s="8"/>
    </row>
    <row r="10">
      <c r="A10" s="353" t="s">
        <v>7113</v>
      </c>
      <c r="B10" s="197" t="s">
        <v>7114</v>
      </c>
      <c r="C10" s="352" t="s">
        <v>7115</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7116</v>
      </c>
      <c r="F10" s="168" t="s">
        <v>7117</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7118</v>
      </c>
      <c r="L10" s="168" t="s">
        <v>7119</v>
      </c>
      <c r="M10" s="356" t="s">
        <v>7120</v>
      </c>
      <c r="N10" s="192" t="s">
        <v>7121</v>
      </c>
      <c r="O10" s="353" t="s">
        <v>7122</v>
      </c>
      <c r="P10" s="197" t="s">
        <v>7123</v>
      </c>
      <c r="Q10" s="368" t="s">
        <v>7124</v>
      </c>
      <c r="R10" s="355" t="s">
        <v>7125</v>
      </c>
      <c r="S10" s="356" t="s">
        <v>7126</v>
      </c>
      <c r="T10" s="192" t="s">
        <v>7127</v>
      </c>
      <c r="U10" s="356"/>
      <c r="V10" s="192"/>
      <c r="W10" s="8"/>
      <c r="X10" s="8"/>
      <c r="Y10" s="8"/>
      <c r="Z10" s="8"/>
      <c r="AA10" s="8"/>
      <c r="AB10" s="8"/>
    </row>
    <row r="11">
      <c r="A11" s="353" t="s">
        <v>7128</v>
      </c>
      <c r="B11" s="197" t="s">
        <v>7129</v>
      </c>
      <c r="C11" s="356" t="str">
        <f>IFERROR(__xludf.DUMMYFUNCTION("GOOGLETRANSLATE(A11,""zh-tw"",""ja"")"),"招き猫")</f>
        <v>招き猫</v>
      </c>
      <c r="D11" s="168" t="s">
        <v>7130</v>
      </c>
      <c r="E11" s="352" t="s">
        <v>7131</v>
      </c>
      <c r="F11" s="168" t="s">
        <v>7132</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7133</v>
      </c>
      <c r="L11" s="168" t="s">
        <v>7134</v>
      </c>
      <c r="M11" s="356" t="s">
        <v>7135</v>
      </c>
      <c r="N11" s="192" t="s">
        <v>7136</v>
      </c>
      <c r="O11" s="353" t="s">
        <v>7137</v>
      </c>
      <c r="P11" s="197" t="s">
        <v>7138</v>
      </c>
      <c r="Q11" s="368" t="s">
        <v>7139</v>
      </c>
      <c r="R11" s="355" t="s">
        <v>7140</v>
      </c>
      <c r="S11" s="356" t="s">
        <v>7141</v>
      </c>
      <c r="T11" s="192" t="s">
        <v>7142</v>
      </c>
      <c r="U11" s="356"/>
      <c r="V11" s="192"/>
      <c r="W11" s="8"/>
      <c r="X11" s="8"/>
      <c r="Y11" s="8"/>
      <c r="Z11" s="8"/>
      <c r="AA11" s="8"/>
      <c r="AB11" s="8"/>
    </row>
    <row r="12">
      <c r="A12" s="353" t="s">
        <v>7143</v>
      </c>
      <c r="B12" s="197" t="s">
        <v>7144</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7145</v>
      </c>
      <c r="F12" s="168" t="s">
        <v>7146</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7147</v>
      </c>
      <c r="M12" s="356" t="s">
        <v>7148</v>
      </c>
      <c r="N12" s="192" t="s">
        <v>7149</v>
      </c>
      <c r="O12" s="353" t="s">
        <v>7150</v>
      </c>
      <c r="P12" s="197" t="s">
        <v>7151</v>
      </c>
      <c r="Q12" s="368" t="s">
        <v>7152</v>
      </c>
      <c r="R12" s="359" t="s">
        <v>7153</v>
      </c>
      <c r="S12" s="356" t="s">
        <v>7154</v>
      </c>
      <c r="T12" s="192" t="s">
        <v>7155</v>
      </c>
      <c r="U12" s="356"/>
      <c r="V12" s="192"/>
      <c r="W12" s="8"/>
      <c r="X12" s="8"/>
      <c r="Y12" s="8"/>
      <c r="Z12" s="8"/>
      <c r="AA12" s="8"/>
      <c r="AB12" s="8"/>
    </row>
    <row r="13">
      <c r="A13" s="353" t="s">
        <v>7156</v>
      </c>
      <c r="B13" s="197" t="s">
        <v>7144</v>
      </c>
      <c r="C13" s="352" t="s">
        <v>7157</v>
      </c>
      <c r="D13" s="168" t="s">
        <v>7158</v>
      </c>
      <c r="E13" s="352" t="s">
        <v>7159</v>
      </c>
      <c r="F13" s="168" t="s">
        <v>7160</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7161</v>
      </c>
      <c r="L13" s="168" t="s">
        <v>7147</v>
      </c>
      <c r="M13" s="356" t="s">
        <v>7162</v>
      </c>
      <c r="N13" s="192" t="s">
        <v>7163</v>
      </c>
      <c r="O13" s="353" t="s">
        <v>7164</v>
      </c>
      <c r="P13" s="197" t="s">
        <v>7165</v>
      </c>
      <c r="Q13" s="368" t="s">
        <v>7166</v>
      </c>
      <c r="R13" s="359" t="s">
        <v>7167</v>
      </c>
      <c r="S13" s="356" t="s">
        <v>7168</v>
      </c>
      <c r="T13" s="192" t="s">
        <v>7169</v>
      </c>
      <c r="U13" s="356"/>
      <c r="V13" s="192"/>
      <c r="W13" s="8"/>
      <c r="X13" s="8"/>
      <c r="Y13" s="8"/>
      <c r="Z13" s="8"/>
      <c r="AA13" s="8"/>
      <c r="AB13" s="8"/>
    </row>
    <row r="14">
      <c r="A14" s="353" t="s">
        <v>7170</v>
      </c>
      <c r="B14" s="197" t="s">
        <v>7171</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7172</v>
      </c>
      <c r="F14" s="168" t="s">
        <v>7173</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6160</v>
      </c>
      <c r="L14" s="168" t="s">
        <v>7174</v>
      </c>
      <c r="M14" s="356" t="s">
        <v>7175</v>
      </c>
      <c r="N14" s="192" t="s">
        <v>7176</v>
      </c>
      <c r="O14" s="353" t="s">
        <v>6163</v>
      </c>
      <c r="P14" s="197" t="s">
        <v>7177</v>
      </c>
      <c r="Q14" s="368" t="s">
        <v>7178</v>
      </c>
      <c r="R14" s="359" t="s">
        <v>7179</v>
      </c>
      <c r="S14" s="356" t="s">
        <v>7180</v>
      </c>
      <c r="T14" s="192" t="s">
        <v>7181</v>
      </c>
      <c r="U14" s="356"/>
      <c r="V14" s="192"/>
      <c r="W14" s="8"/>
      <c r="X14" s="8"/>
      <c r="Y14" s="8"/>
      <c r="Z14" s="8"/>
      <c r="AA14" s="8"/>
      <c r="AB14" s="8"/>
    </row>
    <row r="15">
      <c r="A15" s="353" t="s">
        <v>7182</v>
      </c>
      <c r="B15" s="197" t="s">
        <v>7183</v>
      </c>
      <c r="C15" s="352" t="s">
        <v>7184</v>
      </c>
      <c r="D15" s="192" t="str">
        <f>IFERROR(__xludf.DUMMYFUNCTION("GOOGLETRANSLATE(B15,""zh-tw"",""ja"")"),"物理防御力: 2
魔法耐性: 15
落下ダメージ軽減")</f>
        <v>物理防御力: 2
魔法耐性: 15
落下ダメージ軽減</v>
      </c>
      <c r="E15" s="352" t="s">
        <v>7185</v>
      </c>
      <c r="F15" s="168" t="s">
        <v>7186</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7187</v>
      </c>
      <c r="L15" s="168" t="s">
        <v>7188</v>
      </c>
      <c r="M15" s="356" t="s">
        <v>7189</v>
      </c>
      <c r="N15" s="192" t="s">
        <v>7190</v>
      </c>
      <c r="O15" s="353" t="s">
        <v>7191</v>
      </c>
      <c r="P15" s="197" t="s">
        <v>7192</v>
      </c>
      <c r="Q15" s="368" t="s">
        <v>7193</v>
      </c>
      <c r="R15" s="359" t="s">
        <v>7194</v>
      </c>
      <c r="S15" s="356" t="s">
        <v>7195</v>
      </c>
      <c r="T15" s="192" t="s">
        <v>7196</v>
      </c>
      <c r="U15" s="356"/>
      <c r="V15" s="192"/>
      <c r="W15" s="8"/>
      <c r="X15" s="8"/>
      <c r="Y15" s="8"/>
      <c r="Z15" s="8"/>
      <c r="AA15" s="8"/>
      <c r="AB15" s="8"/>
    </row>
    <row r="16">
      <c r="A16" s="352" t="s">
        <v>7197</v>
      </c>
      <c r="B16" s="168" t="s">
        <v>7198</v>
      </c>
      <c r="C16" s="352" t="s">
        <v>7199</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7200</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7201</v>
      </c>
      <c r="N16" s="192" t="s">
        <v>7202</v>
      </c>
      <c r="O16" s="353" t="s">
        <v>7203</v>
      </c>
      <c r="P16" s="197" t="s">
        <v>7204</v>
      </c>
      <c r="Q16" s="368" t="s">
        <v>7205</v>
      </c>
      <c r="R16" s="359" t="s">
        <v>7206</v>
      </c>
      <c r="S16" s="356" t="s">
        <v>7207</v>
      </c>
      <c r="T16" s="192" t="s">
        <v>7208</v>
      </c>
      <c r="U16" s="356"/>
      <c r="V16" s="192"/>
      <c r="W16" s="8"/>
      <c r="X16" s="8"/>
      <c r="Y16" s="8"/>
      <c r="Z16" s="8"/>
      <c r="AA16" s="8"/>
      <c r="AB16" s="8"/>
    </row>
    <row r="17">
      <c r="A17" s="353" t="s">
        <v>7209</v>
      </c>
      <c r="B17" s="197" t="s">
        <v>7210</v>
      </c>
      <c r="C17" s="352" t="s">
        <v>7211</v>
      </c>
      <c r="D17" s="192" t="str">
        <f>IFERROR(__xludf.DUMMYFUNCTION("GOOGLETRANSLATE(B17,""zh-tw"",""ja"")"),"物理防御力：2
魔法耐性：10
フラッシュステップ効果強化")</f>
        <v>物理防御力：2
魔法耐性：10
フラッシュステップ効果強化</v>
      </c>
      <c r="E17" s="352" t="s">
        <v>7212</v>
      </c>
      <c r="F17" s="168" t="s">
        <v>7213</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7214</v>
      </c>
      <c r="N17" s="192" t="s">
        <v>7215</v>
      </c>
      <c r="O17" s="353" t="s">
        <v>7216</v>
      </c>
      <c r="P17" s="197" t="s">
        <v>7217</v>
      </c>
      <c r="Q17" s="368" t="s">
        <v>7218</v>
      </c>
      <c r="R17" s="359" t="s">
        <v>7219</v>
      </c>
      <c r="S17" s="356" t="s">
        <v>7220</v>
      </c>
      <c r="T17" s="192" t="s">
        <v>7221</v>
      </c>
      <c r="U17" s="356"/>
      <c r="V17" s="192"/>
      <c r="W17" s="8"/>
      <c r="X17" s="8"/>
      <c r="Y17" s="8"/>
      <c r="Z17" s="8"/>
      <c r="AA17" s="8"/>
      <c r="AB17" s="8"/>
    </row>
    <row r="18">
      <c r="A18" s="353" t="s">
        <v>7222</v>
      </c>
      <c r="B18" s="197" t="s">
        <v>7223</v>
      </c>
      <c r="C18" s="352" t="s">
        <v>7224</v>
      </c>
      <c r="D18" s="192" t="str">
        <f>IFERROR(__xludf.DUMMYFUNCTION("GOOGLETRANSLATE(B18,""zh-tw"",""ja"")"),"物理防御力: 1
幸運: 60
アイテムドロップ率アップ")</f>
        <v>物理防御力: 1
幸運: 60
アイテムドロップ率アップ</v>
      </c>
      <c r="E18" s="352" t="s">
        <v>7225</v>
      </c>
      <c r="F18" s="168" t="s">
        <v>7226</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7227</v>
      </c>
      <c r="N18" s="192" t="s">
        <v>7228</v>
      </c>
      <c r="O18" s="353" t="s">
        <v>7229</v>
      </c>
      <c r="P18" s="197" t="s">
        <v>7230</v>
      </c>
      <c r="Q18" s="368" t="s">
        <v>7231</v>
      </c>
      <c r="R18" s="359" t="s">
        <v>7232</v>
      </c>
      <c r="S18" s="356" t="s">
        <v>7233</v>
      </c>
      <c r="T18" s="192" t="s">
        <v>7234</v>
      </c>
      <c r="U18" s="356"/>
      <c r="V18" s="192"/>
      <c r="W18" s="8"/>
      <c r="X18" s="8"/>
      <c r="Y18" s="8"/>
      <c r="Z18" s="8"/>
      <c r="AA18" s="8"/>
      <c r="AB18" s="8"/>
    </row>
    <row r="19">
      <c r="A19" s="353" t="s">
        <v>7235</v>
      </c>
      <c r="B19" s="197" t="s">
        <v>7236</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7237</v>
      </c>
      <c r="F19" s="168" t="s">
        <v>7238</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7239</v>
      </c>
      <c r="L19" s="168" t="s">
        <v>7240</v>
      </c>
      <c r="M19" s="356" t="s">
        <v>7241</v>
      </c>
      <c r="N19" s="192" t="s">
        <v>7242</v>
      </c>
      <c r="O19" s="353" t="s">
        <v>7243</v>
      </c>
      <c r="P19" s="197" t="s">
        <v>7244</v>
      </c>
      <c r="Q19" s="368" t="s">
        <v>7245</v>
      </c>
      <c r="R19" s="355" t="s">
        <v>7246</v>
      </c>
      <c r="S19" s="356" t="s">
        <v>7247</v>
      </c>
      <c r="T19" s="192" t="s">
        <v>7248</v>
      </c>
      <c r="U19" s="356"/>
      <c r="V19" s="192"/>
      <c r="W19" s="8"/>
      <c r="X19" s="8"/>
      <c r="Y19" s="8"/>
      <c r="Z19" s="8"/>
      <c r="AA19" s="8"/>
      <c r="AB19" s="8"/>
    </row>
    <row r="20">
      <c r="A20" s="353" t="s">
        <v>7249</v>
      </c>
      <c r="B20" s="197" t="s">
        <v>7250</v>
      </c>
      <c r="C20" s="352" t="s">
        <v>7251</v>
      </c>
      <c r="D20" s="192" t="str">
        <f>IFERROR(__xludf.DUMMYFUNCTION("GOOGLETRANSLATE(B20,""zh-tw"",""ja"")"),"魔法攻撃力：20
魔法耐性：10
詠唱時間を短縮し、最大魔法威力を増加")</f>
        <v>魔法攻撃力：20
魔法耐性：10
詠唱時間を短縮し、最大魔法威力を増加</v>
      </c>
      <c r="E20" s="352" t="s">
        <v>7252</v>
      </c>
      <c r="F20" s="168" t="s">
        <v>7253</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7254</v>
      </c>
      <c r="L20" s="168" t="s">
        <v>7255</v>
      </c>
      <c r="M20" s="356" t="s">
        <v>7256</v>
      </c>
      <c r="N20" s="192" t="s">
        <v>7257</v>
      </c>
      <c r="O20" s="353" t="s">
        <v>7258</v>
      </c>
      <c r="P20" s="197" t="s">
        <v>7259</v>
      </c>
      <c r="Q20" s="368" t="s">
        <v>7260</v>
      </c>
      <c r="R20" s="359" t="s">
        <v>7261</v>
      </c>
      <c r="S20" s="356" t="s">
        <v>7262</v>
      </c>
      <c r="T20" s="192" t="s">
        <v>7263</v>
      </c>
      <c r="U20" s="356"/>
      <c r="V20" s="192"/>
      <c r="W20" s="8"/>
      <c r="X20" s="8"/>
      <c r="Y20" s="8"/>
      <c r="Z20" s="8"/>
      <c r="AA20" s="8"/>
      <c r="AB20" s="8"/>
    </row>
    <row r="21">
      <c r="A21" s="353" t="s">
        <v>7264</v>
      </c>
      <c r="B21" s="197" t="s">
        <v>7265</v>
      </c>
      <c r="C21" s="352" t="s">
        <v>7266</v>
      </c>
      <c r="D21" s="192" t="str">
        <f>IFERROR(__xludf.DUMMYFUNCTION("GOOGLETRANSLATE(B21,""zh-tw"",""ja"")"),"魔法攻撃力：35
魔法耐性：20
詠唱速度が上昇し、最大魔法威力が上昇")</f>
        <v>魔法攻撃力：35
魔法耐性：20
詠唱速度が上昇し、最大魔法威力が上昇</v>
      </c>
      <c r="E21" s="352" t="s">
        <v>7267</v>
      </c>
      <c r="F21" s="168" t="s">
        <v>7268</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7269</v>
      </c>
      <c r="L21" s="168" t="s">
        <v>7270</v>
      </c>
      <c r="M21" s="356" t="s">
        <v>7271</v>
      </c>
      <c r="N21" s="192" t="s">
        <v>7272</v>
      </c>
      <c r="O21" s="353" t="s">
        <v>7273</v>
      </c>
      <c r="P21" s="197" t="s">
        <v>7274</v>
      </c>
      <c r="Q21" s="368" t="s">
        <v>7275</v>
      </c>
      <c r="R21" s="359" t="s">
        <v>7276</v>
      </c>
      <c r="S21" s="356" t="s">
        <v>7277</v>
      </c>
      <c r="T21" s="192" t="s">
        <v>7278</v>
      </c>
      <c r="U21" s="356"/>
      <c r="V21" s="192"/>
      <c r="W21" s="8"/>
      <c r="X21" s="8"/>
      <c r="Y21" s="8"/>
      <c r="Z21" s="8"/>
      <c r="AA21" s="8"/>
      <c r="AB21" s="8"/>
    </row>
    <row r="22">
      <c r="A22" s="353" t="s">
        <v>7279</v>
      </c>
      <c r="B22" s="197" t="s">
        <v>7280</v>
      </c>
      <c r="C22" s="352" t="s">
        <v>7281</v>
      </c>
      <c r="D22" s="192" t="str">
        <f>IFERROR(__xludf.DUMMYFUNCTION("GOOGLETRANSLATE(B22,""zh-tw"",""ja"")"),"スタミナが増加（基本25、追加ボーナス2%）。スタミナ回復効果が20%増加。")</f>
        <v>スタミナが増加（基本25、追加ボーナス2%）。スタミナ回復効果が20%増加。</v>
      </c>
      <c r="E22" s="352" t="s">
        <v>7282</v>
      </c>
      <c r="F22" s="168" t="s">
        <v>7283</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7284</v>
      </c>
      <c r="M22" s="356" t="s">
        <v>7285</v>
      </c>
      <c r="N22" s="192" t="s">
        <v>7286</v>
      </c>
      <c r="O22" s="353" t="s">
        <v>7287</v>
      </c>
      <c r="P22" s="197" t="s">
        <v>7288</v>
      </c>
      <c r="Q22" s="368" t="s">
        <v>7289</v>
      </c>
      <c r="R22" s="355" t="s">
        <v>7290</v>
      </c>
      <c r="S22" s="356" t="s">
        <v>7291</v>
      </c>
      <c r="T22" s="192" t="s">
        <v>7292</v>
      </c>
      <c r="U22" s="356"/>
      <c r="V22" s="192"/>
      <c r="W22" s="8"/>
      <c r="X22" s="8"/>
      <c r="Y22" s="8"/>
      <c r="Z22" s="8"/>
      <c r="AA22" s="8"/>
      <c r="AB22" s="8"/>
    </row>
    <row r="23">
      <c r="A23" s="353" t="s">
        <v>7293</v>
      </c>
      <c r="B23" s="197" t="s">
        <v>7294</v>
      </c>
      <c r="C23" s="352" t="s">
        <v>7295</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7296</v>
      </c>
      <c r="F23" s="168" t="s">
        <v>7297</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7298</v>
      </c>
      <c r="M23" s="356" t="s">
        <v>7299</v>
      </c>
      <c r="N23" s="192" t="s">
        <v>7300</v>
      </c>
      <c r="O23" s="353" t="s">
        <v>7301</v>
      </c>
      <c r="P23" s="197" t="s">
        <v>7302</v>
      </c>
      <c r="Q23" s="368" t="s">
        <v>7303</v>
      </c>
      <c r="R23" s="359" t="s">
        <v>7304</v>
      </c>
      <c r="S23" s="356" t="s">
        <v>7305</v>
      </c>
      <c r="T23" s="192" t="s">
        <v>7306</v>
      </c>
      <c r="U23" s="356"/>
      <c r="V23" s="192"/>
      <c r="W23" s="8"/>
      <c r="X23" s="8"/>
      <c r="Y23" s="8"/>
      <c r="Z23" s="8"/>
      <c r="AA23" s="8"/>
      <c r="AB23" s="8"/>
    </row>
    <row r="24">
      <c r="A24" s="352" t="s">
        <v>7307</v>
      </c>
      <c r="B24" s="168" t="s">
        <v>7308</v>
      </c>
      <c r="C24" s="352" t="s">
        <v>7309</v>
      </c>
      <c r="D24" s="168" t="s">
        <v>7310</v>
      </c>
      <c r="E24" s="352" t="s">
        <v>7311</v>
      </c>
      <c r="F24" s="168" t="s">
        <v>7312</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7313</v>
      </c>
      <c r="M24" s="356" t="s">
        <v>7314</v>
      </c>
      <c r="N24" s="192" t="s">
        <v>7315</v>
      </c>
      <c r="O24" s="353" t="s">
        <v>7316</v>
      </c>
      <c r="P24" s="197" t="s">
        <v>7317</v>
      </c>
      <c r="Q24" s="368" t="s">
        <v>7318</v>
      </c>
      <c r="R24" s="49" t="s">
        <v>7319</v>
      </c>
      <c r="S24" s="356" t="s">
        <v>7320</v>
      </c>
      <c r="T24" s="192" t="s">
        <v>7321</v>
      </c>
      <c r="U24" s="356"/>
      <c r="V24" s="192"/>
      <c r="W24" s="8"/>
      <c r="X24" s="8"/>
      <c r="Y24" s="8"/>
      <c r="Z24" s="8"/>
      <c r="AA24" s="8"/>
      <c r="AB24" s="8"/>
    </row>
    <row r="25">
      <c r="A25" s="352" t="s">
        <v>7322</v>
      </c>
      <c r="B25" s="168" t="s">
        <v>7323</v>
      </c>
      <c r="C25" s="352" t="s">
        <v>7324</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7325</v>
      </c>
      <c r="F25" s="168" t="s">
        <v>7326</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7327</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7328</v>
      </c>
      <c r="L25" s="168" t="s">
        <v>7329</v>
      </c>
      <c r="M25" s="356" t="s">
        <v>7330</v>
      </c>
      <c r="N25" s="192" t="s">
        <v>7331</v>
      </c>
      <c r="O25" s="353" t="s">
        <v>7332</v>
      </c>
      <c r="P25" s="197" t="s">
        <v>7333</v>
      </c>
      <c r="Q25" s="368" t="s">
        <v>7334</v>
      </c>
      <c r="R25" s="355" t="s">
        <v>7335</v>
      </c>
      <c r="S25" s="369" t="s">
        <v>7325</v>
      </c>
      <c r="T25" s="192" t="s">
        <v>7336</v>
      </c>
      <c r="U25" s="356"/>
      <c r="V25" s="192"/>
      <c r="W25" s="8"/>
      <c r="X25" s="8"/>
      <c r="Y25" s="8"/>
      <c r="Z25" s="8"/>
      <c r="AA25" s="8"/>
      <c r="AB25" s="8"/>
    </row>
    <row r="26">
      <c r="A26" s="352" t="s">
        <v>7337</v>
      </c>
      <c r="B26" s="168" t="s">
        <v>7338</v>
      </c>
      <c r="C26" s="352" t="s">
        <v>7339</v>
      </c>
      <c r="D26" s="192" t="str">
        <f>IFERROR(__xludf.DUMMYFUNCTION("GOOGLETRANSLATE(B26,""zh-tw"",""ja"")"),"爆発効果または爆発軽減を発動する確率が低い。")</f>
        <v>爆発効果または爆発軽減を発動する確率が低い。</v>
      </c>
      <c r="E26" s="352" t="s">
        <v>7340</v>
      </c>
      <c r="F26" s="168" t="s">
        <v>7341</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7342</v>
      </c>
      <c r="L26" s="168" t="s">
        <v>7343</v>
      </c>
      <c r="M26" s="356" t="s">
        <v>7344</v>
      </c>
      <c r="N26" s="192" t="s">
        <v>7345</v>
      </c>
      <c r="O26" s="353" t="s">
        <v>7346</v>
      </c>
      <c r="P26" s="197" t="s">
        <v>7347</v>
      </c>
      <c r="Q26" s="368" t="s">
        <v>7348</v>
      </c>
      <c r="R26" s="355" t="s">
        <v>7349</v>
      </c>
      <c r="S26" s="356" t="s">
        <v>7350</v>
      </c>
      <c r="T26" s="192" t="s">
        <v>7351</v>
      </c>
      <c r="U26" s="356"/>
      <c r="V26" s="192"/>
      <c r="W26" s="8"/>
      <c r="X26" s="8"/>
      <c r="Y26" s="8"/>
      <c r="Z26" s="8"/>
      <c r="AA26" s="8"/>
      <c r="AB26" s="8"/>
    </row>
    <row r="27">
      <c r="A27" s="352" t="s">
        <v>7352</v>
      </c>
      <c r="B27" s="168" t="s">
        <v>7353</v>
      </c>
      <c r="C27" s="352" t="s">
        <v>7354</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7355</v>
      </c>
      <c r="F27" s="168" t="s">
        <v>7356</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2" t="s">
        <v>7357</v>
      </c>
      <c r="L27" s="168" t="s">
        <v>7358</v>
      </c>
      <c r="M27" s="356" t="s">
        <v>7359</v>
      </c>
      <c r="N27" s="192" t="s">
        <v>7360</v>
      </c>
      <c r="O27" s="353" t="s">
        <v>7361</v>
      </c>
      <c r="P27" s="197" t="s">
        <v>7362</v>
      </c>
      <c r="Q27" s="368" t="s">
        <v>7363</v>
      </c>
      <c r="R27" s="359" t="s">
        <v>7364</v>
      </c>
      <c r="S27" s="356" t="s">
        <v>7365</v>
      </c>
      <c r="T27" s="192" t="s">
        <v>7366</v>
      </c>
      <c r="U27" s="356"/>
      <c r="V27" s="192"/>
      <c r="W27" s="8"/>
      <c r="X27" s="8"/>
      <c r="Y27" s="8"/>
      <c r="Z27" s="8"/>
      <c r="AA27" s="8"/>
      <c r="AB27" s="8"/>
    </row>
    <row r="28">
      <c r="A28" s="353" t="s">
        <v>7367</v>
      </c>
      <c r="B28" s="197" t="s">
        <v>7368</v>
      </c>
      <c r="C28" s="352" t="s">
        <v>7369</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7370</v>
      </c>
      <c r="F28" s="168" t="s">
        <v>7371</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7372</v>
      </c>
      <c r="L28" s="168" t="s">
        <v>7373</v>
      </c>
      <c r="M28" s="356" t="s">
        <v>7374</v>
      </c>
      <c r="N28" s="192" t="s">
        <v>7375</v>
      </c>
      <c r="O28" s="353" t="s">
        <v>7376</v>
      </c>
      <c r="P28" s="197" t="s">
        <v>7377</v>
      </c>
      <c r="Q28" s="368" t="s">
        <v>7378</v>
      </c>
      <c r="R28" s="359" t="s">
        <v>7379</v>
      </c>
      <c r="S28" s="356" t="s">
        <v>7380</v>
      </c>
      <c r="T28" s="192" t="s">
        <v>7381</v>
      </c>
      <c r="U28" s="356"/>
      <c r="V28" s="192"/>
      <c r="W28" s="8"/>
      <c r="X28" s="8"/>
      <c r="Y28" s="8"/>
      <c r="Z28" s="8"/>
      <c r="AA28" s="8"/>
      <c r="AB28" s="8"/>
    </row>
    <row r="29">
      <c r="A29" s="353" t="s">
        <v>7382</v>
      </c>
      <c r="B29" s="197" t="s">
        <v>7383</v>
      </c>
      <c r="C29" s="352" t="s">
        <v>7384</v>
      </c>
      <c r="D29" s="192" t="str">
        <f>IFERROR(__xludf.DUMMYFUNCTION("GOOGLETRANSLATE(B29,""zh-tw"",""ja"")"),"物理攻撃: 2 物理防御: 6 ダメージを与えるアーマー")</f>
        <v>物理攻撃: 2 物理防御: 6 ダメージを与えるアーマー</v>
      </c>
      <c r="E29" s="352" t="s">
        <v>7385</v>
      </c>
      <c r="F29" s="168" t="s">
        <v>7386</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7387</v>
      </c>
      <c r="L29" s="168" t="s">
        <v>7388</v>
      </c>
      <c r="M29" s="356" t="s">
        <v>7389</v>
      </c>
      <c r="N29" s="192" t="s">
        <v>7390</v>
      </c>
      <c r="O29" s="353" t="s">
        <v>7391</v>
      </c>
      <c r="P29" s="197" t="s">
        <v>7392</v>
      </c>
      <c r="Q29" s="368" t="s">
        <v>7393</v>
      </c>
      <c r="R29" s="355" t="s">
        <v>7394</v>
      </c>
      <c r="S29" s="356" t="s">
        <v>7395</v>
      </c>
      <c r="T29" s="192" t="s">
        <v>7396</v>
      </c>
      <c r="U29" s="356"/>
      <c r="V29" s="192"/>
      <c r="W29" s="8"/>
      <c r="X29" s="8"/>
      <c r="Y29" s="8"/>
      <c r="Z29" s="8"/>
      <c r="AA29" s="8"/>
      <c r="AB29" s="8"/>
    </row>
    <row r="30">
      <c r="A30" s="353" t="s">
        <v>7397</v>
      </c>
      <c r="B30" s="197" t="s">
        <v>7398</v>
      </c>
      <c r="C30" s="352" t="s">
        <v>7399</v>
      </c>
      <c r="D30" s="192" t="str">
        <f>IFERROR(__xludf.DUMMYFUNCTION("GOOGLETRANSLATE(B30,""zh-tw"",""ja"")"),"物理攻撃力：4
物理防御力：2
ダメージを与えるアーマー")</f>
        <v>物理攻撃力：4
物理防御力：2
ダメージを与えるアーマー</v>
      </c>
      <c r="E30" s="352" t="s">
        <v>7400</v>
      </c>
      <c r="F30" s="168" t="s">
        <v>7401</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7402</v>
      </c>
      <c r="L30" s="168" t="s">
        <v>7403</v>
      </c>
      <c r="M30" s="356" t="s">
        <v>7404</v>
      </c>
      <c r="N30" s="192" t="s">
        <v>7405</v>
      </c>
      <c r="O30" s="353" t="s">
        <v>7406</v>
      </c>
      <c r="P30" s="197" t="s">
        <v>7407</v>
      </c>
      <c r="Q30" s="368" t="s">
        <v>7408</v>
      </c>
      <c r="R30" s="355" t="s">
        <v>7409</v>
      </c>
      <c r="S30" s="356" t="s">
        <v>7410</v>
      </c>
      <c r="T30" s="192" t="s">
        <v>7411</v>
      </c>
      <c r="U30" s="356"/>
      <c r="V30" s="192"/>
      <c r="W30" s="8"/>
      <c r="X30" s="8"/>
      <c r="Y30" s="8"/>
      <c r="Z30" s="8"/>
      <c r="AA30" s="8"/>
      <c r="AB30" s="8"/>
    </row>
    <row r="31">
      <c r="A31" s="353" t="s">
        <v>7412</v>
      </c>
      <c r="B31" s="197" t="s">
        <v>7413</v>
      </c>
      <c r="C31" s="352" t="s">
        <v>7414</v>
      </c>
      <c r="D31" s="192" t="str">
        <f>IFERROR(__xludf.DUMMYFUNCTION("GOOGLETRANSLATE(B31,""zh-tw"",""ja"")"),"物理攻撃: 2 物理防御: 2 ダメージを与えるアーマー")</f>
        <v>物理攻撃: 2 物理防御: 2 ダメージを与えるアーマー</v>
      </c>
      <c r="E31" s="352" t="s">
        <v>7415</v>
      </c>
      <c r="F31" s="168" t="s">
        <v>7416</v>
      </c>
      <c r="G31" s="356" t="str">
        <f>IFERROR(__xludf.DUMMYFUNCTION("GOOGLETRANSLATE(A31,""zh-tw"",""zh"")"),"穿刺钉鞋")</f>
        <v>穿刺钉鞋</v>
      </c>
      <c r="H31" s="192" t="str">
        <f>IFERROR(__xludf.DUMMYFUNCTION("GOOGLETRANSLATE(B31,""zh-tw"",""zh"")"),"物攻：2
物防：2
伤害型防具")</f>
        <v>物攻：2
物防：2
伤害型防具</v>
      </c>
      <c r="I31" s="352" t="s">
        <v>7417</v>
      </c>
      <c r="J31" s="192" t="str">
        <f>IFERROR(__xludf.DUMMYFUNCTION("GOOGLETRANSLATE(B31,""zh-tw"",""es-MX"")"),"Ataque físico: 2 Defensa física: 2 Armadura que inflige daño")</f>
        <v>Ataque físico: 2 Defensa física: 2 Armadura que inflige daño</v>
      </c>
      <c r="K31" s="352" t="s">
        <v>7418</v>
      </c>
      <c r="L31" s="168" t="s">
        <v>7419</v>
      </c>
      <c r="M31" s="356" t="s">
        <v>7420</v>
      </c>
      <c r="N31" s="192" t="s">
        <v>7421</v>
      </c>
      <c r="O31" s="353" t="s">
        <v>7422</v>
      </c>
      <c r="P31" s="197" t="s">
        <v>7423</v>
      </c>
      <c r="Q31" s="368" t="s">
        <v>7424</v>
      </c>
      <c r="R31" s="355" t="s">
        <v>7425</v>
      </c>
      <c r="S31" s="356" t="s">
        <v>7415</v>
      </c>
      <c r="T31" s="192" t="s">
        <v>7426</v>
      </c>
      <c r="U31" s="356"/>
      <c r="V31" s="192"/>
      <c r="W31" s="8"/>
      <c r="X31" s="8"/>
      <c r="Y31" s="8"/>
      <c r="Z31" s="8"/>
      <c r="AA31" s="8"/>
      <c r="AB31" s="8"/>
    </row>
    <row r="32">
      <c r="A32" s="353" t="s">
        <v>7427</v>
      </c>
      <c r="B32" s="197" t="s">
        <v>7428</v>
      </c>
      <c r="C32" s="352" t="s">
        <v>7429</v>
      </c>
      <c r="D32" s="192" t="str">
        <f>IFERROR(__xludf.DUMMYFUNCTION("GOOGLETRANSLATE(B32,""zh-tw"",""ja"")"),"物理攻撃力：5
物理防御力：1
ダメージを与えるアーマー")</f>
        <v>物理攻撃力：5
物理防御力：1
ダメージを与えるアーマー</v>
      </c>
      <c r="E32" s="352" t="s">
        <v>7430</v>
      </c>
      <c r="F32" s="168" t="s">
        <v>7431</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7432</v>
      </c>
      <c r="L32" s="168" t="s">
        <v>7433</v>
      </c>
      <c r="M32" s="356" t="s">
        <v>7434</v>
      </c>
      <c r="N32" s="192" t="s">
        <v>7435</v>
      </c>
      <c r="O32" s="353" t="s">
        <v>7436</v>
      </c>
      <c r="P32" s="197" t="s">
        <v>7437</v>
      </c>
      <c r="Q32" s="368" t="s">
        <v>7438</v>
      </c>
      <c r="R32" s="355" t="s">
        <v>7439</v>
      </c>
      <c r="S32" s="356" t="s">
        <v>7440</v>
      </c>
      <c r="T32" s="192" t="s">
        <v>7441</v>
      </c>
      <c r="U32" s="356"/>
      <c r="V32" s="192"/>
      <c r="W32" s="8"/>
      <c r="X32" s="8"/>
      <c r="Y32" s="8"/>
      <c r="Z32" s="8"/>
      <c r="AA32" s="8"/>
      <c r="AB32" s="8"/>
    </row>
    <row r="33">
      <c r="A33" s="353" t="s">
        <v>7442</v>
      </c>
      <c r="B33" s="197" t="s">
        <v>7443</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7444</v>
      </c>
      <c r="F33" s="168" t="s">
        <v>7445</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7446</v>
      </c>
      <c r="L33" s="168" t="s">
        <v>7447</v>
      </c>
      <c r="M33" s="356" t="s">
        <v>7448</v>
      </c>
      <c r="N33" s="192" t="s">
        <v>7449</v>
      </c>
      <c r="O33" s="353" t="s">
        <v>7450</v>
      </c>
      <c r="P33" s="197" t="s">
        <v>7451</v>
      </c>
      <c r="Q33" s="368" t="s">
        <v>7452</v>
      </c>
      <c r="R33" s="359" t="s">
        <v>7453</v>
      </c>
      <c r="S33" s="356" t="s">
        <v>7454</v>
      </c>
      <c r="T33" s="192" t="s">
        <v>7455</v>
      </c>
      <c r="U33" s="356"/>
      <c r="V33" s="192"/>
      <c r="W33" s="8"/>
      <c r="X33" s="8"/>
      <c r="Y33" s="8"/>
      <c r="Z33" s="8"/>
      <c r="AA33" s="8"/>
      <c r="AB33" s="8"/>
    </row>
    <row r="34">
      <c r="A34" s="353" t="s">
        <v>7456</v>
      </c>
      <c r="B34" s="197" t="s">
        <v>7457</v>
      </c>
      <c r="C34" s="352" t="s">
        <v>7458</v>
      </c>
      <c r="D34" s="192" t="str">
        <f>IFERROR(__xludf.DUMMYFUNCTION("GOOGLETRANSLATE(B34,""zh-tw"",""ja"")"),"物理攻撃：3 物理防御：3 HPが少ないときに攻撃力と防御力が上昇します。")</f>
        <v>物理攻撃：3 物理防御：3 HPが少ないときに攻撃力と防御力が上昇します。</v>
      </c>
      <c r="E34" s="352" t="s">
        <v>7459</v>
      </c>
      <c r="F34" s="168" t="s">
        <v>7460</v>
      </c>
      <c r="G34" s="356" t="str">
        <f>IFERROR(__xludf.DUMMYFUNCTION("GOOGLETRANSLATE(A34,""zh-tw"",""zh"")"),"骑士护臂")</f>
        <v>骑士护臂</v>
      </c>
      <c r="H34" s="192" t="str">
        <f>IFERROR(__xludf.DUMMYFUNCTION("GOOGLETRANSLATE(B34,""zh-tw"",""zh"")"),"物攻：3
物防：3
低体力加攻击、防御")</f>
        <v>物攻：3
物防：3
低体力加攻击、防御</v>
      </c>
      <c r="I34" s="352" t="s">
        <v>7461</v>
      </c>
      <c r="J34" s="192" t="str">
        <f>IFERROR(__xludf.DUMMYFUNCTION("GOOGLETRANSLATE(B34,""zh-tw"",""es-MX"")"),"Ataque físico: 3 Defensa física: 3 Aumenta el ataque y la defensa cuando los HP son bajos.")</f>
        <v>Ataque físico: 3 Defensa física: 3 Aumenta el ataque y la defensa cuando los HP son bajos.</v>
      </c>
      <c r="K34" s="353" t="s">
        <v>7462</v>
      </c>
      <c r="L34" s="168" t="s">
        <v>7463</v>
      </c>
      <c r="M34" s="356" t="s">
        <v>7464</v>
      </c>
      <c r="N34" s="192" t="s">
        <v>7465</v>
      </c>
      <c r="O34" s="353" t="s">
        <v>7466</v>
      </c>
      <c r="P34" s="197" t="s">
        <v>7467</v>
      </c>
      <c r="Q34" s="368" t="s">
        <v>7468</v>
      </c>
      <c r="R34" s="49" t="s">
        <v>7469</v>
      </c>
      <c r="S34" s="356" t="s">
        <v>7470</v>
      </c>
      <c r="T34" s="192" t="s">
        <v>7471</v>
      </c>
      <c r="U34" s="356"/>
      <c r="V34" s="192"/>
      <c r="W34" s="8"/>
      <c r="X34" s="8"/>
      <c r="Y34" s="8"/>
      <c r="Z34" s="8"/>
      <c r="AA34" s="8"/>
      <c r="AB34" s="8"/>
    </row>
    <row r="35">
      <c r="A35" s="353" t="s">
        <v>7472</v>
      </c>
      <c r="B35" s="197" t="s">
        <v>7473</v>
      </c>
      <c r="C35" s="352" t="s">
        <v>7474</v>
      </c>
      <c r="D35" s="192" t="str">
        <f>IFERROR(__xludf.DUMMYFUNCTION("GOOGLETRANSLATE(B35,""zh-tw"",""ja"")"),"物理防御力：2
魔法耐性：2
スタミナ低下、移動速度上昇")</f>
        <v>物理防御力：2
魔法耐性：2
スタミナ低下、移動速度上昇</v>
      </c>
      <c r="E35" s="352" t="s">
        <v>7475</v>
      </c>
      <c r="F35" s="168" t="s">
        <v>7476</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7477</v>
      </c>
      <c r="L35" s="168" t="s">
        <v>7478</v>
      </c>
      <c r="M35" s="356" t="s">
        <v>7479</v>
      </c>
      <c r="N35" s="192" t="s">
        <v>7480</v>
      </c>
      <c r="O35" s="353" t="s">
        <v>7481</v>
      </c>
      <c r="P35" s="197" t="s">
        <v>7482</v>
      </c>
      <c r="Q35" s="368" t="s">
        <v>7483</v>
      </c>
      <c r="R35" s="359" t="s">
        <v>7484</v>
      </c>
      <c r="S35" s="356" t="s">
        <v>7485</v>
      </c>
      <c r="T35" s="192" t="s">
        <v>7486</v>
      </c>
      <c r="U35" s="356"/>
      <c r="V35" s="192"/>
      <c r="W35" s="8"/>
      <c r="X35" s="8"/>
      <c r="Y35" s="8"/>
      <c r="Z35" s="8"/>
      <c r="AA35" s="8"/>
      <c r="AB35" s="8"/>
    </row>
    <row r="36">
      <c r="A36" s="353" t="s">
        <v>7487</v>
      </c>
      <c r="B36" s="197" t="s">
        <v>7488</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7489</v>
      </c>
      <c r="F36" s="168" t="s">
        <v>7490</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2" t="s">
        <v>7491</v>
      </c>
      <c r="L36" s="168" t="s">
        <v>7492</v>
      </c>
      <c r="M36" s="356" t="s">
        <v>7493</v>
      </c>
      <c r="N36" s="192" t="s">
        <v>7494</v>
      </c>
      <c r="O36" s="353" t="s">
        <v>7495</v>
      </c>
      <c r="P36" s="197" t="s">
        <v>7496</v>
      </c>
      <c r="Q36" s="368" t="s">
        <v>7497</v>
      </c>
      <c r="R36" s="359" t="s">
        <v>7498</v>
      </c>
      <c r="S36" s="356" t="s">
        <v>7499</v>
      </c>
      <c r="T36" s="192" t="s">
        <v>7500</v>
      </c>
      <c r="U36" s="356"/>
      <c r="V36" s="192"/>
      <c r="W36" s="8"/>
      <c r="X36" s="8"/>
      <c r="Y36" s="8"/>
      <c r="Z36" s="8"/>
      <c r="AA36" s="8"/>
      <c r="AB36" s="8"/>
    </row>
    <row r="37">
      <c r="A37" s="357" t="s">
        <v>7501</v>
      </c>
      <c r="B37" s="168" t="s">
        <v>7502</v>
      </c>
      <c r="C37" s="352" t="s">
        <v>7503</v>
      </c>
      <c r="D37" s="168" t="s">
        <v>7504</v>
      </c>
      <c r="E37" s="352" t="s">
        <v>7505</v>
      </c>
      <c r="F37" s="168" t="s">
        <v>7506</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7507</v>
      </c>
      <c r="M37" s="356" t="s">
        <v>7508</v>
      </c>
      <c r="N37" s="192" t="s">
        <v>7509</v>
      </c>
      <c r="O37" s="353" t="s">
        <v>7510</v>
      </c>
      <c r="P37" s="197" t="s">
        <v>7511</v>
      </c>
      <c r="Q37" s="368" t="s">
        <v>7512</v>
      </c>
      <c r="R37" s="370" t="s">
        <v>7513</v>
      </c>
      <c r="S37" s="356" t="s">
        <v>7514</v>
      </c>
      <c r="T37" s="192" t="s">
        <v>7515</v>
      </c>
      <c r="U37" s="356"/>
      <c r="V37" s="192"/>
      <c r="W37" s="8"/>
      <c r="X37" s="8"/>
      <c r="Y37" s="8"/>
      <c r="Z37" s="8"/>
      <c r="AA37" s="8"/>
      <c r="AB37" s="8"/>
    </row>
    <row r="38">
      <c r="A38" s="352" t="s">
        <v>7516</v>
      </c>
      <c r="B38" s="168" t="s">
        <v>7517</v>
      </c>
      <c r="C38" s="352" t="s">
        <v>7518</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7519</v>
      </c>
      <c r="F38" s="168" t="s">
        <v>7520</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7521</v>
      </c>
      <c r="L38" s="168" t="s">
        <v>7522</v>
      </c>
      <c r="M38" s="356" t="s">
        <v>7523</v>
      </c>
      <c r="N38" s="192" t="s">
        <v>7524</v>
      </c>
      <c r="O38" s="353" t="s">
        <v>7525</v>
      </c>
      <c r="P38" s="197" t="s">
        <v>7526</v>
      </c>
      <c r="Q38" s="368" t="s">
        <v>7527</v>
      </c>
      <c r="R38" s="355" t="s">
        <v>7528</v>
      </c>
      <c r="S38" s="356" t="s">
        <v>7529</v>
      </c>
      <c r="T38" s="192" t="s">
        <v>7530</v>
      </c>
      <c r="U38" s="356"/>
      <c r="V38" s="192"/>
      <c r="W38" s="8"/>
      <c r="X38" s="8"/>
      <c r="Y38" s="8"/>
      <c r="Z38" s="8"/>
      <c r="AA38" s="8"/>
      <c r="AB38" s="8"/>
    </row>
    <row r="39">
      <c r="A39" s="352" t="s">
        <v>7531</v>
      </c>
      <c r="B39" s="168" t="s">
        <v>7532</v>
      </c>
      <c r="C39" s="352" t="s">
        <v>7533</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7534</v>
      </c>
      <c r="F39" s="168" t="s">
        <v>7535</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7536</v>
      </c>
      <c r="L39" s="168" t="s">
        <v>7537</v>
      </c>
      <c r="M39" s="356" t="s">
        <v>7538</v>
      </c>
      <c r="N39" s="192" t="s">
        <v>7539</v>
      </c>
      <c r="O39" s="353" t="s">
        <v>7540</v>
      </c>
      <c r="P39" s="197" t="s">
        <v>7541</v>
      </c>
      <c r="Q39" s="368" t="s">
        <v>7542</v>
      </c>
      <c r="R39" s="355" t="s">
        <v>7543</v>
      </c>
      <c r="S39" s="356" t="s">
        <v>7544</v>
      </c>
      <c r="T39" s="192" t="s">
        <v>7545</v>
      </c>
      <c r="U39" s="356"/>
      <c r="V39" s="192"/>
      <c r="W39" s="8"/>
      <c r="X39" s="8"/>
      <c r="Y39" s="8"/>
      <c r="Z39" s="8"/>
      <c r="AA39" s="8"/>
      <c r="AB39" s="8"/>
    </row>
    <row r="40">
      <c r="A40" s="357" t="s">
        <v>7546</v>
      </c>
      <c r="B40" s="168" t="s">
        <v>7547</v>
      </c>
      <c r="C40" s="352" t="s">
        <v>7548</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7549</v>
      </c>
      <c r="F40" s="168" t="s">
        <v>7550</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7551</v>
      </c>
      <c r="L40" s="168" t="s">
        <v>7552</v>
      </c>
      <c r="M40" s="356" t="s">
        <v>7553</v>
      </c>
      <c r="N40" s="192" t="s">
        <v>7554</v>
      </c>
      <c r="O40" s="353" t="s">
        <v>7555</v>
      </c>
      <c r="P40" s="197" t="s">
        <v>7556</v>
      </c>
      <c r="Q40" s="368" t="s">
        <v>7557</v>
      </c>
      <c r="R40" s="359" t="s">
        <v>7558</v>
      </c>
      <c r="S40" s="356" t="s">
        <v>7559</v>
      </c>
      <c r="T40" s="192" t="s">
        <v>7560</v>
      </c>
      <c r="U40" s="356"/>
      <c r="V40" s="192"/>
      <c r="W40" s="8"/>
      <c r="X40" s="8"/>
      <c r="Y40" s="8"/>
      <c r="Z40" s="8"/>
      <c r="AA40" s="8"/>
      <c r="AB40" s="8"/>
    </row>
    <row r="41">
      <c r="A41" s="352" t="s">
        <v>7561</v>
      </c>
      <c r="B41" s="168" t="s">
        <v>7562</v>
      </c>
      <c r="C41" s="352" t="s">
        <v>7563</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7564</v>
      </c>
      <c r="F41" s="168" t="s">
        <v>7565</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7566</v>
      </c>
      <c r="L41" s="168" t="s">
        <v>7567</v>
      </c>
      <c r="M41" s="356" t="s">
        <v>7568</v>
      </c>
      <c r="N41" s="192" t="s">
        <v>7569</v>
      </c>
      <c r="O41" s="353" t="s">
        <v>7570</v>
      </c>
      <c r="P41" s="197" t="s">
        <v>7571</v>
      </c>
      <c r="Q41" s="368" t="s">
        <v>7572</v>
      </c>
      <c r="R41" s="359" t="s">
        <v>7573</v>
      </c>
      <c r="S41" s="356" t="s">
        <v>7574</v>
      </c>
      <c r="T41" s="192" t="s">
        <v>7575</v>
      </c>
      <c r="U41" s="356"/>
      <c r="V41" s="192"/>
      <c r="W41" s="8"/>
      <c r="X41" s="8"/>
      <c r="Y41" s="8"/>
      <c r="Z41" s="8"/>
      <c r="AA41" s="8"/>
      <c r="AB41" s="8"/>
    </row>
    <row r="42">
      <c r="A42" s="352" t="s">
        <v>7576</v>
      </c>
      <c r="B42" s="168" t="s">
        <v>7577</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7578</v>
      </c>
      <c r="F42" s="168" t="s">
        <v>7579</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7580</v>
      </c>
      <c r="L42" s="168" t="s">
        <v>7581</v>
      </c>
      <c r="M42" s="356" t="s">
        <v>7582</v>
      </c>
      <c r="N42" s="192" t="s">
        <v>7583</v>
      </c>
      <c r="O42" s="353" t="s">
        <v>7584</v>
      </c>
      <c r="P42" s="197" t="s">
        <v>7585</v>
      </c>
      <c r="Q42" s="368" t="s">
        <v>7586</v>
      </c>
      <c r="R42" s="355" t="s">
        <v>7587</v>
      </c>
      <c r="S42" s="356" t="s">
        <v>7588</v>
      </c>
      <c r="T42" s="192" t="s">
        <v>7589</v>
      </c>
      <c r="U42" s="356"/>
      <c r="V42" s="192"/>
      <c r="W42" s="8"/>
      <c r="X42" s="8"/>
      <c r="Y42" s="8"/>
      <c r="Z42" s="8"/>
      <c r="AA42" s="8"/>
      <c r="AB42" s="8"/>
    </row>
    <row r="43">
      <c r="A43" s="352" t="s">
        <v>7590</v>
      </c>
      <c r="B43" s="168" t="s">
        <v>7591</v>
      </c>
      <c r="C43" s="352" t="s">
        <v>7592</v>
      </c>
      <c r="D43" s="168" t="s">
        <v>7593</v>
      </c>
      <c r="E43" s="352" t="s">
        <v>7594</v>
      </c>
      <c r="F43" s="168" t="s">
        <v>7595</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7596</v>
      </c>
      <c r="L43" s="168" t="s">
        <v>7597</v>
      </c>
      <c r="M43" s="356" t="s">
        <v>7598</v>
      </c>
      <c r="N43" s="192" t="s">
        <v>7599</v>
      </c>
      <c r="O43" s="353" t="s">
        <v>7600</v>
      </c>
      <c r="P43" s="197" t="s">
        <v>7601</v>
      </c>
      <c r="Q43" s="368" t="s">
        <v>7602</v>
      </c>
      <c r="R43" s="355" t="s">
        <v>7603</v>
      </c>
      <c r="S43" s="356" t="s">
        <v>7604</v>
      </c>
      <c r="T43" s="192" t="s">
        <v>7605</v>
      </c>
      <c r="U43" s="356"/>
      <c r="V43" s="192"/>
      <c r="W43" s="8"/>
      <c r="X43" s="8"/>
      <c r="Y43" s="8"/>
      <c r="Z43" s="8"/>
      <c r="AA43" s="8"/>
      <c r="AB43" s="8"/>
    </row>
    <row r="44">
      <c r="A44" s="353" t="s">
        <v>7606</v>
      </c>
      <c r="B44" s="197" t="s">
        <v>7607</v>
      </c>
      <c r="C44" s="352" t="s">
        <v>7608</v>
      </c>
      <c r="D44" s="168" t="s">
        <v>7609</v>
      </c>
      <c r="E44" s="352" t="s">
        <v>7610</v>
      </c>
      <c r="F44" s="168" t="s">
        <v>7611</v>
      </c>
      <c r="G44" s="356" t="str">
        <f>IFERROR(__xludf.DUMMYFUNCTION("GOOGLETRANSLATE(A44,""zh-tw"",""zh"")"),"晴天娃娃")</f>
        <v>晴天娃娃</v>
      </c>
      <c r="H44" s="192" t="str">
        <f>IFERROR(__xludf.DUMMYFUNCTION("GOOGLETRANSLATE(B44,""zh-tw"",""zh"")"),"魔抗：10
幸运：10
第二天晴天")</f>
        <v>魔抗：10
幸运：10
第二天晴天</v>
      </c>
      <c r="I44" s="352" t="s">
        <v>7610</v>
      </c>
      <c r="J44" s="192" t="str">
        <f>IFERROR(__xludf.DUMMYFUNCTION("GOOGLETRANSLATE(B44,""zh-tw"",""es-MX"")"),"Resistencia mágica: 10
Suerte: 10
Día soleado al día siguiente")</f>
        <v>Resistencia mágica: 10
Suerte: 10
Día soleado al día siguiente</v>
      </c>
      <c r="K44" s="352" t="s">
        <v>7612</v>
      </c>
      <c r="L44" s="168" t="s">
        <v>7613</v>
      </c>
      <c r="M44" s="356" t="s">
        <v>7614</v>
      </c>
      <c r="N44" s="192" t="s">
        <v>7615</v>
      </c>
      <c r="O44" s="353" t="s">
        <v>7616</v>
      </c>
      <c r="P44" s="197" t="s">
        <v>7617</v>
      </c>
      <c r="Q44" s="371" t="s">
        <v>7618</v>
      </c>
      <c r="R44" s="355" t="s">
        <v>7619</v>
      </c>
      <c r="S44" s="356" t="s">
        <v>7620</v>
      </c>
      <c r="T44" s="192" t="s">
        <v>7621</v>
      </c>
      <c r="U44" s="356"/>
      <c r="V44" s="192"/>
      <c r="W44" s="8"/>
      <c r="X44" s="8"/>
      <c r="Y44" s="8"/>
      <c r="Z44" s="8"/>
      <c r="AA44" s="8"/>
      <c r="AB44" s="8"/>
    </row>
    <row r="45">
      <c r="A45" s="353" t="s">
        <v>7622</v>
      </c>
      <c r="B45" s="197" t="s">
        <v>7623</v>
      </c>
      <c r="C45" s="352" t="s">
        <v>7624</v>
      </c>
      <c r="D45" s="168" t="s">
        <v>7625</v>
      </c>
      <c r="E45" s="352" t="s">
        <v>7626</v>
      </c>
      <c r="F45" s="168" t="s">
        <v>7627</v>
      </c>
      <c r="G45" s="356" t="str">
        <f>IFERROR(__xludf.DUMMYFUNCTION("GOOGLETRANSLATE(A45,""zh-tw"",""zh"")"),"阴天娃娃")</f>
        <v>阴天娃娃</v>
      </c>
      <c r="H45" s="192" t="str">
        <f>IFERROR(__xludf.DUMMYFUNCTION("GOOGLETRANSLATE(B45,""zh-tw"",""zh"")"),"魔抗：10
幸运：10
第二天阴天")</f>
        <v>魔抗：10
幸运：10
第二天阴天</v>
      </c>
      <c r="I45" s="352" t="s">
        <v>7626</v>
      </c>
      <c r="J45" s="192" t="str">
        <f>IFERROR(__xludf.DUMMYFUNCTION("GOOGLETRANSLATE(B45,""zh-tw"",""es-MX"")"),"Resistencia Mágica: 10
Suerte: 10
El segundo día estuvo nublado.")</f>
        <v>Resistencia Mágica: 10
Suerte: 10
El segundo día estuvo nublado.</v>
      </c>
      <c r="K45" s="353" t="s">
        <v>7628</v>
      </c>
      <c r="L45" s="168" t="s">
        <v>7629</v>
      </c>
      <c r="M45" s="356" t="s">
        <v>7630</v>
      </c>
      <c r="N45" s="192" t="s">
        <v>7631</v>
      </c>
      <c r="O45" s="353" t="s">
        <v>7632</v>
      </c>
      <c r="P45" s="197" t="s">
        <v>7633</v>
      </c>
      <c r="Q45" s="371" t="s">
        <v>7634</v>
      </c>
      <c r="R45" s="355" t="s">
        <v>7635</v>
      </c>
      <c r="S45" s="356" t="s">
        <v>7636</v>
      </c>
      <c r="T45" s="192" t="s">
        <v>7637</v>
      </c>
      <c r="U45" s="356"/>
      <c r="V45" s="192"/>
      <c r="W45" s="8"/>
      <c r="X45" s="8"/>
      <c r="Y45" s="8"/>
      <c r="Z45" s="8"/>
      <c r="AA45" s="8"/>
      <c r="AB45" s="8"/>
    </row>
    <row r="46">
      <c r="A46" s="353" t="s">
        <v>7638</v>
      </c>
      <c r="B46" s="197" t="s">
        <v>7639</v>
      </c>
      <c r="C46" s="352" t="s">
        <v>7640</v>
      </c>
      <c r="D46" s="168" t="s">
        <v>7641</v>
      </c>
      <c r="E46" s="352" t="s">
        <v>7642</v>
      </c>
      <c r="F46" s="168" t="s">
        <v>7643</v>
      </c>
      <c r="G46" s="356" t="str">
        <f>IFERROR(__xludf.DUMMYFUNCTION("GOOGLETRANSLATE(A46,""zh-tw"",""zh"")"),"雨天娃娃")</f>
        <v>雨天娃娃</v>
      </c>
      <c r="H46" s="192" t="str">
        <f>IFERROR(__xludf.DUMMYFUNCTION("GOOGLETRANSLATE(B46,""zh-tw"",""zh"")"),"魔抗：10
幸运：10
第二天雨天")</f>
        <v>魔抗：10
幸运：10
第二天雨天</v>
      </c>
      <c r="I46" s="352" t="s">
        <v>7642</v>
      </c>
      <c r="J46" s="192" t="str">
        <f>IFERROR(__xludf.DUMMYFUNCTION("GOOGLETRANSLATE(B46,""zh-tw"",""es-MX"")"),"Resistencia Mágica: 10
Suerte: 10
El día siguiente llovió.")</f>
        <v>Resistencia Mágica: 10
Suerte: 10
El día siguiente llovió.</v>
      </c>
      <c r="K46" s="352" t="s">
        <v>7644</v>
      </c>
      <c r="L46" s="168" t="s">
        <v>7645</v>
      </c>
      <c r="M46" s="356" t="s">
        <v>7646</v>
      </c>
      <c r="N46" s="192" t="s">
        <v>7647</v>
      </c>
      <c r="O46" s="353" t="s">
        <v>7648</v>
      </c>
      <c r="P46" s="197" t="s">
        <v>7649</v>
      </c>
      <c r="Q46" s="371" t="s">
        <v>7650</v>
      </c>
      <c r="R46" s="355" t="s">
        <v>7651</v>
      </c>
      <c r="S46" s="356" t="s">
        <v>7652</v>
      </c>
      <c r="T46" s="192" t="s">
        <v>7653</v>
      </c>
      <c r="U46" s="356"/>
      <c r="V46" s="192"/>
      <c r="W46" s="8"/>
      <c r="X46" s="8"/>
      <c r="Y46" s="8"/>
      <c r="Z46" s="8"/>
      <c r="AA46" s="8"/>
      <c r="AB46" s="8"/>
    </row>
    <row r="47">
      <c r="A47" s="352" t="s">
        <v>7654</v>
      </c>
      <c r="B47" s="168" t="s">
        <v>7655</v>
      </c>
      <c r="C47" s="352" t="s">
        <v>7654</v>
      </c>
      <c r="D47" s="192" t="str">
        <f>IFERROR(__xludf.DUMMYFUNCTION("GOOGLETRANSLATE(B47,""zh-tw"",""ja"")"),"物理防御力：1
魔法耐性：10
幸運：5
最大HPを増加")</f>
        <v>物理防御力：1
魔法耐性：10
幸運：5
最大HPを増加</v>
      </c>
      <c r="E47" s="352" t="s">
        <v>7656</v>
      </c>
      <c r="F47" s="168" t="s">
        <v>7657</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7658</v>
      </c>
      <c r="L47" s="168" t="s">
        <v>7659</v>
      </c>
      <c r="M47" s="356" t="s">
        <v>7660</v>
      </c>
      <c r="N47" s="192" t="s">
        <v>7661</v>
      </c>
      <c r="O47" s="353" t="s">
        <v>7662</v>
      </c>
      <c r="P47" s="197" t="s">
        <v>7663</v>
      </c>
      <c r="Q47" s="368" t="s">
        <v>7664</v>
      </c>
      <c r="R47" s="355" t="s">
        <v>7665</v>
      </c>
      <c r="S47" s="356" t="s">
        <v>7666</v>
      </c>
      <c r="T47" s="192" t="s">
        <v>7667</v>
      </c>
      <c r="U47" s="356"/>
      <c r="V47" s="192"/>
      <c r="W47" s="8"/>
      <c r="X47" s="8"/>
      <c r="Y47" s="8"/>
      <c r="Z47" s="8"/>
      <c r="AA47" s="8"/>
      <c r="AB47" s="8"/>
    </row>
    <row r="48">
      <c r="A48" s="352" t="s">
        <v>6012</v>
      </c>
      <c r="B48" s="168" t="s">
        <v>7668</v>
      </c>
      <c r="C48" s="352" t="s">
        <v>6014</v>
      </c>
      <c r="D48" s="192" t="str">
        <f>IFERROR(__xludf.DUMMYFUNCTION("GOOGLETRANSLATE(B48,""zh-tw"",""ja"")"),"魔法耐性: 30 回復不能、7秒間無敵")</f>
        <v>魔法耐性: 30 回復不能、7秒間無敵</v>
      </c>
      <c r="E48" s="352" t="s">
        <v>6016</v>
      </c>
      <c r="F48" s="168" t="s">
        <v>7669</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6018</v>
      </c>
      <c r="L48" s="168" t="s">
        <v>7670</v>
      </c>
      <c r="M48" s="356" t="s">
        <v>7671</v>
      </c>
      <c r="N48" s="192" t="s">
        <v>7672</v>
      </c>
      <c r="O48" s="353" t="s">
        <v>6020</v>
      </c>
      <c r="P48" s="197" t="s">
        <v>7673</v>
      </c>
      <c r="Q48" s="368" t="s">
        <v>6022</v>
      </c>
      <c r="R48" s="359" t="s">
        <v>7674</v>
      </c>
      <c r="S48" s="356" t="s">
        <v>6024</v>
      </c>
      <c r="T48" s="192" t="s">
        <v>7675</v>
      </c>
      <c r="U48" s="356"/>
      <c r="V48" s="192"/>
      <c r="W48" s="8"/>
      <c r="X48" s="8"/>
      <c r="Y48" s="8"/>
      <c r="Z48" s="8"/>
      <c r="AA48" s="8"/>
      <c r="AB48" s="8"/>
    </row>
    <row r="49">
      <c r="A49" s="352" t="s">
        <v>7676</v>
      </c>
      <c r="B49" s="168" t="s">
        <v>7677</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7678</v>
      </c>
      <c r="F49" s="168" t="s">
        <v>7679</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7680</v>
      </c>
      <c r="M49" s="356" t="s">
        <v>7681</v>
      </c>
      <c r="N49" s="192" t="s">
        <v>7682</v>
      </c>
      <c r="O49" s="353" t="s">
        <v>7683</v>
      </c>
      <c r="P49" s="197" t="s">
        <v>7684</v>
      </c>
      <c r="Q49" s="368" t="s">
        <v>7685</v>
      </c>
      <c r="R49" s="355" t="s">
        <v>7686</v>
      </c>
      <c r="S49" s="356" t="s">
        <v>7687</v>
      </c>
      <c r="T49" s="192" t="s">
        <v>7688</v>
      </c>
      <c r="U49" s="356"/>
      <c r="V49" s="192"/>
      <c r="W49" s="8"/>
      <c r="X49" s="8"/>
      <c r="Y49" s="8"/>
      <c r="Z49" s="8"/>
      <c r="AA49" s="8"/>
      <c r="AB49" s="8"/>
    </row>
    <row r="50">
      <c r="A50" s="352" t="s">
        <v>7689</v>
      </c>
      <c r="B50" s="168" t="s">
        <v>7690</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7691</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7692</v>
      </c>
      <c r="M50" s="356" t="s">
        <v>7693</v>
      </c>
      <c r="N50" s="192" t="s">
        <v>7694</v>
      </c>
      <c r="O50" s="353" t="s">
        <v>7695</v>
      </c>
      <c r="P50" s="197" t="s">
        <v>7696</v>
      </c>
      <c r="Q50" s="368" t="s">
        <v>7697</v>
      </c>
      <c r="R50" s="359" t="s">
        <v>7698</v>
      </c>
      <c r="S50" s="356" t="s">
        <v>7699</v>
      </c>
      <c r="T50" s="168" t="s">
        <v>7700</v>
      </c>
      <c r="U50" s="352"/>
      <c r="V50" s="168"/>
      <c r="W50" s="8"/>
      <c r="X50" s="8"/>
      <c r="Y50" s="8"/>
      <c r="Z50" s="8"/>
      <c r="AA50" s="8"/>
      <c r="AB50" s="8"/>
    </row>
    <row r="51">
      <c r="A51" s="352" t="s">
        <v>7701</v>
      </c>
      <c r="B51" s="168" t="s">
        <v>7702</v>
      </c>
      <c r="C51" s="352" t="s">
        <v>7703</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7704</v>
      </c>
      <c r="F51" s="168" t="s">
        <v>7705</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7706</v>
      </c>
      <c r="M51" s="356" t="s">
        <v>7707</v>
      </c>
      <c r="N51" s="192" t="s">
        <v>7708</v>
      </c>
      <c r="O51" s="353" t="s">
        <v>7709</v>
      </c>
      <c r="P51" s="197" t="s">
        <v>7710</v>
      </c>
      <c r="Q51" s="368" t="s">
        <v>7711</v>
      </c>
      <c r="R51" s="49" t="s">
        <v>7712</v>
      </c>
      <c r="S51" s="356" t="s">
        <v>7713</v>
      </c>
      <c r="T51" s="192" t="s">
        <v>7714</v>
      </c>
      <c r="U51" s="356"/>
      <c r="V51" s="192"/>
      <c r="W51" s="8"/>
      <c r="X51" s="8"/>
      <c r="Y51" s="8"/>
      <c r="Z51" s="8"/>
      <c r="AA51" s="8"/>
      <c r="AB51" s="8"/>
    </row>
    <row r="52">
      <c r="A52" s="352" t="s">
        <v>7715</v>
      </c>
      <c r="B52" s="168" t="s">
        <v>7716</v>
      </c>
      <c r="C52" s="352" t="s">
        <v>7717</v>
      </c>
      <c r="D52" s="168" t="s">
        <v>7718</v>
      </c>
      <c r="E52" s="352" t="s">
        <v>7719</v>
      </c>
      <c r="F52" s="168" t="s">
        <v>7720</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7721</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7722</v>
      </c>
      <c r="M52" s="356" t="s">
        <v>7723</v>
      </c>
      <c r="N52" s="192" t="s">
        <v>7724</v>
      </c>
      <c r="O52" s="353" t="s">
        <v>7725</v>
      </c>
      <c r="P52" s="197" t="s">
        <v>7726</v>
      </c>
      <c r="Q52" s="368" t="s">
        <v>7727</v>
      </c>
      <c r="R52" s="359" t="s">
        <v>7728</v>
      </c>
      <c r="S52" s="356" t="s">
        <v>7729</v>
      </c>
      <c r="T52" s="192" t="s">
        <v>7730</v>
      </c>
      <c r="U52" s="356"/>
      <c r="V52" s="192"/>
      <c r="W52" s="8"/>
      <c r="X52" s="8"/>
      <c r="Y52" s="8"/>
      <c r="Z52" s="8"/>
      <c r="AA52" s="8"/>
      <c r="AB52" s="8"/>
    </row>
    <row r="53">
      <c r="A53" s="352" t="s">
        <v>7731</v>
      </c>
      <c r="B53" s="168" t="s">
        <v>7732</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7733</v>
      </c>
      <c r="F53" s="168" t="s">
        <v>7734</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6302</v>
      </c>
      <c r="L53" s="168" t="s">
        <v>7735</v>
      </c>
      <c r="M53" s="356" t="s">
        <v>7736</v>
      </c>
      <c r="N53" s="192" t="s">
        <v>7737</v>
      </c>
      <c r="O53" s="353" t="s">
        <v>6304</v>
      </c>
      <c r="P53" s="197" t="s">
        <v>7738</v>
      </c>
      <c r="Q53" s="368" t="s">
        <v>7739</v>
      </c>
      <c r="R53" s="355" t="s">
        <v>7740</v>
      </c>
      <c r="S53" s="356" t="s">
        <v>7741</v>
      </c>
      <c r="T53" s="192" t="s">
        <v>7742</v>
      </c>
      <c r="U53" s="356"/>
      <c r="V53" s="192"/>
      <c r="W53" s="8"/>
      <c r="X53" s="8"/>
      <c r="Y53" s="8"/>
      <c r="Z53" s="8"/>
      <c r="AA53" s="8"/>
      <c r="AB53" s="8"/>
    </row>
    <row r="54">
      <c r="A54" s="352" t="s">
        <v>7743</v>
      </c>
      <c r="B54" s="197" t="s">
        <v>7744</v>
      </c>
      <c r="C54" s="352" t="s">
        <v>7745</v>
      </c>
      <c r="D54" s="168" t="s">
        <v>7746</v>
      </c>
      <c r="E54" s="352" t="s">
        <v>7747</v>
      </c>
      <c r="F54" s="168" t="s">
        <v>7748</v>
      </c>
      <c r="G54" s="356" t="str">
        <f>IFERROR(__xludf.DUMMYFUNCTION("GOOGLETRANSLATE(A54,""zh-tw"",""zh"")"),"炎天娃娃")</f>
        <v>炎天娃娃</v>
      </c>
      <c r="H54" s="192" t="str">
        <f>IFERROR(__xludf.DUMMYFUNCTION("GOOGLETRANSLATE(B54,""zh-tw"",""zh"")"),"魔抗：10
幸运：10
第二天炎热")</f>
        <v>魔抗：10
幸运：10
第二天炎热</v>
      </c>
      <c r="I54" s="352" t="s">
        <v>7747</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7749</v>
      </c>
      <c r="N54" s="192" t="s">
        <v>7750</v>
      </c>
      <c r="O54" s="353" t="s">
        <v>7751</v>
      </c>
      <c r="P54" s="197" t="s">
        <v>7752</v>
      </c>
      <c r="Q54" s="371" t="s">
        <v>7753</v>
      </c>
      <c r="R54" s="355" t="s">
        <v>7754</v>
      </c>
      <c r="S54" s="356" t="s">
        <v>7755</v>
      </c>
      <c r="T54" s="192" t="s">
        <v>7756</v>
      </c>
      <c r="U54" s="356"/>
      <c r="V54" s="192"/>
      <c r="W54" s="8"/>
      <c r="X54" s="8"/>
      <c r="Y54" s="8"/>
      <c r="Z54" s="8"/>
      <c r="AA54" s="8"/>
      <c r="AB54" s="8"/>
    </row>
    <row r="55">
      <c r="A55" s="352" t="s">
        <v>7757</v>
      </c>
      <c r="B55" s="168" t="s">
        <v>7758</v>
      </c>
      <c r="C55" s="352" t="s">
        <v>7759</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7760</v>
      </c>
      <c r="F55" s="168" t="s">
        <v>7761</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7762</v>
      </c>
      <c r="J55" s="168" t="s">
        <v>7763</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7764</v>
      </c>
      <c r="N55" s="192" t="s">
        <v>7765</v>
      </c>
      <c r="O55" s="353" t="s">
        <v>7766</v>
      </c>
      <c r="P55" s="197" t="s">
        <v>7767</v>
      </c>
      <c r="Q55" s="368" t="s">
        <v>7768</v>
      </c>
      <c r="R55" s="359" t="s">
        <v>7769</v>
      </c>
      <c r="S55" s="356" t="s">
        <v>7770</v>
      </c>
      <c r="T55" s="192" t="s">
        <v>7771</v>
      </c>
      <c r="U55" s="356"/>
      <c r="V55" s="192"/>
      <c r="W55" s="8"/>
      <c r="X55" s="8"/>
      <c r="Y55" s="8"/>
      <c r="Z55" s="8"/>
      <c r="AA55" s="8"/>
      <c r="AB55" s="8"/>
    </row>
    <row r="56">
      <c r="A56" s="356" t="s">
        <v>7772</v>
      </c>
      <c r="B56" s="192" t="s">
        <v>7773</v>
      </c>
      <c r="C56" s="352" t="s">
        <v>7774</v>
      </c>
      <c r="D56" s="192" t="s">
        <v>7775</v>
      </c>
      <c r="E56" s="356" t="s">
        <v>7776</v>
      </c>
      <c r="F56" s="192" t="s">
        <v>7777</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7778</v>
      </c>
      <c r="N56" s="192" t="s">
        <v>7779</v>
      </c>
      <c r="O56" s="352" t="s">
        <v>7776</v>
      </c>
      <c r="P56" s="168" t="s">
        <v>7780</v>
      </c>
      <c r="Q56" s="372" t="s">
        <v>7781</v>
      </c>
      <c r="R56" s="373" t="s">
        <v>7782</v>
      </c>
      <c r="S56" s="356" t="s">
        <v>7783</v>
      </c>
      <c r="T56" s="192" t="s">
        <v>7784</v>
      </c>
      <c r="U56" s="356"/>
      <c r="V56" s="192"/>
      <c r="W56" s="8"/>
      <c r="X56" s="8"/>
      <c r="Y56" s="8"/>
      <c r="Z56" s="8"/>
      <c r="AA56" s="8"/>
      <c r="AB56" s="8"/>
    </row>
    <row r="57">
      <c r="A57" s="356" t="s">
        <v>7785</v>
      </c>
      <c r="B57" s="192" t="s">
        <v>7786</v>
      </c>
      <c r="C57" s="352" t="s">
        <v>7787</v>
      </c>
      <c r="D57" s="192" t="s">
        <v>7788</v>
      </c>
      <c r="E57" s="356" t="s">
        <v>7789</v>
      </c>
      <c r="F57" s="168" t="s">
        <v>7790</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7791</v>
      </c>
      <c r="N57" s="192" t="s">
        <v>7792</v>
      </c>
      <c r="O57" s="352" t="s">
        <v>7793</v>
      </c>
      <c r="P57" s="168" t="s">
        <v>7794</v>
      </c>
      <c r="Q57" s="374" t="s">
        <v>7795</v>
      </c>
      <c r="R57" s="359" t="s">
        <v>7796</v>
      </c>
      <c r="S57" s="356" t="s">
        <v>7797</v>
      </c>
      <c r="T57" s="192" t="s">
        <v>7798</v>
      </c>
      <c r="U57" s="356"/>
      <c r="V57" s="192"/>
      <c r="W57" s="8"/>
      <c r="X57" s="8"/>
      <c r="Y57" s="8"/>
      <c r="Z57" s="8"/>
      <c r="AA57" s="8"/>
      <c r="AB57" s="8"/>
    </row>
    <row r="58">
      <c r="A58" s="356" t="s">
        <v>7799</v>
      </c>
      <c r="B58" s="192" t="s">
        <v>7800</v>
      </c>
      <c r="C58" s="352" t="s">
        <v>7801</v>
      </c>
      <c r="D58" s="168" t="s">
        <v>7802</v>
      </c>
      <c r="E58" s="352" t="s">
        <v>7803</v>
      </c>
      <c r="F58" s="168" t="s">
        <v>7804</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7805</v>
      </c>
      <c r="N58" s="192" t="s">
        <v>7806</v>
      </c>
      <c r="O58" s="352" t="s">
        <v>7807</v>
      </c>
      <c r="P58" s="168" t="s">
        <v>7808</v>
      </c>
      <c r="Q58" s="372" t="s">
        <v>7809</v>
      </c>
      <c r="R58" s="359" t="s">
        <v>7810</v>
      </c>
      <c r="S58" s="356" t="s">
        <v>7811</v>
      </c>
      <c r="T58" s="168" t="s">
        <v>7812</v>
      </c>
      <c r="U58" s="352"/>
      <c r="V58" s="168"/>
      <c r="W58" s="8"/>
      <c r="X58" s="8"/>
      <c r="Y58" s="8"/>
      <c r="Z58" s="8"/>
      <c r="AA58" s="8"/>
      <c r="AB58" s="8"/>
    </row>
    <row r="59">
      <c r="A59" s="352" t="s">
        <v>7813</v>
      </c>
      <c r="B59" s="168" t="s">
        <v>7814</v>
      </c>
      <c r="C59" s="352" t="s">
        <v>7815</v>
      </c>
      <c r="D59" s="168" t="s">
        <v>7816</v>
      </c>
      <c r="E59" s="352" t="s">
        <v>7817</v>
      </c>
      <c r="F59" s="168" t="s">
        <v>7818</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7819</v>
      </c>
      <c r="N59" s="192" t="s">
        <v>7820</v>
      </c>
      <c r="O59" s="352" t="s">
        <v>7821</v>
      </c>
      <c r="P59" s="168" t="s">
        <v>7822</v>
      </c>
      <c r="Q59" s="368" t="s">
        <v>7823</v>
      </c>
      <c r="R59" s="359" t="s">
        <v>7824</v>
      </c>
      <c r="S59" s="356" t="s">
        <v>7825</v>
      </c>
      <c r="T59" s="168" t="s">
        <v>7826</v>
      </c>
      <c r="U59" s="352"/>
      <c r="V59" s="168"/>
      <c r="W59" s="8"/>
      <c r="X59" s="8"/>
      <c r="Y59" s="8"/>
      <c r="Z59" s="8"/>
      <c r="AA59" s="8"/>
      <c r="AB59" s="8"/>
    </row>
    <row r="60">
      <c r="A60" s="357" t="s">
        <v>7827</v>
      </c>
      <c r="B60" s="168" t="s">
        <v>7828</v>
      </c>
      <c r="C60" s="357" t="s">
        <v>7829</v>
      </c>
      <c r="D60" s="168" t="s">
        <v>7830</v>
      </c>
      <c r="E60" s="357" t="s">
        <v>7831</v>
      </c>
      <c r="F60" s="168" t="s">
        <v>7832</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7833</v>
      </c>
      <c r="N60" s="192" t="s">
        <v>7834</v>
      </c>
      <c r="O60" s="356" t="s">
        <v>7835</v>
      </c>
      <c r="P60" s="168" t="s">
        <v>7836</v>
      </c>
      <c r="Q60" s="368" t="s">
        <v>7837</v>
      </c>
      <c r="R60" s="359" t="s">
        <v>7838</v>
      </c>
      <c r="S60" s="356" t="s">
        <v>7831</v>
      </c>
      <c r="T60" s="192" t="s">
        <v>7839</v>
      </c>
      <c r="U60" s="356"/>
      <c r="V60" s="192"/>
      <c r="W60" s="8"/>
      <c r="X60" s="8"/>
      <c r="Y60" s="8"/>
      <c r="Z60" s="8"/>
      <c r="AA60" s="8"/>
      <c r="AB60" s="8"/>
    </row>
    <row r="61">
      <c r="A61" s="357" t="s">
        <v>7840</v>
      </c>
      <c r="B61" s="153" t="s">
        <v>7841</v>
      </c>
      <c r="C61" s="352" t="s">
        <v>7842</v>
      </c>
      <c r="D61" s="168" t="s">
        <v>7843</v>
      </c>
      <c r="E61" s="357" t="s">
        <v>7844</v>
      </c>
      <c r="F61" s="153" t="s">
        <v>7845</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7846</v>
      </c>
      <c r="N61" s="192" t="s">
        <v>7847</v>
      </c>
      <c r="O61" s="356" t="s">
        <v>7848</v>
      </c>
      <c r="P61" s="192" t="s">
        <v>7849</v>
      </c>
      <c r="Q61" s="368" t="s">
        <v>7850</v>
      </c>
      <c r="R61" s="49" t="s">
        <v>7851</v>
      </c>
      <c r="S61" s="356" t="s">
        <v>7852</v>
      </c>
      <c r="T61" s="192" t="s">
        <v>7853</v>
      </c>
      <c r="U61" s="356"/>
      <c r="V61" s="192"/>
      <c r="W61" s="8"/>
      <c r="X61" s="8"/>
      <c r="Y61" s="8"/>
      <c r="Z61" s="8"/>
      <c r="AA61" s="8"/>
      <c r="AB61" s="8"/>
    </row>
    <row r="62">
      <c r="A62" s="352" t="s">
        <v>7854</v>
      </c>
      <c r="B62" s="168" t="s">
        <v>7855</v>
      </c>
      <c r="C62" s="352" t="s">
        <v>7856</v>
      </c>
      <c r="D62" s="192" t="str">
        <f>IFERROR(__xludf.DUMMYFUNCTION("GOOGLETRANSLATE(B62,""zh-tw"",""ja"")"),"物理防御力：3
魔法耐性：10
草の上にいる間、スタミナが回復する")</f>
        <v>物理防御力：3
魔法耐性：10
草の上にいる間、スタミナが回復する</v>
      </c>
      <c r="E62" s="352" t="s">
        <v>7857</v>
      </c>
      <c r="F62" s="168" t="s">
        <v>7858</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7859</v>
      </c>
      <c r="N62" s="192" t="s">
        <v>7860</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7861</v>
      </c>
      <c r="R62" s="355" t="s">
        <v>7862</v>
      </c>
      <c r="S62" s="356" t="s">
        <v>7863</v>
      </c>
      <c r="T62" s="192" t="s">
        <v>7864</v>
      </c>
      <c r="U62" s="356"/>
      <c r="V62" s="192"/>
      <c r="W62" s="8"/>
      <c r="X62" s="8"/>
      <c r="Y62" s="8"/>
      <c r="Z62" s="8"/>
      <c r="AA62" s="8"/>
      <c r="AB62" s="8"/>
    </row>
    <row r="63">
      <c r="A63" s="352" t="s">
        <v>7865</v>
      </c>
      <c r="B63" s="168" t="s">
        <v>7866</v>
      </c>
      <c r="C63" s="352" t="s">
        <v>7867</v>
      </c>
      <c r="D63" s="192" t="str">
        <f>IFERROR(__xludf.DUMMYFUNCTION("GOOGLETRANSLATE(B63,""zh-tw"",""ja"")"),"物理防御力：1 若干の改善：最大スタミナ、移動速度、装備容量")</f>
        <v>物理防御力：1 若干の改善：最大スタミナ、移動速度、装備容量</v>
      </c>
      <c r="E63" s="352" t="s">
        <v>7868</v>
      </c>
      <c r="F63" s="168" t="s">
        <v>7869</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7870</v>
      </c>
      <c r="N63" s="192" t="s">
        <v>7871</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7872</v>
      </c>
      <c r="R63" s="359" t="s">
        <v>7873</v>
      </c>
      <c r="S63" s="356" t="s">
        <v>7874</v>
      </c>
      <c r="T63" s="192" t="s">
        <v>7875</v>
      </c>
      <c r="U63" s="356"/>
      <c r="V63" s="192"/>
      <c r="W63" s="8"/>
      <c r="X63" s="8"/>
      <c r="Y63" s="8"/>
      <c r="Z63" s="8"/>
      <c r="AA63" s="8"/>
      <c r="AB63" s="8"/>
    </row>
    <row r="64">
      <c r="A64" s="352" t="s">
        <v>7876</v>
      </c>
      <c r="B64" s="168" t="s">
        <v>7877</v>
      </c>
      <c r="C64" s="352" t="s">
        <v>7878</v>
      </c>
      <c r="D64" s="192" t="str">
        <f>IFERROR(__xludf.DUMMYFUNCTION("GOOGLETRANSLATE(B64,""zh-tw"",""ja"")"),"物理攻撃力: 6
幸運: 20
肉のドロップ率が2倍（魚のフライを含む）")</f>
        <v>物理攻撃力: 6
幸運: 20
肉のドロップ率が2倍（魚のフライを含む）</v>
      </c>
      <c r="E64" s="352" t="s">
        <v>7879</v>
      </c>
      <c r="F64" s="168" t="s">
        <v>7880</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7881</v>
      </c>
      <c r="N64" s="192" t="s">
        <v>7882</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7883</v>
      </c>
      <c r="R64" s="355" t="s">
        <v>7884</v>
      </c>
      <c r="S64" s="356" t="s">
        <v>7885</v>
      </c>
      <c r="T64" s="192" t="s">
        <v>7886</v>
      </c>
      <c r="U64" s="356"/>
      <c r="V64" s="192"/>
      <c r="W64" s="8"/>
      <c r="X64" s="8"/>
      <c r="Y64" s="8"/>
      <c r="Z64" s="8"/>
      <c r="AA64" s="8"/>
      <c r="AB64" s="8"/>
    </row>
    <row r="65">
      <c r="A65" s="352" t="s">
        <v>7887</v>
      </c>
      <c r="B65" s="168" t="s">
        <v>7888</v>
      </c>
      <c r="C65" s="352" t="s">
        <v>7889</v>
      </c>
      <c r="D65" s="192" t="str">
        <f>IFERROR(__xludf.DUMMYFUNCTION("GOOGLETRANSLATE(B65,""zh-tw"",""ja"")"),"物理防御力：20
魔法耐性：60
水泳速度が上昇し、陸上移動速度が低下")</f>
        <v>物理防御力：20
魔法耐性：60
水泳速度が上昇し、陸上移動速度が低下</v>
      </c>
      <c r="E65" s="352" t="s">
        <v>7890</v>
      </c>
      <c r="F65" s="168" t="s">
        <v>7891</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7892</v>
      </c>
      <c r="N65" s="192" t="s">
        <v>7893</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7894</v>
      </c>
      <c r="R65" s="355" t="s">
        <v>7895</v>
      </c>
      <c r="S65" s="356" t="s">
        <v>7896</v>
      </c>
      <c r="T65" s="192" t="s">
        <v>7897</v>
      </c>
      <c r="U65" s="356"/>
      <c r="V65" s="192"/>
      <c r="W65" s="8"/>
      <c r="X65" s="8"/>
      <c r="Y65" s="8"/>
      <c r="Z65" s="8"/>
      <c r="AA65" s="8"/>
      <c r="AB65" s="8"/>
    </row>
    <row r="66">
      <c r="A66" s="352" t="s">
        <v>7898</v>
      </c>
      <c r="B66" s="168" t="s">
        <v>7899</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7900</v>
      </c>
      <c r="F66" s="168" t="s">
        <v>7901</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7902</v>
      </c>
      <c r="N66" s="192" t="s">
        <v>7903</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7904</v>
      </c>
      <c r="R66" s="49" t="s">
        <v>7905</v>
      </c>
      <c r="S66" s="356" t="s">
        <v>7906</v>
      </c>
      <c r="T66" s="192" t="s">
        <v>7907</v>
      </c>
      <c r="U66" s="356"/>
      <c r="V66" s="192"/>
      <c r="W66" s="8"/>
      <c r="X66" s="8"/>
      <c r="Y66" s="8"/>
      <c r="Z66" s="8"/>
      <c r="AA66" s="8"/>
      <c r="AB66" s="8"/>
    </row>
    <row r="67">
      <c r="A67" s="352" t="s">
        <v>7908</v>
      </c>
      <c r="B67" s="168" t="s">
        <v>7909</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7910</v>
      </c>
      <c r="F67" s="168" t="s">
        <v>7911</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7912</v>
      </c>
      <c r="N67" s="192" t="s">
        <v>7913</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7914</v>
      </c>
      <c r="R67" s="359" t="s">
        <v>7915</v>
      </c>
      <c r="S67" s="356" t="s">
        <v>7916</v>
      </c>
      <c r="T67" s="192" t="s">
        <v>7917</v>
      </c>
      <c r="U67" s="356"/>
      <c r="V67" s="192"/>
      <c r="W67" s="8"/>
      <c r="X67" s="8"/>
      <c r="Y67" s="8"/>
      <c r="Z67" s="8"/>
      <c r="AA67" s="8"/>
      <c r="AB67" s="8"/>
    </row>
    <row r="68">
      <c r="A68" s="352" t="s">
        <v>7918</v>
      </c>
      <c r="B68" s="168" t="s">
        <v>7919</v>
      </c>
      <c r="C68" s="352" t="s">
        <v>7920</v>
      </c>
      <c r="D68" s="192" t="str">
        <f>IFERROR(__xludf.DUMMYFUNCTION("GOOGLETRANSLATE(B68,""zh-tw"",""ja"")"),"物理攻撃力：4
物理防御力：1
物理攻撃力 +15%
")</f>
        <v>物理攻撃力：4
物理防御力：1
物理攻撃力 +15%
</v>
      </c>
      <c r="E68" s="352" t="s">
        <v>7921</v>
      </c>
      <c r="F68" s="168" t="s">
        <v>7922</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7923</v>
      </c>
      <c r="N68" s="192" t="s">
        <v>7924</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7925</v>
      </c>
      <c r="R68" s="359" t="s">
        <v>7926</v>
      </c>
      <c r="S68" s="356" t="s">
        <v>7927</v>
      </c>
      <c r="T68" s="192" t="s">
        <v>7928</v>
      </c>
      <c r="U68" s="356"/>
      <c r="V68" s="192"/>
      <c r="W68" s="8"/>
      <c r="X68" s="8"/>
      <c r="Y68" s="8"/>
      <c r="Z68" s="8"/>
      <c r="AA68" s="8"/>
      <c r="AB68" s="8"/>
    </row>
    <row r="69">
      <c r="A69" s="352" t="s">
        <v>7929</v>
      </c>
      <c r="B69" s="168" t="s">
        <v>7930</v>
      </c>
      <c r="C69" s="352" t="s">
        <v>7929</v>
      </c>
      <c r="D69" s="168" t="s">
        <v>7931</v>
      </c>
      <c r="E69" s="352" t="s">
        <v>7932</v>
      </c>
      <c r="F69" s="168" t="s">
        <v>7933</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7934</v>
      </c>
      <c r="N69" s="192" t="s">
        <v>7935</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7932</v>
      </c>
      <c r="R69" s="49" t="s">
        <v>7936</v>
      </c>
      <c r="S69" s="356" t="s">
        <v>7932</v>
      </c>
      <c r="T69" s="192" t="s">
        <v>7937</v>
      </c>
      <c r="U69" s="356"/>
      <c r="V69" s="192"/>
      <c r="W69" s="8"/>
      <c r="X69" s="8"/>
      <c r="Y69" s="8"/>
      <c r="Z69" s="8"/>
      <c r="AA69" s="8"/>
      <c r="AB69" s="8"/>
    </row>
    <row r="70">
      <c r="A70" s="352" t="s">
        <v>7938</v>
      </c>
      <c r="B70" s="168" t="s">
        <v>7939</v>
      </c>
      <c r="C70" s="352" t="s">
        <v>7940</v>
      </c>
      <c r="D70" s="192" t="str">
        <f>IFERROR(__xludf.DUMMYFUNCTION("GOOGLETRANSLATE(B70,""zh-tw"",""ja"")"),"物理防御力：15
魔法耐性：10
詳細はヒントをご覧ください")</f>
        <v>物理防御力：15
魔法耐性：10
詳細はヒントをご覧ください</v>
      </c>
      <c r="E70" s="352" t="s">
        <v>7941</v>
      </c>
      <c r="F70" s="168" t="s">
        <v>7942</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7943</v>
      </c>
      <c r="N70" s="192" t="s">
        <v>7944</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7945</v>
      </c>
      <c r="R70" s="355" t="s">
        <v>7946</v>
      </c>
      <c r="S70" s="356" t="s">
        <v>7947</v>
      </c>
      <c r="T70" s="192" t="s">
        <v>7948</v>
      </c>
      <c r="U70" s="356"/>
      <c r="V70" s="192"/>
      <c r="W70" s="8"/>
      <c r="X70" s="8"/>
      <c r="Y70" s="8"/>
      <c r="Z70" s="8"/>
      <c r="AA70" s="8"/>
      <c r="AB70" s="8"/>
    </row>
    <row r="71">
      <c r="A71" s="352" t="s">
        <v>7949</v>
      </c>
      <c r="B71" s="168" t="s">
        <v>7950</v>
      </c>
      <c r="C71" s="352" t="s">
        <v>4344</v>
      </c>
      <c r="D71" s="192"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52" t="s">
        <v>7951</v>
      </c>
      <c r="F71" s="168" t="s">
        <v>7952</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7953</v>
      </c>
      <c r="N71" s="192" t="s">
        <v>7954</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7955</v>
      </c>
      <c r="R71" s="359" t="s">
        <v>7956</v>
      </c>
      <c r="S71" s="356" t="s">
        <v>7957</v>
      </c>
      <c r="T71" s="192" t="s">
        <v>7958</v>
      </c>
      <c r="U71" s="356"/>
      <c r="V71" s="192"/>
      <c r="W71" s="8"/>
      <c r="X71" s="8"/>
      <c r="Y71" s="8"/>
      <c r="Z71" s="8"/>
      <c r="AA71" s="8"/>
      <c r="AB71" s="8"/>
    </row>
    <row r="72">
      <c r="A72" s="352" t="s">
        <v>7959</v>
      </c>
      <c r="B72" s="168" t="s">
        <v>7960</v>
      </c>
      <c r="C72" s="352" t="s">
        <v>7961</v>
      </c>
      <c r="D72" s="192" t="str">
        <f>IFERROR(__xludf.DUMMYFUNCTION("GOOGLETRANSLATE(B72,""zh-tw"",""ja"")"),"コマンドタイプの装備
(スキルスロット参照)")</f>
        <v>コマンドタイプの装備
(スキルスロット参照)</v>
      </c>
      <c r="E72" s="352" t="s">
        <v>7962</v>
      </c>
      <c r="F72" s="168" t="s">
        <v>7963</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7964</v>
      </c>
      <c r="N72" s="192" t="s">
        <v>7965</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7966</v>
      </c>
      <c r="R72" s="355" t="s">
        <v>7967</v>
      </c>
      <c r="S72" s="356" t="s">
        <v>7968</v>
      </c>
      <c r="T72" s="192" t="s">
        <v>7969</v>
      </c>
      <c r="U72" s="356"/>
      <c r="V72" s="192"/>
      <c r="W72" s="8"/>
      <c r="X72" s="8"/>
      <c r="Y72" s="8"/>
      <c r="Z72" s="8"/>
      <c r="AA72" s="8"/>
      <c r="AB72" s="8"/>
    </row>
    <row r="73">
      <c r="A73" s="357" t="s">
        <v>5778</v>
      </c>
      <c r="B73" s="168" t="s">
        <v>7970</v>
      </c>
      <c r="C73" s="352" t="s">
        <v>7971</v>
      </c>
      <c r="D73" s="168" t="s">
        <v>7972</v>
      </c>
      <c r="E73" s="352" t="s">
        <v>5784</v>
      </c>
      <c r="F73" s="168" t="s">
        <v>7973</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7974</v>
      </c>
      <c r="N73" s="192" t="s">
        <v>7975</v>
      </c>
      <c r="O73" s="352" t="s">
        <v>5787</v>
      </c>
      <c r="P73" s="168" t="s">
        <v>7976</v>
      </c>
      <c r="Q73" s="368" t="s">
        <v>5790</v>
      </c>
      <c r="R73" s="355" t="s">
        <v>7977</v>
      </c>
      <c r="S73" s="356" t="s">
        <v>5793</v>
      </c>
      <c r="T73" s="192" t="s">
        <v>7978</v>
      </c>
      <c r="U73" s="356"/>
      <c r="V73" s="192"/>
      <c r="W73" s="8"/>
      <c r="X73" s="8"/>
      <c r="Y73" s="8"/>
      <c r="Z73" s="8"/>
      <c r="AA73" s="8"/>
      <c r="AB73" s="8"/>
    </row>
    <row r="74">
      <c r="A74" s="356" t="s">
        <v>5796</v>
      </c>
      <c r="B74" s="168" t="s">
        <v>7979</v>
      </c>
      <c r="C74" s="356" t="s">
        <v>5796</v>
      </c>
      <c r="D74" s="168" t="s">
        <v>7980</v>
      </c>
      <c r="E74" s="352" t="s">
        <v>5800</v>
      </c>
      <c r="F74" s="168" t="s">
        <v>7981</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7982</v>
      </c>
      <c r="N74" s="192" t="s">
        <v>7983</v>
      </c>
      <c r="O74" s="352" t="s">
        <v>5802</v>
      </c>
      <c r="P74" s="168" t="s">
        <v>7984</v>
      </c>
      <c r="Q74" s="372" t="s">
        <v>5804</v>
      </c>
      <c r="R74" s="355" t="s">
        <v>7985</v>
      </c>
      <c r="S74" s="356" t="s">
        <v>5806</v>
      </c>
      <c r="T74" s="192" t="s">
        <v>7986</v>
      </c>
      <c r="U74" s="356"/>
      <c r="V74" s="192"/>
      <c r="W74" s="8"/>
      <c r="X74" s="8"/>
      <c r="Y74" s="8"/>
      <c r="Z74" s="8"/>
      <c r="AA74" s="8"/>
      <c r="AB74" s="8"/>
    </row>
    <row r="75">
      <c r="A75" s="356" t="s">
        <v>7987</v>
      </c>
      <c r="B75" s="168" t="s">
        <v>7988</v>
      </c>
      <c r="C75" s="352" t="s">
        <v>7989</v>
      </c>
      <c r="D75" s="168" t="s">
        <v>7990</v>
      </c>
      <c r="E75" s="352" t="s">
        <v>7991</v>
      </c>
      <c r="F75" s="168" t="s">
        <v>7992</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7993</v>
      </c>
      <c r="N75" s="192" t="s">
        <v>7994</v>
      </c>
      <c r="O75" s="352" t="s">
        <v>7995</v>
      </c>
      <c r="P75" s="168" t="s">
        <v>7996</v>
      </c>
      <c r="Q75" s="372" t="s">
        <v>7997</v>
      </c>
      <c r="R75" s="355" t="s">
        <v>7998</v>
      </c>
      <c r="S75" s="356" t="s">
        <v>7999</v>
      </c>
      <c r="T75" s="192" t="s">
        <v>8000</v>
      </c>
      <c r="U75" s="356"/>
      <c r="V75" s="192"/>
      <c r="W75" s="8"/>
      <c r="X75" s="8"/>
      <c r="Y75" s="8"/>
      <c r="Z75" s="8"/>
      <c r="AA75" s="8"/>
      <c r="AB75" s="8"/>
    </row>
    <row r="76">
      <c r="A76" s="352" t="s">
        <v>8001</v>
      </c>
      <c r="B76" s="168" t="s">
        <v>8002</v>
      </c>
      <c r="C76" s="352" t="s">
        <v>8003</v>
      </c>
      <c r="D76" s="168" t="s">
        <v>8004</v>
      </c>
      <c r="E76" s="352" t="s">
        <v>8005</v>
      </c>
      <c r="F76" s="168" t="s">
        <v>8006</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8007</v>
      </c>
      <c r="N76" s="192" t="s">
        <v>8008</v>
      </c>
      <c r="O76" s="352" t="s">
        <v>8009</v>
      </c>
      <c r="P76" s="168" t="s">
        <v>8010</v>
      </c>
      <c r="Q76" s="368" t="s">
        <v>8005</v>
      </c>
      <c r="R76" s="359" t="s">
        <v>8011</v>
      </c>
      <c r="S76" s="356" t="s">
        <v>8012</v>
      </c>
      <c r="T76" s="192" t="s">
        <v>8013</v>
      </c>
      <c r="U76" s="356"/>
      <c r="V76" s="192"/>
      <c r="W76" s="8"/>
      <c r="X76" s="8"/>
      <c r="Y76" s="8"/>
      <c r="Z76" s="8"/>
      <c r="AA76" s="8"/>
      <c r="AB76" s="8"/>
    </row>
    <row r="77">
      <c r="A77" s="352" t="s">
        <v>8014</v>
      </c>
      <c r="B77" s="168" t="s">
        <v>8015</v>
      </c>
      <c r="C77" s="352" t="s">
        <v>8016</v>
      </c>
      <c r="D77" s="168" t="s">
        <v>8017</v>
      </c>
      <c r="E77" s="352" t="s">
        <v>8018</v>
      </c>
      <c r="F77" s="168" t="s">
        <v>8019</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8020</v>
      </c>
      <c r="N77" s="192" t="s">
        <v>8021</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8022</v>
      </c>
      <c r="R77" s="359" t="s">
        <v>8023</v>
      </c>
      <c r="S77" s="191" t="s">
        <v>8024</v>
      </c>
      <c r="T77" s="168" t="s">
        <v>8025</v>
      </c>
      <c r="U77" s="352"/>
      <c r="V77" s="168"/>
      <c r="W77" s="8"/>
      <c r="X77" s="8"/>
      <c r="Y77" s="8"/>
      <c r="Z77" s="8"/>
      <c r="AA77" s="8"/>
      <c r="AB77" s="8"/>
    </row>
    <row r="78">
      <c r="A78" s="352" t="s">
        <v>8026</v>
      </c>
      <c r="B78" s="168" t="s">
        <v>8027</v>
      </c>
      <c r="C78" s="352" t="s">
        <v>8028</v>
      </c>
      <c r="D78" s="168" t="s">
        <v>8029</v>
      </c>
      <c r="E78" s="352" t="s">
        <v>8030</v>
      </c>
      <c r="F78" s="168" t="s">
        <v>8031</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8032</v>
      </c>
      <c r="N78" s="192" t="s">
        <v>8033</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8034</v>
      </c>
      <c r="R78" s="359" t="s">
        <v>8035</v>
      </c>
      <c r="S78" s="191" t="s">
        <v>8036</v>
      </c>
      <c r="T78" s="168" t="s">
        <v>8037</v>
      </c>
      <c r="U78" s="352"/>
      <c r="V78" s="168"/>
      <c r="W78" s="8"/>
      <c r="X78" s="8"/>
      <c r="Y78" s="8"/>
      <c r="Z78" s="8"/>
      <c r="AA78" s="8"/>
      <c r="AB78" s="8"/>
    </row>
    <row r="79">
      <c r="A79" s="352" t="s">
        <v>8038</v>
      </c>
      <c r="B79" s="168" t="s">
        <v>8039</v>
      </c>
      <c r="C79" s="352" t="s">
        <v>8040</v>
      </c>
      <c r="D79" s="168" t="s">
        <v>8041</v>
      </c>
      <c r="E79" s="352" t="s">
        <v>8042</v>
      </c>
      <c r="F79" s="168" t="s">
        <v>8043</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8044</v>
      </c>
      <c r="N79" s="192" t="s">
        <v>8045</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8046</v>
      </c>
      <c r="R79" s="359" t="s">
        <v>8047</v>
      </c>
      <c r="S79" s="191" t="s">
        <v>8048</v>
      </c>
      <c r="T79" s="168" t="s">
        <v>8049</v>
      </c>
      <c r="U79" s="352"/>
      <c r="V79" s="168"/>
      <c r="W79" s="8"/>
      <c r="X79" s="8"/>
      <c r="Y79" s="8"/>
      <c r="Z79" s="8"/>
      <c r="AA79" s="8"/>
      <c r="AB79" s="8"/>
    </row>
    <row r="80">
      <c r="A80" s="356" t="s">
        <v>8050</v>
      </c>
      <c r="B80" s="192" t="s">
        <v>8051</v>
      </c>
      <c r="C80" s="356" t="s">
        <v>8052</v>
      </c>
      <c r="D80" s="192" t="s">
        <v>8053</v>
      </c>
      <c r="E80" s="356" t="s">
        <v>8054</v>
      </c>
      <c r="F80" s="192" t="s">
        <v>8055</v>
      </c>
      <c r="G80" s="356" t="s">
        <v>8056</v>
      </c>
      <c r="H80" s="192" t="s">
        <v>8057</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8058</v>
      </c>
      <c r="N80" s="192" t="s">
        <v>8059</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8060</v>
      </c>
      <c r="S80" s="191" t="s">
        <v>8061</v>
      </c>
      <c r="T80" s="192" t="s">
        <v>8062</v>
      </c>
      <c r="U80" s="356"/>
      <c r="V80" s="192"/>
      <c r="W80" s="8"/>
      <c r="X80" s="8"/>
      <c r="Y80" s="8"/>
      <c r="Z80" s="8"/>
      <c r="AA80" s="8"/>
      <c r="AB80" s="8"/>
    </row>
    <row r="81">
      <c r="A81" s="356" t="s">
        <v>8063</v>
      </c>
      <c r="B81" s="192" t="s">
        <v>8064</v>
      </c>
      <c r="C81" s="356" t="s">
        <v>8065</v>
      </c>
      <c r="D81" s="192" t="s">
        <v>8066</v>
      </c>
      <c r="E81" s="356" t="s">
        <v>8067</v>
      </c>
      <c r="F81" s="192" t="s">
        <v>8068</v>
      </c>
      <c r="G81" s="356" t="s">
        <v>8069</v>
      </c>
      <c r="H81" s="192" t="s">
        <v>8070</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8071</v>
      </c>
      <c r="N81" s="192" t="s">
        <v>8072</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8073</v>
      </c>
      <c r="R81" s="363" t="s">
        <v>8074</v>
      </c>
      <c r="S81" s="191" t="s">
        <v>8075</v>
      </c>
      <c r="T81" s="192" t="s">
        <v>8076</v>
      </c>
      <c r="U81" s="356"/>
      <c r="V81" s="192"/>
      <c r="W81" s="8"/>
      <c r="X81" s="8"/>
      <c r="Y81" s="8"/>
      <c r="Z81" s="8"/>
      <c r="AA81" s="8"/>
      <c r="AB81" s="8"/>
    </row>
    <row r="82">
      <c r="A82" s="352" t="s">
        <v>8077</v>
      </c>
      <c r="B82" s="168" t="s">
        <v>8078</v>
      </c>
      <c r="C82" s="356"/>
      <c r="D82" s="192"/>
      <c r="E82" s="352" t="s">
        <v>8079</v>
      </c>
      <c r="F82" s="168" t="s">
        <v>8080</v>
      </c>
      <c r="G82" s="352" t="s">
        <v>8077</v>
      </c>
      <c r="H82" s="168" t="s">
        <v>8078</v>
      </c>
      <c r="I82" s="356"/>
      <c r="J82" s="192"/>
      <c r="K82" s="352" t="s">
        <v>8081</v>
      </c>
      <c r="L82" s="168" t="s">
        <v>8082</v>
      </c>
      <c r="M82" s="357" t="s">
        <v>8083</v>
      </c>
      <c r="N82" s="153" t="s">
        <v>8084</v>
      </c>
      <c r="O82" s="356"/>
      <c r="P82" s="192"/>
      <c r="Q82" s="379" t="s">
        <v>8085</v>
      </c>
      <c r="R82" s="49" t="s">
        <v>8086</v>
      </c>
      <c r="S82" s="166" t="s">
        <v>8087</v>
      </c>
      <c r="T82" s="168" t="s">
        <v>8088</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8089</v>
      </c>
      <c r="B1" s="88" t="s">
        <v>8090</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8091</v>
      </c>
      <c r="N1" s="81" t="s">
        <v>8092</v>
      </c>
      <c r="O1" s="346" t="s">
        <v>8093</v>
      </c>
      <c r="P1" s="88" t="s">
        <v>8094</v>
      </c>
      <c r="Q1" s="384" t="s">
        <v>8095</v>
      </c>
      <c r="R1" s="81" t="s">
        <v>8096</v>
      </c>
      <c r="S1" s="348" t="s">
        <v>8097</v>
      </c>
      <c r="T1" s="85" t="s">
        <v>8098</v>
      </c>
      <c r="U1" s="348"/>
      <c r="V1" s="85"/>
      <c r="W1" s="385"/>
      <c r="X1" s="385"/>
    </row>
    <row r="2">
      <c r="A2" s="352" t="s">
        <v>8099</v>
      </c>
      <c r="B2" s="168" t="s">
        <v>8100</v>
      </c>
      <c r="C2" s="352" t="s">
        <v>8101</v>
      </c>
      <c r="D2" s="168" t="s">
        <v>8102</v>
      </c>
      <c r="E2" s="352" t="s">
        <v>8103</v>
      </c>
      <c r="F2" s="168" t="s">
        <v>8104</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8105</v>
      </c>
      <c r="K2" s="356" t="str">
        <f>IFERROR(__xludf.DUMMYFUNCTION("GOOGLETRANSLATE(A2,""zh-tw"",""KO"")"),"맛있는 우유")</f>
        <v>맛있는 우유</v>
      </c>
      <c r="L2" s="168" t="s">
        <v>8106</v>
      </c>
      <c r="M2" s="356" t="s">
        <v>8107</v>
      </c>
      <c r="N2" s="192" t="s">
        <v>8108</v>
      </c>
      <c r="O2" s="352" t="s">
        <v>8109</v>
      </c>
      <c r="P2" s="168" t="s">
        <v>8110</v>
      </c>
      <c r="Q2" s="357" t="s">
        <v>8111</v>
      </c>
      <c r="R2" s="153" t="s">
        <v>8112</v>
      </c>
      <c r="S2" s="356" t="s">
        <v>8113</v>
      </c>
      <c r="T2" s="168" t="s">
        <v>8114</v>
      </c>
      <c r="U2" s="352"/>
      <c r="V2" s="168"/>
      <c r="W2" s="8"/>
      <c r="X2" s="8"/>
    </row>
    <row r="3">
      <c r="A3" s="352" t="s">
        <v>8115</v>
      </c>
      <c r="B3" s="168" t="s">
        <v>8116</v>
      </c>
      <c r="C3" s="352" t="s">
        <v>8117</v>
      </c>
      <c r="D3" s="168" t="s">
        <v>8118</v>
      </c>
      <c r="E3" s="352" t="s">
        <v>8119</v>
      </c>
      <c r="F3" s="168" t="s">
        <v>8120</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8121</v>
      </c>
      <c r="K3" s="356" t="str">
        <f>IFERROR(__xludf.DUMMYFUNCTION("GOOGLETRANSLATE(A3,""zh-tw"",""KO"")"),"당근 우유")</f>
        <v>당근 우유</v>
      </c>
      <c r="L3" s="168" t="s">
        <v>8122</v>
      </c>
      <c r="M3" s="356" t="s">
        <v>8123</v>
      </c>
      <c r="N3" s="192" t="s">
        <v>8124</v>
      </c>
      <c r="O3" s="352" t="s">
        <v>8125</v>
      </c>
      <c r="P3" s="168" t="s">
        <v>8126</v>
      </c>
      <c r="Q3" s="357" t="s">
        <v>8127</v>
      </c>
      <c r="R3" s="153" t="s">
        <v>8128</v>
      </c>
      <c r="S3" s="356" t="s">
        <v>8129</v>
      </c>
      <c r="T3" s="192" t="s">
        <v>8130</v>
      </c>
      <c r="U3" s="356"/>
      <c r="V3" s="192"/>
      <c r="W3" s="8"/>
      <c r="X3" s="8"/>
    </row>
    <row r="4">
      <c r="A4" s="352" t="s">
        <v>8131</v>
      </c>
      <c r="B4" s="168" t="s">
        <v>8132</v>
      </c>
      <c r="C4" s="352" t="s">
        <v>8133</v>
      </c>
      <c r="D4" s="168" t="s">
        <v>8134</v>
      </c>
      <c r="E4" s="352" t="s">
        <v>8135</v>
      </c>
      <c r="F4" s="168" t="s">
        <v>8136</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8137</v>
      </c>
      <c r="K4" s="352" t="s">
        <v>8138</v>
      </c>
      <c r="L4" s="192" t="str">
        <f>IFERROR(__xludf.DUMMYFUNCTION("GOOGLETRANSLATE(B4,""zh-tw"",""KO"")"),"스태미나를 75 회복하고 공격력을 50% 증가시킵니다.")</f>
        <v>스태미나를 75 회복하고 공격력을 50% 증가시킵니다.</v>
      </c>
      <c r="M4" s="356" t="s">
        <v>8139</v>
      </c>
      <c r="N4" s="192" t="s">
        <v>8140</v>
      </c>
      <c r="O4" s="352" t="s">
        <v>8141</v>
      </c>
      <c r="P4" s="168" t="s">
        <v>8142</v>
      </c>
      <c r="Q4" s="357" t="s">
        <v>8143</v>
      </c>
      <c r="R4" s="153" t="s">
        <v>8144</v>
      </c>
      <c r="S4" s="356" t="s">
        <v>8145</v>
      </c>
      <c r="T4" s="192" t="s">
        <v>8146</v>
      </c>
      <c r="U4" s="356"/>
      <c r="V4" s="192"/>
      <c r="W4" s="8"/>
      <c r="X4" s="8"/>
    </row>
    <row r="5">
      <c r="A5" s="352" t="s">
        <v>8147</v>
      </c>
      <c r="B5" s="168" t="s">
        <v>8148</v>
      </c>
      <c r="C5" s="352" t="s">
        <v>8149</v>
      </c>
      <c r="D5" s="168" t="s">
        <v>8150</v>
      </c>
      <c r="E5" s="352" t="s">
        <v>8151</v>
      </c>
      <c r="F5" s="168" t="s">
        <v>8152</v>
      </c>
      <c r="G5" s="352" t="str">
        <f>IFERROR(__xludf.DUMMYFUNCTION("GOOGLETRANSLATE(A5,""zh-tw"",""zh"")"),"蜜瓜味牛奶")</f>
        <v>蜜瓜味牛奶</v>
      </c>
      <c r="H5" s="168" t="str">
        <f>IFERROR(__xludf.DUMMYFUNCTION("GOOGLETRANSLATE(B5,""zh-tw"",""zh"")"),"回复体力75，提高50%魔力")</f>
        <v>回复体力75，提高50%魔力</v>
      </c>
      <c r="I5" s="352" t="s">
        <v>8153</v>
      </c>
      <c r="J5" s="168" t="s">
        <v>8154</v>
      </c>
      <c r="K5" s="352" t="s">
        <v>8155</v>
      </c>
      <c r="L5" s="192" t="str">
        <f>IFERROR(__xludf.DUMMYFUNCTION("GOOGLETRANSLATE(B5,""zh-tw"",""KO"")"),"스태미나를 75 회복하고 마나를 50% 증가시킵니다.")</f>
        <v>스태미나를 75 회복하고 마나를 50% 증가시킵니다.</v>
      </c>
      <c r="M5" s="356" t="s">
        <v>8156</v>
      </c>
      <c r="N5" s="192" t="s">
        <v>8157</v>
      </c>
      <c r="O5" s="352" t="s">
        <v>8158</v>
      </c>
      <c r="P5" s="168" t="s">
        <v>8159</v>
      </c>
      <c r="Q5" s="357" t="s">
        <v>8160</v>
      </c>
      <c r="R5" s="153" t="s">
        <v>8161</v>
      </c>
      <c r="S5" s="356" t="s">
        <v>8162</v>
      </c>
      <c r="T5" s="192" t="s">
        <v>8163</v>
      </c>
      <c r="U5" s="356"/>
      <c r="V5" s="192"/>
      <c r="W5" s="8"/>
      <c r="X5" s="8"/>
    </row>
    <row r="6">
      <c r="A6" s="352" t="s">
        <v>8164</v>
      </c>
      <c r="B6" s="168" t="s">
        <v>8165</v>
      </c>
      <c r="C6" s="352" t="s">
        <v>8166</v>
      </c>
      <c r="D6" s="168" t="s">
        <v>8167</v>
      </c>
      <c r="E6" s="352" t="s">
        <v>8168</v>
      </c>
      <c r="F6" s="168" t="s">
        <v>8169</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8170</v>
      </c>
      <c r="K6" s="356" t="str">
        <f>IFERROR(__xludf.DUMMYFUNCTION("GOOGLETRANSLATE(A6,""zh-tw"",""KO"")"),"바나나맛 우유")</f>
        <v>바나나맛 우유</v>
      </c>
      <c r="L6" s="168" t="s">
        <v>8171</v>
      </c>
      <c r="M6" s="356" t="s">
        <v>8172</v>
      </c>
      <c r="N6" s="192" t="s">
        <v>8173</v>
      </c>
      <c r="O6" s="352" t="s">
        <v>8174</v>
      </c>
      <c r="P6" s="168" t="s">
        <v>8175</v>
      </c>
      <c r="Q6" s="357" t="s">
        <v>8176</v>
      </c>
      <c r="R6" s="153" t="s">
        <v>8177</v>
      </c>
      <c r="S6" s="356" t="s">
        <v>8178</v>
      </c>
      <c r="T6" s="192" t="s">
        <v>8179</v>
      </c>
      <c r="U6" s="356"/>
      <c r="V6" s="192"/>
      <c r="W6" s="8"/>
      <c r="X6" s="8"/>
    </row>
    <row r="7">
      <c r="A7" s="352" t="s">
        <v>8180</v>
      </c>
      <c r="B7" s="168" t="s">
        <v>8181</v>
      </c>
      <c r="C7" s="352" t="s">
        <v>8182</v>
      </c>
      <c r="D7" s="168" t="s">
        <v>8183</v>
      </c>
      <c r="E7" s="352" t="s">
        <v>8184</v>
      </c>
      <c r="F7" s="168" t="s">
        <v>8185</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8186</v>
      </c>
      <c r="K7" s="352" t="s">
        <v>8187</v>
      </c>
      <c r="L7" s="192" t="str">
        <f>IFERROR(__xludf.DUMMYFUNCTION("GOOGLETRANSLATE(B7,""zh-tw"",""KO"")"),"스태미나 78을 회복하고 무적 효과를 부여합니다.
(아직 구현되지 않음)")</f>
        <v>스태미나 78을 회복하고 무적 효과를 부여합니다.
(아직 구현되지 않음)</v>
      </c>
      <c r="M7" s="356" t="s">
        <v>8188</v>
      </c>
      <c r="N7" s="192" t="s">
        <v>8189</v>
      </c>
      <c r="O7" s="352" t="s">
        <v>8190</v>
      </c>
      <c r="P7" s="168" t="s">
        <v>8191</v>
      </c>
      <c r="Q7" s="357" t="s">
        <v>8192</v>
      </c>
      <c r="R7" s="153" t="s">
        <v>8193</v>
      </c>
      <c r="S7" s="369" t="s">
        <v>8184</v>
      </c>
      <c r="T7" s="192" t="s">
        <v>8194</v>
      </c>
      <c r="U7" s="356"/>
      <c r="V7" s="192"/>
      <c r="W7" s="8"/>
      <c r="X7" s="8"/>
    </row>
    <row r="8">
      <c r="A8" s="352" t="s">
        <v>8195</v>
      </c>
      <c r="B8" s="168" t="s">
        <v>8196</v>
      </c>
      <c r="C8" s="352" t="s">
        <v>8197</v>
      </c>
      <c r="D8" s="168" t="s">
        <v>8198</v>
      </c>
      <c r="E8" s="352" t="s">
        <v>8199</v>
      </c>
      <c r="F8" s="168" t="s">
        <v>8200</v>
      </c>
      <c r="G8" s="352" t="str">
        <f>IFERROR(__xludf.DUMMYFUNCTION("GOOGLETRANSLATE(A8,""zh-tw"",""zh"")"),"逆流可乐")</f>
        <v>逆流可乐</v>
      </c>
      <c r="H8" s="168" t="str">
        <f>IFERROR(__xludf.DUMMYFUNCTION("GOOGLETRANSLATE(B8,""zh-tw"",""zh"")"),"(战斗效果未实装)")</f>
        <v>(战斗效果未实装)</v>
      </c>
      <c r="I8" s="352" t="s">
        <v>8199</v>
      </c>
      <c r="J8" s="168" t="s">
        <v>8201</v>
      </c>
      <c r="K8" s="352" t="s">
        <v>8202</v>
      </c>
      <c r="L8" s="192" t="str">
        <f>IFERROR(__xludf.DUMMYFUNCTION("GOOGLETRANSLATE(B8,""zh-tw"",""KO"")"),"(전투 효과는 아직 구현되지 않았습니다)")</f>
        <v>(전투 효과는 아직 구현되지 않았습니다)</v>
      </c>
      <c r="M8" s="356" t="s">
        <v>8203</v>
      </c>
      <c r="N8" s="192" t="s">
        <v>8204</v>
      </c>
      <c r="O8" s="352" t="s">
        <v>8199</v>
      </c>
      <c r="P8" s="168" t="s">
        <v>8205</v>
      </c>
      <c r="Q8" s="357" t="s">
        <v>8199</v>
      </c>
      <c r="R8" s="153" t="s">
        <v>8206</v>
      </c>
      <c r="S8" s="356" t="s">
        <v>8207</v>
      </c>
      <c r="T8" s="192" t="s">
        <v>8208</v>
      </c>
      <c r="U8" s="356"/>
      <c r="V8" s="192"/>
      <c r="W8" s="8"/>
      <c r="X8" s="8"/>
    </row>
    <row r="9">
      <c r="A9" s="352" t="s">
        <v>8209</v>
      </c>
      <c r="B9" s="168" t="s">
        <v>8210</v>
      </c>
      <c r="C9" s="352" t="s">
        <v>8211</v>
      </c>
      <c r="D9" s="168" t="s">
        <v>8212</v>
      </c>
      <c r="E9" s="352" t="s">
        <v>8213</v>
      </c>
      <c r="F9" s="168" t="s">
        <v>8214</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8215</v>
      </c>
      <c r="K9" s="352" t="s">
        <v>8216</v>
      </c>
      <c r="L9" s="168" t="s">
        <v>8217</v>
      </c>
      <c r="M9" s="356" t="s">
        <v>8218</v>
      </c>
      <c r="N9" s="192" t="s">
        <v>8219</v>
      </c>
      <c r="O9" s="352" t="s">
        <v>8220</v>
      </c>
      <c r="P9" s="168" t="s">
        <v>8221</v>
      </c>
      <c r="Q9" s="357" t="s">
        <v>8222</v>
      </c>
      <c r="R9" s="153" t="s">
        <v>8223</v>
      </c>
      <c r="S9" s="352" t="s">
        <v>8224</v>
      </c>
      <c r="T9" s="192" t="s">
        <v>8225</v>
      </c>
      <c r="U9" s="356"/>
      <c r="V9" s="192"/>
      <c r="W9" s="8"/>
      <c r="X9" s="8"/>
    </row>
    <row r="10">
      <c r="A10" s="352" t="s">
        <v>8226</v>
      </c>
      <c r="B10" s="168" t="s">
        <v>8227</v>
      </c>
      <c r="C10" s="352" t="s">
        <v>8228</v>
      </c>
      <c r="D10" s="168" t="s">
        <v>8229</v>
      </c>
      <c r="E10" s="352" t="s">
        <v>8230</v>
      </c>
      <c r="F10" s="168" t="s">
        <v>8231</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8232</v>
      </c>
      <c r="K10" s="352" t="s">
        <v>8233</v>
      </c>
      <c r="L10" s="168" t="s">
        <v>8234</v>
      </c>
      <c r="M10" s="356" t="s">
        <v>8235</v>
      </c>
      <c r="N10" s="192" t="s">
        <v>8236</v>
      </c>
      <c r="O10" s="352" t="s">
        <v>8237</v>
      </c>
      <c r="P10" s="168" t="s">
        <v>8238</v>
      </c>
      <c r="Q10" s="357" t="s">
        <v>8239</v>
      </c>
      <c r="R10" s="153" t="s">
        <v>8240</v>
      </c>
      <c r="S10" s="352" t="s">
        <v>8241</v>
      </c>
      <c r="T10" s="192" t="s">
        <v>8242</v>
      </c>
      <c r="U10" s="356"/>
      <c r="V10" s="192"/>
      <c r="W10" s="8"/>
      <c r="X10" s="8"/>
    </row>
    <row r="11">
      <c r="A11" s="352" t="s">
        <v>8243</v>
      </c>
      <c r="B11" s="168" t="s">
        <v>8244</v>
      </c>
      <c r="C11" s="352" t="s">
        <v>8245</v>
      </c>
      <c r="D11" s="168" t="s">
        <v>947</v>
      </c>
      <c r="E11" s="352" t="s">
        <v>8246</v>
      </c>
      <c r="F11" s="168" t="s">
        <v>8247</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8248</v>
      </c>
      <c r="K11" s="352" t="s">
        <v>8249</v>
      </c>
      <c r="L11" s="192" t="str">
        <f>IFERROR(__xludf.DUMMYFUNCTION("GOOGLETRANSLATE(B11,""zh-tw"",""KO"")"),"해당 효과는 아직 적용되지 않았습니다.")</f>
        <v>해당 효과는 아직 적용되지 않았습니다.</v>
      </c>
      <c r="M11" s="356" t="s">
        <v>8250</v>
      </c>
      <c r="N11" s="192" t="s">
        <v>8251</v>
      </c>
      <c r="O11" s="352" t="s">
        <v>8252</v>
      </c>
      <c r="P11" s="168" t="s">
        <v>3913</v>
      </c>
      <c r="Q11" s="357" t="s">
        <v>8253</v>
      </c>
      <c r="R11" s="153" t="s">
        <v>8254</v>
      </c>
      <c r="S11" s="356" t="s">
        <v>8255</v>
      </c>
      <c r="T11" s="192" t="s">
        <v>8256</v>
      </c>
      <c r="U11" s="356"/>
      <c r="V11" s="192"/>
      <c r="W11" s="8"/>
      <c r="X11" s="8"/>
    </row>
    <row r="12">
      <c r="A12" s="352" t="s">
        <v>8257</v>
      </c>
      <c r="B12" s="168" t="s">
        <v>8258</v>
      </c>
      <c r="C12" s="352" t="s">
        <v>8259</v>
      </c>
      <c r="D12" s="168" t="s">
        <v>8260</v>
      </c>
      <c r="E12" s="352" t="s">
        <v>8261</v>
      </c>
      <c r="F12" s="168" t="s">
        <v>8262</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8263</v>
      </c>
      <c r="J12" s="168" t="s">
        <v>8264</v>
      </c>
      <c r="K12" s="356" t="str">
        <f>IFERROR(__xludf.DUMMYFUNCTION("GOOGLETRANSLATE(A12,""zh-tw"",""KO"")"),"천상의 돌 조각들")</f>
        <v>천상의 돌 조각들</v>
      </c>
      <c r="L12" s="168" t="s">
        <v>8265</v>
      </c>
      <c r="M12" s="356" t="s">
        <v>8266</v>
      </c>
      <c r="N12" s="192" t="s">
        <v>8267</v>
      </c>
      <c r="O12" s="352" t="s">
        <v>8268</v>
      </c>
      <c r="P12" s="168" t="s">
        <v>8269</v>
      </c>
      <c r="Q12" s="357" t="s">
        <v>8270</v>
      </c>
      <c r="R12" s="168" t="s">
        <v>8271</v>
      </c>
      <c r="S12" s="352" t="s">
        <v>8272</v>
      </c>
      <c r="T12" s="168" t="s">
        <v>8273</v>
      </c>
      <c r="U12" s="352"/>
      <c r="V12" s="168"/>
      <c r="W12" s="8"/>
      <c r="X12" s="8"/>
    </row>
    <row r="13">
      <c r="A13" s="352" t="s">
        <v>8274</v>
      </c>
      <c r="B13" s="168" t="s">
        <v>8275</v>
      </c>
      <c r="C13" s="352" t="s">
        <v>8276</v>
      </c>
      <c r="D13" s="168" t="s">
        <v>8277</v>
      </c>
      <c r="E13" s="352" t="s">
        <v>8278</v>
      </c>
      <c r="F13" s="168" t="s">
        <v>8279</v>
      </c>
      <c r="G13" s="352" t="str">
        <f>IFERROR(__xludf.DUMMYFUNCTION("GOOGLETRANSLATE(A13,""zh-tw"",""zh"")"),"卢恩符文A")</f>
        <v>卢恩符文A</v>
      </c>
      <c r="H13" s="168" t="s">
        <v>8280</v>
      </c>
      <c r="I13" s="356" t="str">
        <f>IFERROR(__xludf.DUMMYFUNCTION("GOOGLETRANSLATE(A13,""zh-tw"",""es-MX"")"),"Runa A")</f>
        <v>Runa A</v>
      </c>
      <c r="J13" s="168" t="s">
        <v>8281</v>
      </c>
      <c r="K13" s="352" t="s">
        <v>8282</v>
      </c>
      <c r="L13" s="168" t="s">
        <v>8283</v>
      </c>
      <c r="M13" s="356" t="s">
        <v>8284</v>
      </c>
      <c r="N13" s="192" t="s">
        <v>8285</v>
      </c>
      <c r="O13" s="352" t="s">
        <v>8286</v>
      </c>
      <c r="P13" s="168" t="s">
        <v>8287</v>
      </c>
      <c r="Q13" s="352" t="s">
        <v>8288</v>
      </c>
      <c r="R13" s="153" t="s">
        <v>8289</v>
      </c>
      <c r="S13" s="352" t="s">
        <v>8290</v>
      </c>
      <c r="T13" s="192" t="s">
        <v>8291</v>
      </c>
      <c r="U13" s="356"/>
      <c r="V13" s="192"/>
      <c r="W13" s="8"/>
      <c r="X13" s="8"/>
    </row>
    <row r="14">
      <c r="A14" s="352" t="s">
        <v>8292</v>
      </c>
      <c r="B14" s="168" t="s">
        <v>8293</v>
      </c>
      <c r="C14" s="352" t="s">
        <v>8294</v>
      </c>
      <c r="D14" s="168" t="s">
        <v>8295</v>
      </c>
      <c r="E14" s="352" t="s">
        <v>8296</v>
      </c>
      <c r="F14" s="168" t="s">
        <v>8297</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8298</v>
      </c>
      <c r="K14" s="352" t="s">
        <v>8299</v>
      </c>
      <c r="L14" s="168" t="s">
        <v>8300</v>
      </c>
      <c r="M14" s="356" t="s">
        <v>8301</v>
      </c>
      <c r="N14" s="192" t="s">
        <v>8302</v>
      </c>
      <c r="O14" s="352" t="s">
        <v>8303</v>
      </c>
      <c r="P14" s="168" t="s">
        <v>8304</v>
      </c>
      <c r="Q14" s="352" t="s">
        <v>8305</v>
      </c>
      <c r="R14" s="153" t="s">
        <v>8306</v>
      </c>
      <c r="S14" s="352" t="s">
        <v>8307</v>
      </c>
      <c r="T14" s="192" t="s">
        <v>8308</v>
      </c>
      <c r="U14" s="356"/>
      <c r="V14" s="192"/>
      <c r="W14" s="8"/>
      <c r="X14" s="8"/>
    </row>
    <row r="15">
      <c r="A15" s="352" t="s">
        <v>8309</v>
      </c>
      <c r="B15" s="168" t="s">
        <v>8310</v>
      </c>
      <c r="C15" s="352" t="s">
        <v>8311</v>
      </c>
      <c r="D15" s="168" t="s">
        <v>8312</v>
      </c>
      <c r="E15" s="352" t="s">
        <v>8313</v>
      </c>
      <c r="F15" s="168" t="s">
        <v>8314</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8315</v>
      </c>
      <c r="K15" s="352" t="s">
        <v>8316</v>
      </c>
      <c r="L15" s="168" t="s">
        <v>8317</v>
      </c>
      <c r="M15" s="356" t="s">
        <v>8318</v>
      </c>
      <c r="N15" s="192" t="s">
        <v>8319</v>
      </c>
      <c r="O15" s="352" t="s">
        <v>8320</v>
      </c>
      <c r="P15" s="168" t="s">
        <v>8321</v>
      </c>
      <c r="Q15" s="352" t="s">
        <v>8322</v>
      </c>
      <c r="R15" s="153" t="s">
        <v>8323</v>
      </c>
      <c r="S15" s="352" t="s">
        <v>8324</v>
      </c>
      <c r="T15" s="192" t="s">
        <v>8325</v>
      </c>
      <c r="U15" s="356"/>
      <c r="V15" s="192"/>
      <c r="W15" s="8"/>
      <c r="X15" s="8"/>
    </row>
    <row r="16">
      <c r="A16" s="357" t="s">
        <v>8326</v>
      </c>
      <c r="B16" s="192" t="s">
        <v>8327</v>
      </c>
      <c r="C16" s="356" t="s">
        <v>8328</v>
      </c>
      <c r="D16" s="192" t="s">
        <v>8329</v>
      </c>
      <c r="E16" s="356" t="s">
        <v>8330</v>
      </c>
      <c r="F16" s="192" t="s">
        <v>8331</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8332</v>
      </c>
      <c r="N16" s="192" t="s">
        <v>8333</v>
      </c>
      <c r="O16" s="356" t="s">
        <v>8330</v>
      </c>
      <c r="P16" s="192" t="s">
        <v>8331</v>
      </c>
      <c r="Q16" s="352" t="s">
        <v>8334</v>
      </c>
      <c r="R16" s="192" t="s">
        <v>8335</v>
      </c>
      <c r="S16" s="352" t="s">
        <v>8336</v>
      </c>
      <c r="T16" s="168" t="s">
        <v>8337</v>
      </c>
      <c r="U16" s="352"/>
      <c r="V16" s="168"/>
      <c r="W16" s="8"/>
      <c r="X16" s="8"/>
    </row>
    <row r="17">
      <c r="A17" s="352" t="s">
        <v>8338</v>
      </c>
      <c r="B17" s="168" t="s">
        <v>8339</v>
      </c>
      <c r="C17" s="352" t="s">
        <v>8340</v>
      </c>
      <c r="D17" s="168" t="s">
        <v>8341</v>
      </c>
      <c r="E17" s="352" t="s">
        <v>8342</v>
      </c>
      <c r="F17" s="168" t="s">
        <v>8343</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8344</v>
      </c>
      <c r="K17" s="352" t="s">
        <v>8345</v>
      </c>
      <c r="L17" s="192" t="str">
        <f>IFERROR(__xludf.DUMMYFUNCTION("GOOGLETRANSLATE(B17,""zh-tw"",""KO"")"),"가샤폰 소환기")</f>
        <v>가샤폰 소환기</v>
      </c>
      <c r="M17" s="356" t="s">
        <v>8346</v>
      </c>
      <c r="N17" s="192" t="s">
        <v>8347</v>
      </c>
      <c r="O17" s="352" t="s">
        <v>8348</v>
      </c>
      <c r="P17" s="168" t="s">
        <v>8349</v>
      </c>
      <c r="Q17" s="357" t="s">
        <v>8342</v>
      </c>
      <c r="R17" s="153" t="s">
        <v>8350</v>
      </c>
      <c r="S17" s="356" t="s">
        <v>8351</v>
      </c>
      <c r="T17" s="192" t="s">
        <v>8352</v>
      </c>
      <c r="U17" s="356"/>
      <c r="V17" s="192"/>
      <c r="W17" s="8"/>
      <c r="X17" s="8"/>
    </row>
    <row r="18">
      <c r="A18" s="352" t="s">
        <v>8353</v>
      </c>
      <c r="B18" s="168" t="s">
        <v>8354</v>
      </c>
      <c r="C18" s="352" t="s">
        <v>8355</v>
      </c>
      <c r="D18" s="168" t="s">
        <v>8356</v>
      </c>
      <c r="E18" s="352" t="s">
        <v>8357</v>
      </c>
      <c r="F18" s="168" t="s">
        <v>8358</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8359</v>
      </c>
      <c r="K18" s="352" t="s">
        <v>8360</v>
      </c>
      <c r="L18" s="197" t="s">
        <v>8361</v>
      </c>
      <c r="M18" s="356" t="s">
        <v>8362</v>
      </c>
      <c r="N18" s="192" t="s">
        <v>8363</v>
      </c>
      <c r="O18" s="352" t="s">
        <v>8364</v>
      </c>
      <c r="P18" s="168" t="s">
        <v>8365</v>
      </c>
      <c r="Q18" s="357" t="s">
        <v>8357</v>
      </c>
      <c r="R18" s="168" t="s">
        <v>8366</v>
      </c>
      <c r="S18" s="356" t="s">
        <v>8367</v>
      </c>
      <c r="T18" s="192" t="s">
        <v>8368</v>
      </c>
      <c r="U18" s="356"/>
      <c r="V18" s="192"/>
      <c r="W18" s="8"/>
      <c r="X18" s="8"/>
    </row>
    <row r="19">
      <c r="A19" s="352" t="s">
        <v>8369</v>
      </c>
      <c r="B19" s="168" t="s">
        <v>8370</v>
      </c>
      <c r="C19" s="352" t="s">
        <v>8371</v>
      </c>
      <c r="D19" s="168" t="s">
        <v>8372</v>
      </c>
      <c r="E19" s="352" t="s">
        <v>8373</v>
      </c>
      <c r="F19" s="168" t="s">
        <v>8374</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8375</v>
      </c>
      <c r="K19" s="356" t="str">
        <f>IFERROR(__xludf.DUMMYFUNCTION("GOOGLETRANSLATE(A19,""zh-tw"",""KO"")"),"타로 카드 - 힘")</f>
        <v>타로 카드 - 힘</v>
      </c>
      <c r="L19" s="168" t="s">
        <v>8376</v>
      </c>
      <c r="M19" s="356" t="s">
        <v>8377</v>
      </c>
      <c r="N19" s="192" t="s">
        <v>8378</v>
      </c>
      <c r="O19" s="352" t="s">
        <v>8379</v>
      </c>
      <c r="P19" s="168" t="s">
        <v>8380</v>
      </c>
      <c r="Q19" s="357" t="s">
        <v>8373</v>
      </c>
      <c r="R19" s="153" t="s">
        <v>8381</v>
      </c>
      <c r="S19" s="356" t="s">
        <v>8382</v>
      </c>
      <c r="T19" s="192" t="s">
        <v>8383</v>
      </c>
      <c r="U19" s="356"/>
      <c r="V19" s="192"/>
      <c r="W19" s="8"/>
      <c r="X19" s="8"/>
    </row>
    <row r="20">
      <c r="A20" s="352" t="s">
        <v>8384</v>
      </c>
      <c r="B20" s="168" t="s">
        <v>8385</v>
      </c>
      <c r="C20" s="352" t="s">
        <v>8386</v>
      </c>
      <c r="D20" s="168" t="s">
        <v>8387</v>
      </c>
      <c r="E20" s="352" t="s">
        <v>8388</v>
      </c>
      <c r="F20" s="168" t="s">
        <v>8389</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8390</v>
      </c>
      <c r="K20" s="356" t="str">
        <f>IFERROR(__xludf.DUMMYFUNCTION("GOOGLETRANSLATE(A20,""zh-tw"",""KO"")"),"타로 - 황제 카드")</f>
        <v>타로 - 황제 카드</v>
      </c>
      <c r="L20" s="168" t="s">
        <v>8391</v>
      </c>
      <c r="M20" s="356" t="s">
        <v>8392</v>
      </c>
      <c r="N20" s="192" t="s">
        <v>8393</v>
      </c>
      <c r="O20" s="352" t="s">
        <v>8394</v>
      </c>
      <c r="P20" s="168" t="s">
        <v>8395</v>
      </c>
      <c r="Q20" s="357" t="s">
        <v>8388</v>
      </c>
      <c r="R20" s="153" t="s">
        <v>8396</v>
      </c>
      <c r="S20" s="356" t="s">
        <v>8397</v>
      </c>
      <c r="T20" s="192" t="s">
        <v>8398</v>
      </c>
      <c r="U20" s="356"/>
      <c r="V20" s="192"/>
      <c r="W20" s="8"/>
      <c r="X20" s="8"/>
    </row>
    <row r="21">
      <c r="A21" s="352" t="s">
        <v>8399</v>
      </c>
      <c r="B21" s="168" t="s">
        <v>8400</v>
      </c>
      <c r="C21" s="352" t="str">
        <f>IFERROR(__xludf.DUMMYFUNCTION("GOOGLETRANSLATE(A21,""zh-tw"",""ja"")"),"タロット - 星")</f>
        <v>タロット - 星</v>
      </c>
      <c r="D21" s="168" t="s">
        <v>8401</v>
      </c>
      <c r="E21" s="352" t="s">
        <v>8402</v>
      </c>
      <c r="F21" s="168" t="s">
        <v>8403</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8404</v>
      </c>
      <c r="K21" s="356" t="str">
        <f>IFERROR(__xludf.DUMMYFUNCTION("GOOGLETRANSLATE(A21,""zh-tw"",""KO"")"),"타로 - 별")</f>
        <v>타로 - 별</v>
      </c>
      <c r="L21" s="168" t="s">
        <v>8405</v>
      </c>
      <c r="M21" s="356" t="s">
        <v>8406</v>
      </c>
      <c r="N21" s="192" t="s">
        <v>8407</v>
      </c>
      <c r="O21" s="352" t="s">
        <v>8408</v>
      </c>
      <c r="P21" s="168" t="s">
        <v>8409</v>
      </c>
      <c r="Q21" s="357" t="s">
        <v>8402</v>
      </c>
      <c r="R21" s="153" t="s">
        <v>8410</v>
      </c>
      <c r="S21" s="356" t="s">
        <v>8411</v>
      </c>
      <c r="T21" s="168" t="s">
        <v>8412</v>
      </c>
      <c r="U21" s="352"/>
      <c r="V21" s="168"/>
      <c r="W21" s="8"/>
      <c r="X21" s="8"/>
    </row>
    <row r="22">
      <c r="A22" s="352" t="s">
        <v>8413</v>
      </c>
      <c r="B22" s="168" t="s">
        <v>8414</v>
      </c>
      <c r="C22" s="352" t="s">
        <v>8415</v>
      </c>
      <c r="D22" s="168" t="s">
        <v>8416</v>
      </c>
      <c r="E22" s="352" t="s">
        <v>8417</v>
      </c>
      <c r="F22" s="168" t="s">
        <v>8418</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8419</v>
      </c>
      <c r="K22" s="352" t="s">
        <v>8420</v>
      </c>
      <c r="L22" s="192" t="str">
        <f>IFERROR(__xludf.DUMMYFUNCTION("GOOGLETRANSLATE(B22,""zh-tw"",""KO"")"),"고양이 소녀 상점 카트를 소환하세요")</f>
        <v>고양이 소녀 상점 카트를 소환하세요</v>
      </c>
      <c r="M22" s="356" t="s">
        <v>8421</v>
      </c>
      <c r="N22" s="192" t="s">
        <v>8422</v>
      </c>
      <c r="O22" s="352" t="s">
        <v>8423</v>
      </c>
      <c r="P22" s="168" t="s">
        <v>8424</v>
      </c>
      <c r="Q22" s="357" t="s">
        <v>8417</v>
      </c>
      <c r="R22" s="153" t="s">
        <v>8425</v>
      </c>
      <c r="S22" s="356" t="s">
        <v>8426</v>
      </c>
      <c r="T22" s="192" t="s">
        <v>8427</v>
      </c>
      <c r="U22" s="356"/>
      <c r="V22" s="192"/>
      <c r="W22" s="8"/>
      <c r="X22" s="8"/>
    </row>
    <row r="23">
      <c r="A23" s="352" t="s">
        <v>8428</v>
      </c>
      <c r="B23" s="168" t="s">
        <v>8429</v>
      </c>
      <c r="C23" s="352" t="s">
        <v>8430</v>
      </c>
      <c r="D23" s="168" t="s">
        <v>8431</v>
      </c>
      <c r="E23" s="352" t="s">
        <v>8432</v>
      </c>
      <c r="F23" s="168" t="s">
        <v>8433</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8434</v>
      </c>
      <c r="K23" s="352" t="s">
        <v>8435</v>
      </c>
      <c r="L23" s="168" t="s">
        <v>8436</v>
      </c>
      <c r="M23" s="356" t="s">
        <v>8437</v>
      </c>
      <c r="N23" s="192" t="s">
        <v>8438</v>
      </c>
      <c r="O23" s="352" t="s">
        <v>8439</v>
      </c>
      <c r="P23" s="168" t="s">
        <v>8440</v>
      </c>
      <c r="Q23" s="357" t="s">
        <v>8432</v>
      </c>
      <c r="R23" s="153" t="s">
        <v>8441</v>
      </c>
      <c r="S23" s="356" t="s">
        <v>8442</v>
      </c>
      <c r="T23" s="192" t="s">
        <v>8443</v>
      </c>
      <c r="U23" s="356"/>
      <c r="V23" s="192"/>
      <c r="W23" s="8"/>
      <c r="X23" s="8"/>
    </row>
    <row r="24">
      <c r="A24" s="352" t="s">
        <v>8444</v>
      </c>
      <c r="B24" s="168" t="s">
        <v>8445</v>
      </c>
      <c r="C24" s="352" t="s">
        <v>8446</v>
      </c>
      <c r="D24" s="168" t="s">
        <v>8447</v>
      </c>
      <c r="E24" s="352" t="s">
        <v>8448</v>
      </c>
      <c r="F24" s="168" t="s">
        <v>8449</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8450</v>
      </c>
      <c r="K24" s="352" t="s">
        <v>8451</v>
      </c>
      <c r="L24" s="168" t="s">
        <v>8452</v>
      </c>
      <c r="M24" s="356" t="s">
        <v>8453</v>
      </c>
      <c r="N24" s="192" t="s">
        <v>8454</v>
      </c>
      <c r="O24" s="352" t="s">
        <v>8455</v>
      </c>
      <c r="P24" s="168" t="s">
        <v>8456</v>
      </c>
      <c r="Q24" s="357" t="s">
        <v>8448</v>
      </c>
      <c r="R24" s="153" t="s">
        <v>8457</v>
      </c>
      <c r="S24" s="356" t="s">
        <v>8458</v>
      </c>
      <c r="T24" s="192" t="s">
        <v>8459</v>
      </c>
      <c r="U24" s="356"/>
      <c r="V24" s="192"/>
      <c r="W24" s="8"/>
      <c r="X24" s="8"/>
    </row>
    <row r="25">
      <c r="A25" s="352" t="s">
        <v>8460</v>
      </c>
      <c r="B25" s="168" t="s">
        <v>8461</v>
      </c>
      <c r="C25" s="352" t="s">
        <v>8462</v>
      </c>
      <c r="D25" s="168" t="s">
        <v>8463</v>
      </c>
      <c r="E25" s="352" t="s">
        <v>8464</v>
      </c>
      <c r="F25" s="168" t="s">
        <v>8465</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8466</v>
      </c>
      <c r="K25" s="356" t="str">
        <f>IFERROR(__xludf.DUMMYFUNCTION("GOOGLETRANSLATE(A25,""zh-tw"",""KO"")"),"타로 - 세계")</f>
        <v>타로 - 세계</v>
      </c>
      <c r="L25" s="168" t="s">
        <v>8467</v>
      </c>
      <c r="M25" s="356" t="s">
        <v>8468</v>
      </c>
      <c r="N25" s="192" t="s">
        <v>8469</v>
      </c>
      <c r="O25" s="352" t="s">
        <v>8470</v>
      </c>
      <c r="P25" s="168" t="s">
        <v>8471</v>
      </c>
      <c r="Q25" s="357" t="s">
        <v>8464</v>
      </c>
      <c r="R25" s="153" t="s">
        <v>8472</v>
      </c>
      <c r="S25" s="356" t="s">
        <v>8473</v>
      </c>
      <c r="T25" s="192" t="s">
        <v>8474</v>
      </c>
      <c r="U25" s="356"/>
      <c r="V25" s="192"/>
      <c r="W25" s="8"/>
      <c r="X25" s="8"/>
    </row>
    <row r="26">
      <c r="A26" s="352" t="s">
        <v>8475</v>
      </c>
      <c r="B26" s="168" t="s">
        <v>8476</v>
      </c>
      <c r="C26" s="352" t="s">
        <v>8477</v>
      </c>
      <c r="D26" s="192" t="str">
        <f>IFERROR(__xludf.DUMMYFUNCTION("GOOGLETRANSLATE(B26,""zh-tw"",""ja"")"),"一定時間内に1回復活することができます。")</f>
        <v>一定時間内に1回復活することができます。</v>
      </c>
      <c r="E26" s="352" t="s">
        <v>8478</v>
      </c>
      <c r="F26" s="168" t="s">
        <v>8479</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8480</v>
      </c>
      <c r="K26" s="386" t="s">
        <v>8481</v>
      </c>
      <c r="L26" s="168" t="s">
        <v>8482</v>
      </c>
      <c r="M26" s="356" t="s">
        <v>8483</v>
      </c>
      <c r="N26" s="192" t="s">
        <v>8484</v>
      </c>
      <c r="O26" s="352" t="s">
        <v>8485</v>
      </c>
      <c r="P26" s="168" t="s">
        <v>8486</v>
      </c>
      <c r="Q26" s="357" t="s">
        <v>8478</v>
      </c>
      <c r="R26" s="153" t="s">
        <v>8487</v>
      </c>
      <c r="S26" s="356" t="s">
        <v>8488</v>
      </c>
      <c r="T26" s="192" t="s">
        <v>8489</v>
      </c>
      <c r="U26" s="356"/>
      <c r="V26" s="192"/>
      <c r="W26" s="8"/>
      <c r="X26" s="8"/>
    </row>
    <row r="27">
      <c r="A27" s="357" t="s">
        <v>8490</v>
      </c>
      <c r="B27" s="168" t="s">
        <v>8491</v>
      </c>
      <c r="C27" s="357" t="s">
        <v>8492</v>
      </c>
      <c r="D27" s="168" t="s">
        <v>8493</v>
      </c>
      <c r="E27" s="357" t="s">
        <v>8494</v>
      </c>
      <c r="F27" s="153" t="s">
        <v>8495</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8496</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8497</v>
      </c>
      <c r="N27" s="192" t="s">
        <v>8498</v>
      </c>
      <c r="O27" s="352" t="s">
        <v>8499</v>
      </c>
      <c r="P27" s="168" t="s">
        <v>8500</v>
      </c>
      <c r="Q27" s="357" t="s">
        <v>8494</v>
      </c>
      <c r="R27" s="153" t="s">
        <v>8501</v>
      </c>
      <c r="S27" s="356" t="s">
        <v>8502</v>
      </c>
      <c r="T27" s="192" t="s">
        <v>8503</v>
      </c>
      <c r="U27" s="356"/>
      <c r="V27" s="192"/>
      <c r="W27" s="8"/>
      <c r="X27" s="8"/>
    </row>
    <row r="28">
      <c r="A28" s="352" t="s">
        <v>8504</v>
      </c>
      <c r="B28" s="168" t="s">
        <v>8505</v>
      </c>
      <c r="C28" s="352" t="str">
        <f>IFERROR(__xludf.DUMMYFUNCTION("GOOGLETRANSLATE(A28,""zh-tw"",""ja"")"),"ジャック・ボム")</f>
        <v>ジャック・ボム</v>
      </c>
      <c r="D28" s="168" t="s">
        <v>8506</v>
      </c>
      <c r="E28" s="352" t="s">
        <v>8507</v>
      </c>
      <c r="F28" s="168" t="s">
        <v>8508</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8509</v>
      </c>
      <c r="K28" s="352" t="s">
        <v>8510</v>
      </c>
      <c r="L28" s="192" t="str">
        <f>IFERROR(__xludf.DUMMYFUNCTION("GOOGLETRANSLATE(B28,""zh-tw"",""KO"")"),"폭탄 (방어 무시)")</f>
        <v>폭탄 (방어 무시)</v>
      </c>
      <c r="M28" s="356" t="s">
        <v>8511</v>
      </c>
      <c r="N28" s="192" t="s">
        <v>8512</v>
      </c>
      <c r="O28" s="352" t="s">
        <v>8513</v>
      </c>
      <c r="P28" s="168" t="s">
        <v>8514</v>
      </c>
      <c r="Q28" s="357" t="s">
        <v>8507</v>
      </c>
      <c r="R28" s="153" t="s">
        <v>8515</v>
      </c>
      <c r="S28" s="356" t="s">
        <v>8516</v>
      </c>
      <c r="T28" s="192" t="s">
        <v>8517</v>
      </c>
      <c r="U28" s="356"/>
      <c r="V28" s="192"/>
      <c r="W28" s="8"/>
      <c r="X28" s="8"/>
    </row>
    <row r="29">
      <c r="A29" s="352" t="s">
        <v>8518</v>
      </c>
      <c r="B29" s="168" t="s">
        <v>8519</v>
      </c>
      <c r="C29" s="352" t="s">
        <v>8520</v>
      </c>
      <c r="D29" s="168" t="s">
        <v>8521</v>
      </c>
      <c r="E29" s="352" t="s">
        <v>8522</v>
      </c>
      <c r="F29" s="168" t="s">
        <v>8523</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8524</v>
      </c>
      <c r="K29" s="356" t="str">
        <f>IFERROR(__xludf.DUMMYFUNCTION("GOOGLETRANSLATE(A29,""zh-tw"",""KO"")"),"프로스트 잭 밤")</f>
        <v>프로스트 잭 밤</v>
      </c>
      <c r="L29" s="168" t="s">
        <v>8525</v>
      </c>
      <c r="M29" s="356" t="s">
        <v>8526</v>
      </c>
      <c r="N29" s="192" t="s">
        <v>8527</v>
      </c>
      <c r="O29" s="352" t="s">
        <v>8528</v>
      </c>
      <c r="P29" s="168" t="s">
        <v>8529</v>
      </c>
      <c r="Q29" s="357" t="s">
        <v>8522</v>
      </c>
      <c r="R29" s="153" t="s">
        <v>8530</v>
      </c>
      <c r="S29" s="356" t="s">
        <v>8531</v>
      </c>
      <c r="T29" s="192" t="s">
        <v>8532</v>
      </c>
      <c r="U29" s="356"/>
      <c r="V29" s="192"/>
      <c r="W29" s="8"/>
      <c r="X29" s="8"/>
    </row>
    <row r="30">
      <c r="A30" s="352" t="s">
        <v>8533</v>
      </c>
      <c r="B30" s="168" t="s">
        <v>8534</v>
      </c>
      <c r="C30" s="352" t="s">
        <v>8535</v>
      </c>
      <c r="D30" s="168" t="s">
        <v>8536</v>
      </c>
      <c r="E30" s="352" t="s">
        <v>8537</v>
      </c>
      <c r="F30" s="168" t="s">
        <v>8538</v>
      </c>
      <c r="G30" s="352" t="str">
        <f>IFERROR(__xludf.DUMMYFUNCTION("GOOGLETRANSLATE(A30,""zh-tw"",""zh"")"),"猛毒杰克爆弹")</f>
        <v>猛毒杰克爆弹</v>
      </c>
      <c r="H30" s="168" t="str">
        <f>IFERROR(__xludf.DUMMYFUNCTION("GOOGLETRANSLATE(B30,""zh-tw"",""zh"")"),"毒属性炸弹")</f>
        <v>毒属性炸弹</v>
      </c>
      <c r="I30" s="352" t="s">
        <v>8537</v>
      </c>
      <c r="J30" s="168" t="s">
        <v>8539</v>
      </c>
      <c r="K30" s="352" t="s">
        <v>8540</v>
      </c>
      <c r="L30" s="168" t="s">
        <v>8541</v>
      </c>
      <c r="M30" s="356" t="s">
        <v>8542</v>
      </c>
      <c r="N30" s="192" t="s">
        <v>8543</v>
      </c>
      <c r="O30" s="352" t="s">
        <v>8544</v>
      </c>
      <c r="P30" s="168" t="s">
        <v>8545</v>
      </c>
      <c r="Q30" s="357" t="s">
        <v>8537</v>
      </c>
      <c r="R30" s="153" t="s">
        <v>8546</v>
      </c>
      <c r="S30" s="356" t="s">
        <v>8547</v>
      </c>
      <c r="T30" s="192" t="s">
        <v>8548</v>
      </c>
      <c r="U30" s="356"/>
      <c r="V30" s="192"/>
      <c r="W30" s="8"/>
      <c r="X30" s="8"/>
    </row>
    <row r="31">
      <c r="A31" s="352" t="s">
        <v>8549</v>
      </c>
      <c r="B31" s="168" t="s">
        <v>8550</v>
      </c>
      <c r="C31" s="352" t="s">
        <v>8551</v>
      </c>
      <c r="D31" s="168" t="s">
        <v>8552</v>
      </c>
      <c r="E31" s="352" t="s">
        <v>8553</v>
      </c>
      <c r="F31" s="168" t="s">
        <v>8554</v>
      </c>
      <c r="G31" s="352" t="str">
        <f>IFERROR(__xludf.DUMMYFUNCTION("GOOGLETRANSLATE(A31,""zh-tw"",""zh"")"),"封存的时计")</f>
        <v>封存的时计</v>
      </c>
      <c r="H31" s="168" t="str">
        <f>IFERROR(__xludf.DUMMYFUNCTION("GOOGLETRANSLATE(B31,""zh-tw"",""zh"")"),"范围暂停")</f>
        <v>范围暂停</v>
      </c>
      <c r="I31" s="352" t="s">
        <v>8555</v>
      </c>
      <c r="J31" s="168" t="s">
        <v>8556</v>
      </c>
      <c r="K31" s="352" t="s">
        <v>8557</v>
      </c>
      <c r="L31" s="168" t="s">
        <v>8558</v>
      </c>
      <c r="M31" s="356" t="s">
        <v>8559</v>
      </c>
      <c r="N31" s="192" t="s">
        <v>8560</v>
      </c>
      <c r="O31" s="352" t="s">
        <v>8561</v>
      </c>
      <c r="P31" s="168" t="s">
        <v>8562</v>
      </c>
      <c r="Q31" s="357" t="s">
        <v>8563</v>
      </c>
      <c r="R31" s="153" t="s">
        <v>8564</v>
      </c>
      <c r="S31" s="356" t="s">
        <v>8565</v>
      </c>
      <c r="T31" s="192" t="s">
        <v>8566</v>
      </c>
      <c r="U31" s="356"/>
      <c r="V31" s="192"/>
      <c r="W31" s="8"/>
      <c r="X31" s="8"/>
    </row>
    <row r="32">
      <c r="A32" s="352" t="s">
        <v>8567</v>
      </c>
      <c r="B32" s="168" t="s">
        <v>8568</v>
      </c>
      <c r="C32" s="352" t="str">
        <f>IFERROR(__xludf.DUMMYFUNCTION("GOOGLETRANSLATE(A32,""zh-tw"",""ja"")"),"寿司プリン")</f>
        <v>寿司プリン</v>
      </c>
      <c r="D32" s="168" t="s">
        <v>8569</v>
      </c>
      <c r="E32" s="352" t="s">
        <v>8570</v>
      </c>
      <c r="F32" s="168" t="s">
        <v>8571</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8572</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8573</v>
      </c>
      <c r="N32" s="192" t="s">
        <v>8574</v>
      </c>
      <c r="O32" s="352" t="s">
        <v>8570</v>
      </c>
      <c r="P32" s="168" t="s">
        <v>8575</v>
      </c>
      <c r="Q32" s="357" t="s">
        <v>8570</v>
      </c>
      <c r="R32" s="153" t="s">
        <v>8576</v>
      </c>
      <c r="S32" s="356" t="s">
        <v>8577</v>
      </c>
      <c r="T32" s="192" t="s">
        <v>8578</v>
      </c>
      <c r="U32" s="356"/>
      <c r="V32" s="192"/>
      <c r="W32" s="8"/>
      <c r="X32" s="8"/>
    </row>
    <row r="33">
      <c r="A33" s="352" t="s">
        <v>8579</v>
      </c>
      <c r="B33" s="168" t="s">
        <v>8580</v>
      </c>
      <c r="C33" s="352" t="str">
        <f>IFERROR(__xludf.DUMMYFUNCTION("GOOGLETRANSLATE(A33,""zh-tw"",""ja"")"),"ポラロイド 1～35")</f>
        <v>ポラロイド 1～35</v>
      </c>
      <c r="D33" s="168" t="s">
        <v>8581</v>
      </c>
      <c r="E33" s="352" t="s">
        <v>8582</v>
      </c>
      <c r="F33" s="168" t="s">
        <v>8583</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8584</v>
      </c>
      <c r="K33" s="356" t="str">
        <f>IFERROR(__xludf.DUMMYFUNCTION("GOOGLETRANSLATE(A33,""zh-tw"",""KO"")"),"폴라로이드 1~35")</f>
        <v>폴라로이드 1~35</v>
      </c>
      <c r="L33" s="192" t="str">
        <f>IFERROR(__xludf.DUMMYFUNCTION("GOOGLETRANSLATE(B33,""zh-tw"",""KO"")"),"고화질 사진을 보세요")</f>
        <v>고화질 사진을 보세요</v>
      </c>
      <c r="M33" s="356" t="s">
        <v>8585</v>
      </c>
      <c r="N33" s="192" t="s">
        <v>8586</v>
      </c>
      <c r="O33" s="352" t="s">
        <v>8587</v>
      </c>
      <c r="P33" s="168" t="s">
        <v>8588</v>
      </c>
      <c r="Q33" s="357" t="s">
        <v>8582</v>
      </c>
      <c r="R33" s="153" t="s">
        <v>8589</v>
      </c>
      <c r="S33" s="356" t="s">
        <v>8582</v>
      </c>
      <c r="T33" s="192" t="s">
        <v>8590</v>
      </c>
      <c r="U33" s="356"/>
      <c r="V33" s="192"/>
      <c r="W33" s="8"/>
      <c r="X33" s="8"/>
    </row>
    <row r="34">
      <c r="A34" s="357" t="s">
        <v>8591</v>
      </c>
      <c r="B34" s="192" t="s">
        <v>8592</v>
      </c>
      <c r="C34" s="352" t="s">
        <v>8593</v>
      </c>
      <c r="D34" s="168" t="s">
        <v>8594</v>
      </c>
      <c r="E34" s="352" t="s">
        <v>8595</v>
      </c>
      <c r="F34" s="168" t="s">
        <v>8596</v>
      </c>
      <c r="G34" s="352" t="str">
        <f>IFERROR(__xludf.DUMMYFUNCTION("GOOGLETRANSLATE(A34,""zh-tw"",""zh"")"),"茶会拍立得收藏集")</f>
        <v>茶会拍立得收藏集</v>
      </c>
      <c r="H34" s="168" t="str">
        <f>IFERROR(__xludf.DUMMYFUNCTION("GOOGLETRANSLATE(B34,""zh-tw"",""zh"")"),"完成后提升幸运值")</f>
        <v>完成后提升幸运值</v>
      </c>
      <c r="I34" s="352" t="s">
        <v>8595</v>
      </c>
      <c r="J34" s="168" t="s">
        <v>8597</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8598</v>
      </c>
      <c r="N34" s="192" t="s">
        <v>8599</v>
      </c>
      <c r="O34" s="352" t="s">
        <v>8600</v>
      </c>
      <c r="P34" s="168" t="s">
        <v>8601</v>
      </c>
      <c r="Q34" s="352" t="s">
        <v>8602</v>
      </c>
      <c r="R34" s="168" t="s">
        <v>8603</v>
      </c>
      <c r="S34" s="369" t="s">
        <v>8604</v>
      </c>
      <c r="T34" s="192" t="s">
        <v>8605</v>
      </c>
      <c r="U34" s="356"/>
      <c r="V34" s="192"/>
      <c r="W34" s="8"/>
      <c r="X34" s="8"/>
    </row>
    <row r="35">
      <c r="A35" s="352" t="s">
        <v>8606</v>
      </c>
      <c r="B35" s="168" t="s">
        <v>8607</v>
      </c>
      <c r="C35" s="352" t="s">
        <v>8608</v>
      </c>
      <c r="D35" s="168" t="s">
        <v>8609</v>
      </c>
      <c r="E35" s="352" t="s">
        <v>8604</v>
      </c>
      <c r="F35" s="168" t="s">
        <v>8610</v>
      </c>
      <c r="G35" s="352" t="str">
        <f>IFERROR(__xludf.DUMMYFUNCTION("GOOGLETRANSLATE(A35,""zh-tw"",""zh"")"),"魔力小凝胶")</f>
        <v>魔力小凝胶</v>
      </c>
      <c r="H35" s="168" t="str">
        <f>IFERROR(__xludf.DUMMYFUNCTION("GOOGLETRANSLATE(B35,""zh-tw"",""zh"")"),"扩充格子")</f>
        <v>扩充格子</v>
      </c>
      <c r="I35" s="352" t="s">
        <v>8611</v>
      </c>
      <c r="J35" s="168" t="s">
        <v>8612</v>
      </c>
      <c r="K35" s="353" t="s">
        <v>8613</v>
      </c>
      <c r="L35" s="192" t="str">
        <f>IFERROR(__xludf.DUMMYFUNCTION("GOOGLETRANSLATE(B35,""zh-tw"",""KO"")"),"그리드를 확장하세요")</f>
        <v>그리드를 확장하세요</v>
      </c>
      <c r="M35" s="356" t="s">
        <v>8614</v>
      </c>
      <c r="N35" s="192" t="s">
        <v>8615</v>
      </c>
      <c r="O35" s="352" t="s">
        <v>8616</v>
      </c>
      <c r="P35" s="168" t="s">
        <v>8617</v>
      </c>
      <c r="Q35" s="357" t="s">
        <v>8618</v>
      </c>
      <c r="R35" s="153" t="s">
        <v>8619</v>
      </c>
      <c r="S35" s="356" t="s">
        <v>8620</v>
      </c>
      <c r="T35" s="192" t="s">
        <v>8621</v>
      </c>
      <c r="U35" s="356"/>
      <c r="V35" s="192"/>
      <c r="W35" s="8"/>
      <c r="X35" s="8"/>
    </row>
    <row r="36">
      <c r="A36" s="352" t="s">
        <v>8622</v>
      </c>
      <c r="B36" s="168" t="s">
        <v>8623</v>
      </c>
      <c r="C36" s="352" t="s">
        <v>8624</v>
      </c>
      <c r="D36" s="168" t="s">
        <v>8625</v>
      </c>
      <c r="E36" s="352" t="s">
        <v>8626</v>
      </c>
      <c r="F36" s="168" t="s">
        <v>8627</v>
      </c>
      <c r="G36" s="352" t="str">
        <f>IFERROR(__xludf.DUMMYFUNCTION("GOOGLETRANSLATE(A36,""zh-tw"",""zh"")"),"百合同人本")</f>
        <v>百合同人本</v>
      </c>
      <c r="H36" s="168" t="str">
        <f>IFERROR(__xludf.DUMMYFUNCTION("GOOGLETRANSLATE(B36,""zh-tw"",""zh"")"),"提升性欲
(战车商店贩售)")</f>
        <v>提升性欲
(战车商店贩售)</v>
      </c>
      <c r="I36" s="352" t="s">
        <v>8628</v>
      </c>
      <c r="J36" s="168" t="s">
        <v>8629</v>
      </c>
      <c r="K36" s="356" t="str">
        <f>IFERROR(__xludf.DUMMYFUNCTION("GOOGLETRANSLATE(A36,""zh-tw"",""KO"")"),"바이헤헤헤헤헤")</f>
        <v>바이헤헤헤헤헤</v>
      </c>
      <c r="L36" s="168" t="s">
        <v>8630</v>
      </c>
      <c r="M36" s="356" t="s">
        <v>8631</v>
      </c>
      <c r="N36" s="153" t="s">
        <v>8632</v>
      </c>
      <c r="O36" s="352" t="s">
        <v>8633</v>
      </c>
      <c r="P36" s="168" t="s">
        <v>8634</v>
      </c>
      <c r="Q36" s="357" t="s">
        <v>8635</v>
      </c>
      <c r="R36" s="153" t="s">
        <v>8636</v>
      </c>
      <c r="S36" s="356" t="s">
        <v>8635</v>
      </c>
      <c r="T36" s="192" t="s">
        <v>8637</v>
      </c>
      <c r="U36" s="356"/>
      <c r="V36" s="192"/>
      <c r="W36" s="8"/>
      <c r="X36" s="8"/>
    </row>
    <row r="37">
      <c r="A37" s="352" t="s">
        <v>8638</v>
      </c>
      <c r="B37" s="168" t="s">
        <v>8623</v>
      </c>
      <c r="C37" s="352" t="s">
        <v>8639</v>
      </c>
      <c r="D37" s="168" t="s">
        <v>8640</v>
      </c>
      <c r="E37" s="352" t="s">
        <v>8641</v>
      </c>
      <c r="F37" s="168" t="s">
        <v>8627</v>
      </c>
      <c r="G37" s="352" t="str">
        <f>IFERROR(__xludf.DUMMYFUNCTION("GOOGLETRANSLATE(A37,""zh-tw"",""zh"")"),"萌萌同人本")</f>
        <v>萌萌同人本</v>
      </c>
      <c r="H37" s="168" t="str">
        <f>IFERROR(__xludf.DUMMYFUNCTION("GOOGLETRANSLATE(B37,""zh-tw"",""zh"")"),"提升性欲
(战车商店贩售)")</f>
        <v>提升性欲
(战车商店贩售)</v>
      </c>
      <c r="I37" s="352" t="s">
        <v>8642</v>
      </c>
      <c r="J37" s="168" t="s">
        <v>8629</v>
      </c>
      <c r="K37" s="353" t="s">
        <v>8613</v>
      </c>
      <c r="L37" s="192" t="str">
        <f>IFERROR(__xludf.DUMMYFUNCTION("GOOGLETRANSLATE(B37,""zh-tw"",""KO"")"),"성욕을 증진시켜 줍니다
(탱크샵에서 구입 가능)")</f>
        <v>성욕을 증진시켜 줍니다
(탱크샵에서 구입 가능)</v>
      </c>
      <c r="M37" s="356" t="s">
        <v>8643</v>
      </c>
      <c r="N37" s="153" t="s">
        <v>8632</v>
      </c>
      <c r="O37" s="352" t="s">
        <v>8616</v>
      </c>
      <c r="P37" s="168" t="s">
        <v>8617</v>
      </c>
      <c r="Q37" s="357" t="s">
        <v>8644</v>
      </c>
      <c r="R37" s="153" t="s">
        <v>8636</v>
      </c>
      <c r="S37" s="356" t="s">
        <v>8644</v>
      </c>
      <c r="T37" s="192" t="s">
        <v>8637</v>
      </c>
      <c r="U37" s="356"/>
      <c r="V37" s="192"/>
      <c r="W37" s="8"/>
      <c r="X37" s="8"/>
    </row>
    <row r="38">
      <c r="A38" s="352" t="s">
        <v>8645</v>
      </c>
      <c r="B38" s="168" t="s">
        <v>8646</v>
      </c>
      <c r="C38" s="352" t="s">
        <v>8647</v>
      </c>
      <c r="D38" s="168" t="s">
        <v>8648</v>
      </c>
      <c r="E38" s="352" t="s">
        <v>8649</v>
      </c>
      <c r="F38" s="168" t="s">
        <v>8650</v>
      </c>
      <c r="G38" s="352" t="str">
        <f>IFERROR(__xludf.DUMMYFUNCTION("GOOGLETRANSLATE(A38,""zh-tw"",""zh"")"),"电风扇")</f>
        <v>电风扇</v>
      </c>
      <c r="H38" s="168" t="str">
        <f>IFERROR(__xludf.DUMMYFUNCTION("GOOGLETRANSLATE(B38,""zh-tw"",""zh"")"),"炎热剧情道具
(战车商店贩售)")</f>
        <v>炎热剧情道具
(战车商店贩售)</v>
      </c>
      <c r="I38" s="352" t="s">
        <v>8651</v>
      </c>
      <c r="J38" s="168" t="s">
        <v>8652</v>
      </c>
      <c r="K38" s="356" t="str">
        <f>IFERROR(__xludf.DUMMYFUNCTION("GOOGLETRANSLATE(A38,""zh-tw"",""KO"")"),"선풍기")</f>
        <v>선풍기</v>
      </c>
      <c r="L38" s="168" t="s">
        <v>8630</v>
      </c>
      <c r="M38" s="356" t="s">
        <v>8653</v>
      </c>
      <c r="N38" s="192" t="s">
        <v>8654</v>
      </c>
      <c r="O38" s="352" t="s">
        <v>8633</v>
      </c>
      <c r="P38" s="168" t="s">
        <v>8634</v>
      </c>
      <c r="Q38" s="357" t="s">
        <v>8655</v>
      </c>
      <c r="R38" s="153" t="s">
        <v>8656</v>
      </c>
      <c r="S38" s="356" t="s">
        <v>8657</v>
      </c>
      <c r="T38" s="192" t="s">
        <v>8658</v>
      </c>
      <c r="U38" s="356"/>
      <c r="V38" s="192"/>
      <c r="W38" s="8"/>
      <c r="X38" s="8"/>
    </row>
    <row r="39">
      <c r="A39" s="357" t="s">
        <v>8659</v>
      </c>
      <c r="B39" s="192" t="s">
        <v>8660</v>
      </c>
      <c r="C39" s="352" t="s">
        <v>8661</v>
      </c>
      <c r="D39" s="168" t="s">
        <v>8662</v>
      </c>
      <c r="E39" s="356" t="s">
        <v>8663</v>
      </c>
      <c r="F39" s="192" t="s">
        <v>8664</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8665</v>
      </c>
      <c r="J39" s="168" t="s">
        <v>8666</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8667</v>
      </c>
      <c r="N39" s="192" t="s">
        <v>8668</v>
      </c>
      <c r="O39" s="352" t="s">
        <v>8669</v>
      </c>
      <c r="P39" s="168" t="s">
        <v>8670</v>
      </c>
      <c r="Q39" s="357" t="s">
        <v>8671</v>
      </c>
      <c r="R39" s="168" t="s">
        <v>8672</v>
      </c>
      <c r="S39" s="356" t="s">
        <v>8673</v>
      </c>
      <c r="T39" s="192" t="s">
        <v>8674</v>
      </c>
      <c r="U39" s="356"/>
      <c r="V39" s="192"/>
      <c r="W39" s="8"/>
      <c r="X39" s="8"/>
    </row>
    <row r="40">
      <c r="A40" s="352" t="s">
        <v>8675</v>
      </c>
      <c r="B40" s="168" t="s">
        <v>8676</v>
      </c>
      <c r="C40" s="352" t="s">
        <v>8677</v>
      </c>
      <c r="D40" s="168" t="s">
        <v>8678</v>
      </c>
      <c r="E40" s="352" t="s">
        <v>8679</v>
      </c>
      <c r="F40" s="168" t="s">
        <v>8680</v>
      </c>
      <c r="G40" s="352" t="str">
        <f>IFERROR(__xludf.DUMMYFUNCTION("GOOGLETRANSLATE(A40,""zh-tw"",""zh"")"),"超敏软Q水馒头")</f>
        <v>超敏软Q水馒头</v>
      </c>
      <c r="H40" s="168" t="str">
        <f>IFERROR(__xludf.DUMMYFUNCTION("GOOGLETRANSLATE(B40,""zh-tw"",""zh"")"),"于AKI商店购买
提升敏感度")</f>
        <v>于AKI商店购买
提升敏感度</v>
      </c>
      <c r="I40" s="352" t="s">
        <v>8681</v>
      </c>
      <c r="J40" s="168" t="s">
        <v>8682</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8683</v>
      </c>
      <c r="N40" s="192" t="s">
        <v>8684</v>
      </c>
      <c r="O40" s="352" t="s">
        <v>8685</v>
      </c>
      <c r="P40" s="168" t="s">
        <v>8686</v>
      </c>
      <c r="Q40" s="357" t="s">
        <v>8687</v>
      </c>
      <c r="R40" s="153" t="s">
        <v>8688</v>
      </c>
      <c r="S40" s="356" t="s">
        <v>8689</v>
      </c>
      <c r="T40" s="192" t="s">
        <v>8690</v>
      </c>
      <c r="U40" s="356"/>
      <c r="V40" s="192"/>
      <c r="W40" s="8"/>
      <c r="X40" s="8"/>
    </row>
    <row r="41">
      <c r="A41" s="352" t="s">
        <v>8691</v>
      </c>
      <c r="B41" s="168" t="s">
        <v>8692</v>
      </c>
      <c r="C41" s="352" t="s">
        <v>8693</v>
      </c>
      <c r="D41" s="192" t="str">
        <f>IFERROR(__xludf.DUMMYFUNCTION("GOOGLETRANSLATE(B41,""zh-tw"",""ja"")"),"現時点では（宝石を）引き換える方法はありません。")</f>
        <v>現時点では（宝石を）引き換える方法はありません。</v>
      </c>
      <c r="E41" s="352" t="s">
        <v>8694</v>
      </c>
      <c r="F41" s="168" t="s">
        <v>8695</v>
      </c>
      <c r="G41" s="352" t="str">
        <f>IFERROR(__xludf.DUMMYFUNCTION("GOOGLETRANSLATE(A41,""zh-tw"",""zh"")"),"蓝辉石")</f>
        <v>蓝辉石</v>
      </c>
      <c r="H41" s="168" t="str">
        <f>IFERROR(__xludf.DUMMYFUNCTION("GOOGLETRANSLATE(B41,""zh-tw"",""zh"")"),"目前没有兑换方式
(宝石)")</f>
        <v>目前没有兑换方式
(宝石)</v>
      </c>
      <c r="I41" s="352" t="s">
        <v>8696</v>
      </c>
      <c r="J41" s="168" t="s">
        <v>8697</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8698</v>
      </c>
      <c r="N41" s="192" t="s">
        <v>8699</v>
      </c>
      <c r="O41" s="353" t="s">
        <v>8700</v>
      </c>
      <c r="P41" s="197" t="s">
        <v>8701</v>
      </c>
      <c r="Q41" s="352" t="s">
        <v>8702</v>
      </c>
      <c r="R41" s="153" t="s">
        <v>8703</v>
      </c>
      <c r="S41" s="369" t="s">
        <v>8694</v>
      </c>
      <c r="T41" s="192" t="s">
        <v>8704</v>
      </c>
      <c r="U41" s="356"/>
      <c r="V41" s="192"/>
      <c r="W41" s="8"/>
      <c r="X41" s="8"/>
    </row>
    <row r="42">
      <c r="A42" s="352" t="s">
        <v>8705</v>
      </c>
      <c r="B42" s="168" t="s">
        <v>8692</v>
      </c>
      <c r="C42" s="352" t="s">
        <v>8706</v>
      </c>
      <c r="D42" s="168" t="s">
        <v>8707</v>
      </c>
      <c r="E42" s="352" t="s">
        <v>8708</v>
      </c>
      <c r="F42" s="168" t="s">
        <v>2553</v>
      </c>
      <c r="G42" s="352" t="str">
        <f>IFERROR(__xludf.DUMMYFUNCTION("GOOGLETRANSLATE(A42,""zh-tw"",""zh"")"),"火菱石")</f>
        <v>火菱石</v>
      </c>
      <c r="H42" s="168" t="str">
        <f>IFERROR(__xludf.DUMMYFUNCTION("GOOGLETRANSLATE(B42,""zh-tw"",""zh"")"),"目前没有兑换方式
(宝石)")</f>
        <v>目前没有兑换方式
(宝石)</v>
      </c>
      <c r="I42" s="352" t="s">
        <v>8709</v>
      </c>
      <c r="J42" s="168" t="s">
        <v>8710</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8711</v>
      </c>
      <c r="N42" s="192" t="s">
        <v>8699</v>
      </c>
      <c r="O42" s="352" t="s">
        <v>8712</v>
      </c>
      <c r="P42" s="168" t="s">
        <v>8713</v>
      </c>
      <c r="Q42" s="352" t="s">
        <v>8714</v>
      </c>
      <c r="R42" s="153" t="s">
        <v>2560</v>
      </c>
      <c r="S42" s="369" t="s">
        <v>8708</v>
      </c>
      <c r="T42" s="192" t="s">
        <v>8715</v>
      </c>
      <c r="U42" s="356"/>
      <c r="V42" s="192"/>
      <c r="W42" s="8"/>
      <c r="X42" s="8"/>
    </row>
    <row r="43">
      <c r="A43" s="352" t="s">
        <v>8716</v>
      </c>
      <c r="B43" s="168" t="s">
        <v>8717</v>
      </c>
      <c r="C43" s="352" t="s">
        <v>8718</v>
      </c>
      <c r="D43" s="168" t="s">
        <v>8719</v>
      </c>
      <c r="E43" s="352" t="s">
        <v>8720</v>
      </c>
      <c r="F43" s="168" t="s">
        <v>8721</v>
      </c>
      <c r="G43" s="352" t="str">
        <f>IFERROR(__xludf.DUMMYFUNCTION("GOOGLETRANSLATE(A43,""zh-tw"",""zh"")"),"银坷拉")</f>
        <v>银坷拉</v>
      </c>
      <c r="H43" s="168" t="str">
        <f>IFERROR(__xludf.DUMMYFUNCTION("GOOGLETRANSLATE(B43,""zh-tw"",""zh"")"),"诱饵/粉尘爆炸")</f>
        <v>诱饵/粉尘爆炸</v>
      </c>
      <c r="I43" s="352" t="s">
        <v>8720</v>
      </c>
      <c r="J43" s="168" t="s">
        <v>8722</v>
      </c>
      <c r="K43" s="356" t="str">
        <f>IFERROR(__xludf.DUMMYFUNCTION("GOOGLETRANSLATE(A43,""zh-tw"",""KO"")"),"인 켈라")</f>
        <v>인 켈라</v>
      </c>
      <c r="L43" s="192" t="str">
        <f>IFERROR(__xludf.DUMMYFUNCTION("GOOGLETRANSLATE(B43,""zh-tw"",""KO"")"),"미끼/먼지 폭발")</f>
        <v>미끼/먼지 폭발</v>
      </c>
      <c r="M43" s="356" t="s">
        <v>8723</v>
      </c>
      <c r="N43" s="192" t="s">
        <v>8724</v>
      </c>
      <c r="O43" s="352" t="s">
        <v>8720</v>
      </c>
      <c r="P43" s="168" t="s">
        <v>8725</v>
      </c>
      <c r="Q43" s="352" t="s">
        <v>8720</v>
      </c>
      <c r="R43" s="168" t="s">
        <v>8726</v>
      </c>
      <c r="S43" s="356" t="s">
        <v>8720</v>
      </c>
      <c r="T43" s="192" t="s">
        <v>8727</v>
      </c>
      <c r="U43" s="356"/>
      <c r="V43" s="192"/>
      <c r="W43" s="8"/>
      <c r="X43" s="8"/>
    </row>
    <row r="44">
      <c r="A44" s="352" t="s">
        <v>8728</v>
      </c>
      <c r="B44" s="168" t="s">
        <v>8729</v>
      </c>
      <c r="C44" s="352" t="s">
        <v>8730</v>
      </c>
      <c r="D44" s="168" t="s">
        <v>8731</v>
      </c>
      <c r="E44" s="352" t="s">
        <v>8732</v>
      </c>
      <c r="F44" s="168" t="s">
        <v>8733</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8734</v>
      </c>
      <c r="J44" s="168" t="s">
        <v>8735</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8736</v>
      </c>
      <c r="N44" s="192" t="s">
        <v>8737</v>
      </c>
      <c r="O44" s="352" t="s">
        <v>8738</v>
      </c>
      <c r="P44" s="168" t="s">
        <v>8739</v>
      </c>
      <c r="Q44" s="352" t="s">
        <v>8740</v>
      </c>
      <c r="R44" s="168" t="s">
        <v>8741</v>
      </c>
      <c r="S44" s="356" t="s">
        <v>8742</v>
      </c>
      <c r="T44" s="192" t="s">
        <v>8743</v>
      </c>
      <c r="U44" s="356"/>
      <c r="V44" s="192"/>
      <c r="W44" s="8"/>
      <c r="X44" s="8"/>
    </row>
    <row r="45">
      <c r="A45" s="352" t="s">
        <v>8744</v>
      </c>
      <c r="B45" s="168" t="s">
        <v>8745</v>
      </c>
      <c r="C45" s="352" t="s">
        <v>8746</v>
      </c>
      <c r="D45" s="168" t="s">
        <v>8747</v>
      </c>
      <c r="E45" s="352" t="s">
        <v>8748</v>
      </c>
      <c r="F45" s="168" t="s">
        <v>8749</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8750</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8751</v>
      </c>
      <c r="N45" s="192" t="s">
        <v>8752</v>
      </c>
      <c r="O45" s="352" t="s">
        <v>8753</v>
      </c>
      <c r="P45" s="168" t="s">
        <v>8754</v>
      </c>
      <c r="Q45" s="352" t="s">
        <v>8755</v>
      </c>
      <c r="R45" s="168" t="s">
        <v>8756</v>
      </c>
      <c r="S45" s="356" t="s">
        <v>8757</v>
      </c>
      <c r="T45" s="192" t="s">
        <v>8758</v>
      </c>
      <c r="U45" s="356"/>
      <c r="V45" s="192"/>
      <c r="W45" s="8"/>
      <c r="X45" s="8"/>
    </row>
    <row r="46">
      <c r="A46" s="352" t="s">
        <v>8759</v>
      </c>
      <c r="B46" s="168" t="s">
        <v>8760</v>
      </c>
      <c r="C46" s="352" t="s">
        <v>8761</v>
      </c>
      <c r="D46" s="168" t="s">
        <v>8762</v>
      </c>
      <c r="E46" s="352" t="s">
        <v>8763</v>
      </c>
      <c r="F46" s="168" t="s">
        <v>8764</v>
      </c>
      <c r="G46" s="352" t="str">
        <f>IFERROR(__xludf.DUMMYFUNCTION("GOOGLETRANSLATE(A46,""zh-tw"",""zh"")"),"红髓液")</f>
        <v>红髓液</v>
      </c>
      <c r="H46" s="168" t="str">
        <f>IFERROR(__xludf.DUMMYFUNCTION("GOOGLETRANSLATE(B46,""zh-tw"",""zh"")"),"使用于治疗妹妹")</f>
        <v>使用于治疗妹妹</v>
      </c>
      <c r="I46" s="352" t="s">
        <v>8765</v>
      </c>
      <c r="J46" s="168" t="s">
        <v>8766</v>
      </c>
      <c r="K46" s="356" t="str">
        <f>IFERROR(__xludf.DUMMYFUNCTION("GOOGLETRANSLATE(A46,""zh-tw"",""KO"")"),"적골수액")</f>
        <v>적골수액</v>
      </c>
      <c r="L46" s="192" t="str">
        <f>IFERROR(__xludf.DUMMYFUNCTION("GOOGLETRANSLATE(B46,""zh-tw"",""KO"")"),"제 여동생을 치료해 주곤 했어요.")</f>
        <v>제 여동생을 치료해 주곤 했어요.</v>
      </c>
      <c r="M46" s="356" t="s">
        <v>8767</v>
      </c>
      <c r="N46" s="192" t="s">
        <v>8768</v>
      </c>
      <c r="O46" s="352" t="s">
        <v>8769</v>
      </c>
      <c r="P46" s="168" t="s">
        <v>8770</v>
      </c>
      <c r="Q46" s="352" t="s">
        <v>8771</v>
      </c>
      <c r="R46" s="168" t="s">
        <v>8772</v>
      </c>
      <c r="S46" s="356" t="s">
        <v>8773</v>
      </c>
      <c r="T46" s="192" t="s">
        <v>8774</v>
      </c>
      <c r="U46" s="356"/>
      <c r="V46" s="192"/>
      <c r="W46" s="8"/>
      <c r="X46" s="8"/>
    </row>
    <row r="47">
      <c r="A47" s="352" t="s">
        <v>8775</v>
      </c>
      <c r="B47" s="168" t="s">
        <v>8776</v>
      </c>
      <c r="C47" s="352" t="s">
        <v>8777</v>
      </c>
      <c r="D47" s="168" t="s">
        <v>8778</v>
      </c>
      <c r="E47" s="352" t="s">
        <v>8779</v>
      </c>
      <c r="F47" s="168" t="s">
        <v>8780</v>
      </c>
      <c r="G47" s="352" t="str">
        <f>IFERROR(__xludf.DUMMYFUNCTION("GOOGLETRANSLATE(A47,""zh-tw"",""zh"")"),"什么都行券")</f>
        <v>什么都行券</v>
      </c>
      <c r="H47" s="168" t="str">
        <f>IFERROR(__xludf.DUMMYFUNCTION("GOOGLETRANSLATE(B47,""zh-tw"",""zh"")"),"使用于SLG相关的事件")</f>
        <v>使用于SLG相关的事件</v>
      </c>
      <c r="I47" s="352" t="s">
        <v>8781</v>
      </c>
      <c r="J47" s="168" t="s">
        <v>8782</v>
      </c>
      <c r="K47" s="356" t="str">
        <f>IFERROR(__xludf.DUMMYFUNCTION("GOOGLETRANSLATE(A47,""zh-tw"",""KO"")"),"쿠폰")</f>
        <v>쿠폰</v>
      </c>
      <c r="L47" s="192" t="str">
        <f>IFERROR(__xludf.DUMMYFUNCTION("GOOGLETRANSLATE(B47,""zh-tw"",""KO"")"),"SLG 관련 이벤트")</f>
        <v>SLG 관련 이벤트</v>
      </c>
      <c r="M47" s="356" t="s">
        <v>8783</v>
      </c>
      <c r="N47" s="192" t="s">
        <v>8784</v>
      </c>
      <c r="O47" s="352" t="s">
        <v>8785</v>
      </c>
      <c r="P47" s="168" t="s">
        <v>8786</v>
      </c>
      <c r="Q47" s="352" t="s">
        <v>8787</v>
      </c>
      <c r="R47" s="168" t="s">
        <v>8788</v>
      </c>
      <c r="S47" s="356" t="s">
        <v>8789</v>
      </c>
      <c r="T47" s="192" t="s">
        <v>8790</v>
      </c>
      <c r="U47" s="356"/>
      <c r="V47" s="192"/>
      <c r="W47" s="8"/>
      <c r="X47" s="8"/>
    </row>
    <row r="48">
      <c r="A48" s="356" t="s">
        <v>8791</v>
      </c>
      <c r="B48" s="192" t="s">
        <v>8792</v>
      </c>
      <c r="C48" s="356" t="s">
        <v>8793</v>
      </c>
      <c r="D48" s="192" t="s">
        <v>8794</v>
      </c>
      <c r="E48" s="191" t="s">
        <v>8795</v>
      </c>
      <c r="F48" s="192" t="s">
        <v>8796</v>
      </c>
      <c r="G48" s="356" t="s">
        <v>8797</v>
      </c>
      <c r="H48" s="192" t="s">
        <v>8798</v>
      </c>
      <c r="I48" s="356" t="str">
        <f>IFERROR(__xludf.DUMMYFUNCTION("GOOGLETRANSLATE(A48,""zh-tw"",""es-MX"")"),"Cinta de vídeo de terror")</f>
        <v>Cinta de vídeo de terror</v>
      </c>
      <c r="J48" s="168" t="s">
        <v>8799</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8800</v>
      </c>
      <c r="N48" s="192" t="s">
        <v>8801</v>
      </c>
      <c r="O48" s="352" t="s">
        <v>8802</v>
      </c>
      <c r="P48" s="168" t="s">
        <v>8803</v>
      </c>
      <c r="Q48" s="387" t="s">
        <v>8804</v>
      </c>
      <c r="R48" s="388" t="s">
        <v>8805</v>
      </c>
      <c r="S48" s="356" t="s">
        <v>8806</v>
      </c>
      <c r="T48" s="192" t="s">
        <v>8807</v>
      </c>
      <c r="U48" s="356"/>
      <c r="V48" s="192"/>
      <c r="W48" s="8"/>
      <c r="X48" s="8"/>
    </row>
    <row r="49">
      <c r="A49" s="356" t="s">
        <v>8808</v>
      </c>
      <c r="B49" s="192" t="s">
        <v>8792</v>
      </c>
      <c r="C49" s="356" t="s">
        <v>8809</v>
      </c>
      <c r="D49" s="192" t="s">
        <v>8794</v>
      </c>
      <c r="E49" s="191" t="s">
        <v>8810</v>
      </c>
      <c r="F49" s="192" t="s">
        <v>8796</v>
      </c>
      <c r="G49" s="356" t="s">
        <v>8811</v>
      </c>
      <c r="H49" s="192" t="s">
        <v>8798</v>
      </c>
      <c r="I49" s="352" t="s">
        <v>8812</v>
      </c>
      <c r="J49" s="168" t="s">
        <v>8799</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8813</v>
      </c>
      <c r="N49" s="192" t="s">
        <v>8801</v>
      </c>
      <c r="O49" s="352" t="s">
        <v>8814</v>
      </c>
      <c r="P49" s="168" t="s">
        <v>8803</v>
      </c>
      <c r="Q49" s="387" t="s">
        <v>8815</v>
      </c>
      <c r="R49" s="388" t="s">
        <v>8805</v>
      </c>
      <c r="S49" s="356" t="s">
        <v>8816</v>
      </c>
      <c r="T49" s="192" t="s">
        <v>8807</v>
      </c>
      <c r="U49" s="356"/>
      <c r="V49" s="192"/>
      <c r="W49" s="8"/>
      <c r="X49" s="8"/>
    </row>
    <row r="50">
      <c r="A50" s="356" t="s">
        <v>8817</v>
      </c>
      <c r="B50" s="192" t="s">
        <v>8818</v>
      </c>
      <c r="C50" s="191" t="s">
        <v>8819</v>
      </c>
      <c r="D50" s="192" t="s">
        <v>8820</v>
      </c>
      <c r="E50" s="191" t="s">
        <v>8821</v>
      </c>
      <c r="F50" s="192" t="s">
        <v>8822</v>
      </c>
      <c r="G50" s="191" t="s">
        <v>8823</v>
      </c>
      <c r="H50" s="192" t="s">
        <v>8824</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8825</v>
      </c>
      <c r="N50" s="192" t="s">
        <v>8826</v>
      </c>
      <c r="O50" s="356" t="s">
        <v>8827</v>
      </c>
      <c r="P50" s="192" t="s">
        <v>8828</v>
      </c>
      <c r="Q50" s="389" t="s">
        <v>8829</v>
      </c>
      <c r="R50" s="390" t="s">
        <v>8830</v>
      </c>
      <c r="S50" s="356" t="s">
        <v>8831</v>
      </c>
      <c r="T50" s="192" t="s">
        <v>8832</v>
      </c>
      <c r="U50" s="356" t="s">
        <v>8833</v>
      </c>
      <c r="V50" s="192" t="s">
        <v>8834</v>
      </c>
      <c r="W50" s="8"/>
      <c r="X50" s="8"/>
    </row>
    <row r="51">
      <c r="A51" s="356" t="s">
        <v>4748</v>
      </c>
      <c r="B51" s="192" t="s">
        <v>8835</v>
      </c>
      <c r="C51" s="191" t="s">
        <v>4751</v>
      </c>
      <c r="D51" s="192" t="s">
        <v>8836</v>
      </c>
      <c r="E51" s="191" t="s">
        <v>8837</v>
      </c>
      <c r="F51" s="192" t="s">
        <v>8838</v>
      </c>
      <c r="G51" s="191" t="s">
        <v>4757</v>
      </c>
      <c r="H51" s="192" t="s">
        <v>8839</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8840</v>
      </c>
      <c r="N51" s="192" t="s">
        <v>8841</v>
      </c>
      <c r="O51" s="356" t="s">
        <v>8842</v>
      </c>
      <c r="P51" s="192" t="s">
        <v>8843</v>
      </c>
      <c r="Q51" s="389" t="s">
        <v>8837</v>
      </c>
      <c r="R51" s="390" t="s">
        <v>8844</v>
      </c>
      <c r="S51" s="356" t="s">
        <v>4766</v>
      </c>
      <c r="T51" s="192" t="s">
        <v>8845</v>
      </c>
      <c r="U51" s="356" t="s">
        <v>4769</v>
      </c>
      <c r="V51" s="192" t="s">
        <v>8846</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8847</v>
      </c>
      <c r="B1" s="394" t="s">
        <v>475</v>
      </c>
      <c r="C1" s="395" t="s">
        <v>8848</v>
      </c>
      <c r="F1" s="393" t="s">
        <v>8849</v>
      </c>
      <c r="G1" s="394" t="s">
        <v>475</v>
      </c>
      <c r="H1" s="396" t="s">
        <v>8850</v>
      </c>
      <c r="K1" s="393" t="s">
        <v>8851</v>
      </c>
      <c r="L1" s="394" t="s">
        <v>475</v>
      </c>
      <c r="M1" s="397" t="s">
        <v>8852</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8853</v>
      </c>
      <c r="AF1" s="394" t="s">
        <v>8854</v>
      </c>
      <c r="AG1" s="399" t="s">
        <v>8855</v>
      </c>
      <c r="AJ1" s="400" t="s">
        <v>8856</v>
      </c>
      <c r="AK1" s="394" t="s">
        <v>475</v>
      </c>
      <c r="AL1" s="395" t="s">
        <v>8857</v>
      </c>
      <c r="AO1" s="401" t="s">
        <v>8858</v>
      </c>
      <c r="AP1" s="402" t="s">
        <v>475</v>
      </c>
      <c r="AQ1" s="141" t="s">
        <v>8859</v>
      </c>
      <c r="AT1" s="393" t="s">
        <v>8860</v>
      </c>
      <c r="AU1" s="394" t="s">
        <v>475</v>
      </c>
      <c r="AV1" s="398" t="s">
        <v>8861</v>
      </c>
      <c r="AY1" s="393"/>
      <c r="AZ1" s="394"/>
      <c r="BA1" s="398"/>
      <c r="BD1" s="398"/>
      <c r="BE1" s="398"/>
      <c r="BF1" s="398"/>
      <c r="BG1" s="398"/>
      <c r="BH1" s="398"/>
    </row>
    <row r="2" ht="75.0" customHeight="1">
      <c r="A2" s="393" t="s">
        <v>8862</v>
      </c>
      <c r="B2" s="394" t="s">
        <v>1252</v>
      </c>
      <c r="F2" s="393" t="s">
        <v>8863</v>
      </c>
      <c r="G2" s="394" t="s">
        <v>1252</v>
      </c>
      <c r="K2" s="393" t="s">
        <v>8864</v>
      </c>
      <c r="L2" s="394" t="s">
        <v>1252</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1252</v>
      </c>
      <c r="Z2" s="393" t="str">
        <f>IFERROR(__xludf.DUMMYFUNCTION("GOOGLETRANSLATE(A2,""zh-tw"",""KO"")"),"내 여동생은 음식이 너무 매워서 울었어요 (우연한 계기).")</f>
        <v>내 여동생은 음식이 너무 매워서 울었어요 (우연한 계기).</v>
      </c>
      <c r="AA2" s="394" t="s">
        <v>1252</v>
      </c>
      <c r="AE2" s="393" t="s">
        <v>8865</v>
      </c>
      <c r="AF2" s="394" t="s">
        <v>8866</v>
      </c>
      <c r="AJ2" s="400" t="s">
        <v>8867</v>
      </c>
      <c r="AK2" s="394" t="s">
        <v>1252</v>
      </c>
      <c r="AO2" s="403" t="s">
        <v>8868</v>
      </c>
      <c r="AP2" s="404" t="s">
        <v>1252</v>
      </c>
      <c r="AT2" s="393" t="s">
        <v>8869</v>
      </c>
      <c r="AU2" s="394" t="s">
        <v>1252</v>
      </c>
      <c r="AY2" s="393"/>
      <c r="AZ2" s="394"/>
      <c r="BD2" s="398"/>
      <c r="BE2" s="398"/>
      <c r="BF2" s="398"/>
      <c r="BG2" s="398"/>
      <c r="BH2" s="398"/>
    </row>
    <row r="3">
      <c r="A3" s="405" t="s">
        <v>8870</v>
      </c>
      <c r="B3" s="406" t="s">
        <v>8090</v>
      </c>
      <c r="F3" s="405" t="str">
        <f>IFERROR(__xludf.DUMMYFUNCTION("GOOGLETRANSLATE(A3,""zh-tw"",""ja"")"),"料理名")</f>
        <v>料理名</v>
      </c>
      <c r="G3" s="406" t="str">
        <f>IFERROR(__xludf.DUMMYFUNCTION("GOOGLETRANSLATE(B3,""zh-tw"",""ja"")"),"効果")</f>
        <v>効果</v>
      </c>
      <c r="K3" s="405" t="s">
        <v>8871</v>
      </c>
      <c r="L3" s="406" t="s">
        <v>8872</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8873</v>
      </c>
      <c r="AF3" s="407" t="s">
        <v>8092</v>
      </c>
      <c r="AJ3" s="409" t="s">
        <v>8874</v>
      </c>
      <c r="AK3" s="408" t="s">
        <v>8875</v>
      </c>
      <c r="AO3" s="83" t="s">
        <v>8876</v>
      </c>
      <c r="AP3" s="82" t="s">
        <v>6326</v>
      </c>
      <c r="AT3" s="405" t="s">
        <v>8877</v>
      </c>
      <c r="AU3" s="406" t="s">
        <v>8098</v>
      </c>
      <c r="AY3" s="405"/>
      <c r="AZ3" s="406"/>
      <c r="BD3" s="398"/>
      <c r="BE3" s="398"/>
      <c r="BF3" s="398"/>
      <c r="BG3" s="398"/>
      <c r="BH3" s="398"/>
    </row>
    <row r="4">
      <c r="A4" s="155" t="s">
        <v>8878</v>
      </c>
      <c r="B4" s="179"/>
      <c r="C4" s="410" t="s">
        <v>8879</v>
      </c>
      <c r="D4" s="141"/>
      <c r="E4" s="141"/>
      <c r="F4" s="155" t="s">
        <v>8880</v>
      </c>
      <c r="G4" s="179"/>
      <c r="H4" s="410" t="s">
        <v>8881</v>
      </c>
      <c r="I4" s="141"/>
      <c r="J4" s="141"/>
      <c r="K4" s="147" t="s">
        <v>8882</v>
      </c>
      <c r="L4" s="179"/>
      <c r="M4" s="168" t="s">
        <v>8883</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8884</v>
      </c>
      <c r="AC4" s="141"/>
      <c r="AD4" s="141"/>
      <c r="AE4" s="411" t="s">
        <v>8885</v>
      </c>
      <c r="AF4" s="412"/>
      <c r="AG4" s="410" t="s">
        <v>8886</v>
      </c>
      <c r="AH4" s="413"/>
      <c r="AI4" s="413"/>
      <c r="AJ4" s="414" t="s">
        <v>8887</v>
      </c>
      <c r="AK4" s="408"/>
      <c r="AL4" s="168" t="s">
        <v>8888</v>
      </c>
      <c r="AM4" s="192"/>
      <c r="AN4" s="192"/>
      <c r="AO4" s="191" t="s">
        <v>8889</v>
      </c>
      <c r="AP4" s="179"/>
      <c r="AQ4" s="192" t="s">
        <v>8890</v>
      </c>
      <c r="AR4" s="141"/>
      <c r="AS4" s="141"/>
      <c r="AT4" s="155" t="s">
        <v>8882</v>
      </c>
      <c r="AU4" s="415"/>
      <c r="AV4" s="192" t="s">
        <v>8891</v>
      </c>
      <c r="AW4" s="76"/>
      <c r="AX4" s="76"/>
      <c r="AY4" s="155"/>
      <c r="AZ4" s="415"/>
      <c r="BA4" s="192"/>
      <c r="BB4" s="76"/>
      <c r="BC4" s="76"/>
      <c r="BD4" s="76"/>
      <c r="BE4" s="76"/>
      <c r="BF4" s="76"/>
      <c r="BG4" s="76"/>
      <c r="BH4" s="76"/>
    </row>
    <row r="5">
      <c r="A5" s="155" t="s">
        <v>8892</v>
      </c>
      <c r="B5" s="179"/>
      <c r="C5" s="410" t="s">
        <v>8893</v>
      </c>
      <c r="D5" s="410" t="s">
        <v>8894</v>
      </c>
      <c r="E5" s="141"/>
      <c r="F5" s="155" t="s">
        <v>8895</v>
      </c>
      <c r="G5" s="179"/>
      <c r="H5" s="410" t="s">
        <v>8896</v>
      </c>
      <c r="I5" s="410" t="s">
        <v>8897</v>
      </c>
      <c r="J5" s="141"/>
      <c r="K5" s="127" t="s">
        <v>8898</v>
      </c>
      <c r="L5" s="179"/>
      <c r="M5" s="168" t="s">
        <v>8899</v>
      </c>
      <c r="N5" s="168" t="s">
        <v>8900</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8901</v>
      </c>
      <c r="AD5" s="192"/>
      <c r="AE5" s="411" t="s">
        <v>8902</v>
      </c>
      <c r="AF5" s="412"/>
      <c r="AG5" s="410" t="s">
        <v>8903</v>
      </c>
      <c r="AH5" s="410" t="s">
        <v>8904</v>
      </c>
      <c r="AI5" s="413"/>
      <c r="AJ5" s="414" t="s">
        <v>8905</v>
      </c>
      <c r="AK5" s="408"/>
      <c r="AL5" s="168" t="s">
        <v>8906</v>
      </c>
      <c r="AM5" s="168" t="s">
        <v>8907</v>
      </c>
      <c r="AN5" s="192"/>
      <c r="AO5" s="191" t="s">
        <v>8908</v>
      </c>
      <c r="AP5" s="179"/>
      <c r="AQ5" s="192" t="s">
        <v>8909</v>
      </c>
      <c r="AR5" s="192" t="s">
        <v>8910</v>
      </c>
      <c r="AS5" s="141"/>
      <c r="AT5" s="155" t="s">
        <v>8911</v>
      </c>
      <c r="AU5" s="415"/>
      <c r="AV5" s="192" t="s">
        <v>8912</v>
      </c>
      <c r="AW5" s="168" t="s">
        <v>8913</v>
      </c>
      <c r="AX5" s="76"/>
      <c r="AY5" s="155"/>
      <c r="AZ5" s="415"/>
      <c r="BA5" s="192"/>
      <c r="BB5" s="168"/>
      <c r="BC5" s="76"/>
      <c r="BD5" s="76"/>
      <c r="BE5" s="76"/>
      <c r="BF5" s="76"/>
      <c r="BG5" s="76"/>
      <c r="BH5" s="76"/>
    </row>
    <row r="6">
      <c r="A6" s="155" t="s">
        <v>8914</v>
      </c>
      <c r="B6" s="179"/>
      <c r="C6" s="410" t="s">
        <v>6227</v>
      </c>
      <c r="D6" s="410" t="s">
        <v>8915</v>
      </c>
      <c r="E6" s="141"/>
      <c r="F6" s="155" t="s">
        <v>8916</v>
      </c>
      <c r="G6" s="179"/>
      <c r="H6" s="410" t="s">
        <v>6228</v>
      </c>
      <c r="I6" s="410" t="s">
        <v>8917</v>
      </c>
      <c r="J6" s="141"/>
      <c r="K6" s="147" t="s">
        <v>8918</v>
      </c>
      <c r="L6" s="179"/>
      <c r="M6" s="168" t="s">
        <v>6229</v>
      </c>
      <c r="N6" s="168" t="s">
        <v>8919</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8920</v>
      </c>
      <c r="AF6" s="412"/>
      <c r="AG6" s="410" t="s">
        <v>8921</v>
      </c>
      <c r="AH6" s="410" t="s">
        <v>8922</v>
      </c>
      <c r="AI6" s="413"/>
      <c r="AJ6" s="414" t="s">
        <v>8923</v>
      </c>
      <c r="AK6" s="408"/>
      <c r="AL6" s="168" t="s">
        <v>6230</v>
      </c>
      <c r="AM6" s="168" t="s">
        <v>8924</v>
      </c>
      <c r="AN6" s="192"/>
      <c r="AO6" s="191" t="s">
        <v>8925</v>
      </c>
      <c r="AP6" s="179"/>
      <c r="AQ6" s="192" t="s">
        <v>6231</v>
      </c>
      <c r="AR6" s="192" t="s">
        <v>8926</v>
      </c>
      <c r="AS6" s="141"/>
      <c r="AT6" s="155" t="s">
        <v>8927</v>
      </c>
      <c r="AU6" s="415"/>
      <c r="AV6" s="192" t="s">
        <v>6232</v>
      </c>
      <c r="AW6" s="192" t="s">
        <v>8928</v>
      </c>
      <c r="AX6" s="76"/>
      <c r="AY6" s="155"/>
      <c r="AZ6" s="415"/>
      <c r="BA6" s="192"/>
      <c r="BB6" s="192"/>
      <c r="BC6" s="76"/>
      <c r="BD6" s="76"/>
      <c r="BE6" s="76"/>
      <c r="BF6" s="76"/>
      <c r="BG6" s="76"/>
      <c r="BH6" s="76"/>
    </row>
    <row r="7">
      <c r="A7" s="155" t="s">
        <v>8929</v>
      </c>
      <c r="B7" s="179"/>
      <c r="C7" s="410" t="s">
        <v>6227</v>
      </c>
      <c r="D7" s="141"/>
      <c r="E7" s="141"/>
      <c r="F7" s="155" t="s">
        <v>8930</v>
      </c>
      <c r="G7" s="179"/>
      <c r="H7" s="410" t="s">
        <v>6228</v>
      </c>
      <c r="I7" s="141"/>
      <c r="J7" s="141"/>
      <c r="K7" s="147" t="s">
        <v>8931</v>
      </c>
      <c r="L7" s="179"/>
      <c r="M7" s="168" t="s">
        <v>6229</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8932</v>
      </c>
      <c r="AF7" s="412"/>
      <c r="AG7" s="410" t="s">
        <v>8921</v>
      </c>
      <c r="AH7" s="413"/>
      <c r="AI7" s="413"/>
      <c r="AJ7" s="414" t="s">
        <v>8933</v>
      </c>
      <c r="AK7" s="408"/>
      <c r="AL7" s="168" t="s">
        <v>6230</v>
      </c>
      <c r="AM7" s="192"/>
      <c r="AN7" s="192"/>
      <c r="AO7" s="191" t="s">
        <v>8934</v>
      </c>
      <c r="AP7" s="179"/>
      <c r="AQ7" s="192" t="s">
        <v>6231</v>
      </c>
      <c r="AR7" s="141"/>
      <c r="AS7" s="141"/>
      <c r="AT7" s="155" t="s">
        <v>8935</v>
      </c>
      <c r="AU7" s="415"/>
      <c r="AV7" s="192" t="s">
        <v>6232</v>
      </c>
      <c r="AW7" s="76"/>
      <c r="AX7" s="76"/>
      <c r="AY7" s="155"/>
      <c r="AZ7" s="415"/>
      <c r="BA7" s="192"/>
      <c r="BB7" s="76"/>
      <c r="BC7" s="76"/>
      <c r="BD7" s="76"/>
      <c r="BE7" s="76"/>
      <c r="BF7" s="76"/>
      <c r="BG7" s="76"/>
      <c r="BH7" s="76"/>
    </row>
    <row r="8">
      <c r="A8" s="155" t="s">
        <v>8936</v>
      </c>
      <c r="B8" s="179"/>
      <c r="C8" s="410" t="s">
        <v>8937</v>
      </c>
      <c r="F8" s="155" t="s">
        <v>8938</v>
      </c>
      <c r="G8" s="179"/>
      <c r="H8" s="410" t="s">
        <v>947</v>
      </c>
      <c r="I8" s="141"/>
      <c r="J8" s="141"/>
      <c r="K8" s="147" t="s">
        <v>8939</v>
      </c>
      <c r="L8" s="179"/>
      <c r="M8" s="168" t="s">
        <v>8940</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8941</v>
      </c>
      <c r="AA8" s="408"/>
      <c r="AB8" s="168" t="s">
        <v>956</v>
      </c>
      <c r="AE8" s="411" t="s">
        <v>8942</v>
      </c>
      <c r="AF8" s="412"/>
      <c r="AG8" s="410" t="s">
        <v>8943</v>
      </c>
      <c r="AJ8" s="414" t="s">
        <v>8944</v>
      </c>
      <c r="AK8" s="408"/>
      <c r="AL8" s="168" t="s">
        <v>8945</v>
      </c>
      <c r="AO8" s="191" t="s">
        <v>8946</v>
      </c>
      <c r="AP8" s="179"/>
      <c r="AQ8" s="192" t="s">
        <v>8947</v>
      </c>
      <c r="AR8" s="141"/>
      <c r="AS8" s="141"/>
      <c r="AT8" s="155" t="s">
        <v>8948</v>
      </c>
      <c r="AU8" s="415"/>
      <c r="AV8" s="192" t="s">
        <v>2563</v>
      </c>
      <c r="AW8" s="76"/>
      <c r="AX8" s="76"/>
      <c r="AY8" s="155"/>
      <c r="AZ8" s="415"/>
      <c r="BA8" s="192"/>
      <c r="BB8" s="76"/>
      <c r="BC8" s="76"/>
      <c r="BD8" s="76"/>
      <c r="BE8" s="76"/>
      <c r="BF8" s="76"/>
      <c r="BG8" s="76"/>
      <c r="BH8" s="76"/>
    </row>
    <row r="9">
      <c r="A9" s="155" t="s">
        <v>8949</v>
      </c>
      <c r="B9" s="179"/>
      <c r="C9" s="410" t="s">
        <v>8950</v>
      </c>
      <c r="D9" s="141"/>
      <c r="E9" s="141"/>
      <c r="F9" s="155" t="s">
        <v>8951</v>
      </c>
      <c r="G9" s="179"/>
      <c r="H9" s="410" t="s">
        <v>8950</v>
      </c>
      <c r="I9" s="141"/>
      <c r="J9" s="141"/>
      <c r="K9" s="147" t="s">
        <v>8952</v>
      </c>
      <c r="L9" s="179"/>
      <c r="M9" s="168" t="s">
        <v>8953</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8954</v>
      </c>
      <c r="AA9" s="408"/>
      <c r="AB9" s="192" t="str">
        <f>IFERROR(__xludf.DUMMYFUNCTION("GOOGLETRANSLATE(C9,""zh-tw"",""KO"")"),"물고기")</f>
        <v>물고기</v>
      </c>
      <c r="AC9" s="192"/>
      <c r="AD9" s="192"/>
      <c r="AE9" s="411" t="s">
        <v>8955</v>
      </c>
      <c r="AF9" s="412"/>
      <c r="AG9" s="410" t="s">
        <v>8956</v>
      </c>
      <c r="AH9" s="413"/>
      <c r="AI9" s="413"/>
      <c r="AJ9" s="414" t="s">
        <v>8957</v>
      </c>
      <c r="AK9" s="408"/>
      <c r="AL9" s="168" t="s">
        <v>8958</v>
      </c>
      <c r="AM9" s="192"/>
      <c r="AN9" s="192"/>
      <c r="AO9" s="191" t="s">
        <v>8959</v>
      </c>
      <c r="AP9" s="179"/>
      <c r="AQ9" s="192" t="s">
        <v>8960</v>
      </c>
      <c r="AR9" s="141"/>
      <c r="AS9" s="141"/>
      <c r="AT9" s="155" t="s">
        <v>8961</v>
      </c>
      <c r="AU9" s="415"/>
      <c r="AV9" s="192" t="s">
        <v>8962</v>
      </c>
      <c r="AW9" s="76"/>
      <c r="AX9" s="76"/>
      <c r="AY9" s="155"/>
      <c r="AZ9" s="415"/>
      <c r="BA9" s="192"/>
      <c r="BB9" s="76"/>
      <c r="BC9" s="76"/>
      <c r="BD9" s="76"/>
      <c r="BE9" s="76"/>
      <c r="BF9" s="76"/>
      <c r="BG9" s="76"/>
      <c r="BH9" s="76"/>
    </row>
    <row r="10">
      <c r="A10" s="155" t="s">
        <v>8963</v>
      </c>
      <c r="B10" s="179"/>
      <c r="C10" s="410" t="s">
        <v>8964</v>
      </c>
      <c r="D10" s="410" t="s">
        <v>8964</v>
      </c>
      <c r="E10" s="410" t="s">
        <v>8964</v>
      </c>
      <c r="F10" s="155" t="s">
        <v>8965</v>
      </c>
      <c r="G10" s="179"/>
      <c r="H10" s="410" t="s">
        <v>8966</v>
      </c>
      <c r="I10" s="410" t="s">
        <v>8966</v>
      </c>
      <c r="J10" s="410" t="s">
        <v>8966</v>
      </c>
      <c r="K10" s="147" t="s">
        <v>8967</v>
      </c>
      <c r="L10" s="179"/>
      <c r="M10" s="168" t="s">
        <v>8968</v>
      </c>
      <c r="N10" s="168" t="s">
        <v>8968</v>
      </c>
      <c r="O10" s="168" t="s">
        <v>8968</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8969</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8970</v>
      </c>
      <c r="AF10" s="412"/>
      <c r="AG10" s="410" t="s">
        <v>8971</v>
      </c>
      <c r="AH10" s="410" t="s">
        <v>8971</v>
      </c>
      <c r="AI10" s="410" t="s">
        <v>8971</v>
      </c>
      <c r="AJ10" s="414" t="s">
        <v>8972</v>
      </c>
      <c r="AK10" s="408"/>
      <c r="AL10" s="168" t="s">
        <v>8973</v>
      </c>
      <c r="AM10" s="168" t="s">
        <v>8973</v>
      </c>
      <c r="AN10" s="168" t="s">
        <v>8973</v>
      </c>
      <c r="AO10" s="191" t="s">
        <v>8974</v>
      </c>
      <c r="AP10" s="179"/>
      <c r="AQ10" s="192" t="s">
        <v>8975</v>
      </c>
      <c r="AR10" s="192" t="s">
        <v>8975</v>
      </c>
      <c r="AS10" s="192" t="s">
        <v>8975</v>
      </c>
      <c r="AT10" s="155" t="s">
        <v>8976</v>
      </c>
      <c r="AU10" s="415"/>
      <c r="AV10" s="192" t="s">
        <v>8977</v>
      </c>
      <c r="AW10" s="192" t="s">
        <v>8977</v>
      </c>
      <c r="AX10" s="192" t="s">
        <v>8977</v>
      </c>
      <c r="AY10" s="155"/>
      <c r="AZ10" s="415"/>
      <c r="BA10" s="192"/>
      <c r="BB10" s="192"/>
      <c r="BC10" s="192"/>
      <c r="BD10" s="192"/>
      <c r="BE10" s="192"/>
      <c r="BF10" s="192"/>
      <c r="BG10" s="192"/>
      <c r="BH10" s="192"/>
    </row>
    <row r="11">
      <c r="A11" s="162" t="s">
        <v>8978</v>
      </c>
      <c r="B11" s="179"/>
      <c r="C11" s="410" t="s">
        <v>8979</v>
      </c>
      <c r="D11" s="410" t="s">
        <v>6250</v>
      </c>
      <c r="E11" s="141"/>
      <c r="F11" s="155" t="s">
        <v>8980</v>
      </c>
      <c r="G11" s="179"/>
      <c r="H11" s="410" t="s">
        <v>8981</v>
      </c>
      <c r="I11" s="410" t="s">
        <v>8982</v>
      </c>
      <c r="J11" s="141"/>
      <c r="K11" s="147" t="s">
        <v>8983</v>
      </c>
      <c r="L11" s="179"/>
      <c r="M11" s="168" t="s">
        <v>8984</v>
      </c>
      <c r="N11" s="168" t="s">
        <v>6252</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8985</v>
      </c>
      <c r="AA11" s="408"/>
      <c r="AB11" s="168" t="s">
        <v>8986</v>
      </c>
      <c r="AC11" s="192" t="str">
        <f>IFERROR(__xludf.DUMMYFUNCTION("GOOGLETRANSLATE(D11,""zh-tw"",""KO"")"),"감자")</f>
        <v>감자</v>
      </c>
      <c r="AD11" s="192"/>
      <c r="AE11" s="411" t="s">
        <v>8987</v>
      </c>
      <c r="AF11" s="412"/>
      <c r="AG11" s="410" t="s">
        <v>8988</v>
      </c>
      <c r="AH11" s="410" t="s">
        <v>8989</v>
      </c>
      <c r="AI11" s="413"/>
      <c r="AJ11" s="414" t="s">
        <v>8990</v>
      </c>
      <c r="AK11" s="408"/>
      <c r="AL11" s="168" t="s">
        <v>8991</v>
      </c>
      <c r="AM11" s="168" t="s">
        <v>6255</v>
      </c>
      <c r="AN11" s="192"/>
      <c r="AO11" s="151" t="s">
        <v>8983</v>
      </c>
      <c r="AP11" s="179"/>
      <c r="AQ11" s="192" t="s">
        <v>8992</v>
      </c>
      <c r="AR11" s="192" t="s">
        <v>6257</v>
      </c>
      <c r="AS11" s="141"/>
      <c r="AT11" s="155" t="s">
        <v>8983</v>
      </c>
      <c r="AU11" s="415"/>
      <c r="AV11" s="192" t="s">
        <v>8993</v>
      </c>
      <c r="AW11" s="192" t="s">
        <v>6259</v>
      </c>
      <c r="AX11" s="76"/>
      <c r="AY11" s="155"/>
      <c r="AZ11" s="415"/>
      <c r="BA11" s="192"/>
      <c r="BB11" s="192"/>
      <c r="BC11" s="76"/>
      <c r="BD11" s="76"/>
      <c r="BE11" s="76"/>
      <c r="BF11" s="76"/>
      <c r="BG11" s="76"/>
      <c r="BH11" s="76"/>
    </row>
    <row r="12">
      <c r="A12" s="155" t="s">
        <v>8994</v>
      </c>
      <c r="B12" s="179"/>
      <c r="C12" s="410" t="s">
        <v>8893</v>
      </c>
      <c r="D12" s="141"/>
      <c r="E12" s="141"/>
      <c r="F12" s="155" t="s">
        <v>8995</v>
      </c>
      <c r="G12" s="179"/>
      <c r="H12" s="410" t="s">
        <v>8896</v>
      </c>
      <c r="I12" s="141"/>
      <c r="J12" s="141"/>
      <c r="K12" s="147" t="s">
        <v>8996</v>
      </c>
      <c r="L12" s="179"/>
      <c r="M12" s="168" t="s">
        <v>8899</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8997</v>
      </c>
      <c r="AF12" s="412"/>
      <c r="AG12" s="410" t="s">
        <v>8903</v>
      </c>
      <c r="AH12" s="413"/>
      <c r="AI12" s="413"/>
      <c r="AJ12" s="414" t="s">
        <v>8998</v>
      </c>
      <c r="AK12" s="408"/>
      <c r="AL12" s="168" t="s">
        <v>8906</v>
      </c>
      <c r="AM12" s="192"/>
      <c r="AN12" s="192"/>
      <c r="AO12" s="191" t="s">
        <v>8999</v>
      </c>
      <c r="AP12" s="179"/>
      <c r="AQ12" s="192" t="s">
        <v>8909</v>
      </c>
      <c r="AR12" s="141"/>
      <c r="AS12" s="141"/>
      <c r="AT12" s="155" t="s">
        <v>8996</v>
      </c>
      <c r="AU12" s="415"/>
      <c r="AV12" s="192" t="s">
        <v>8912</v>
      </c>
      <c r="AW12" s="76"/>
      <c r="AX12" s="76"/>
      <c r="AY12" s="155"/>
      <c r="AZ12" s="415"/>
      <c r="BA12" s="192"/>
      <c r="BB12" s="76"/>
      <c r="BC12" s="76"/>
      <c r="BD12" s="76"/>
      <c r="BE12" s="76"/>
      <c r="BF12" s="76"/>
      <c r="BG12" s="76"/>
      <c r="BH12" s="76"/>
    </row>
    <row r="13">
      <c r="A13" s="155" t="s">
        <v>9000</v>
      </c>
      <c r="B13" s="179"/>
      <c r="C13" s="410" t="s">
        <v>8893</v>
      </c>
      <c r="D13" s="410" t="s">
        <v>8894</v>
      </c>
      <c r="E13" s="410" t="s">
        <v>8979</v>
      </c>
      <c r="F13" s="155" t="s">
        <v>9001</v>
      </c>
      <c r="G13" s="179"/>
      <c r="H13" s="410" t="s">
        <v>8896</v>
      </c>
      <c r="I13" s="410" t="s">
        <v>8897</v>
      </c>
      <c r="J13" s="410" t="s">
        <v>8981</v>
      </c>
      <c r="K13" s="127" t="s">
        <v>9002</v>
      </c>
      <c r="L13" s="179"/>
      <c r="M13" s="168" t="s">
        <v>8899</v>
      </c>
      <c r="N13" s="168" t="s">
        <v>8900</v>
      </c>
      <c r="O13" s="168" t="s">
        <v>8984</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9003</v>
      </c>
      <c r="AA13" s="408"/>
      <c r="AB13" s="192" t="str">
        <f>IFERROR(__xludf.DUMMYFUNCTION("GOOGLETRANSLATE(C13,""zh-tw"",""KO"")"),"흰쌀")</f>
        <v>흰쌀</v>
      </c>
      <c r="AC13" s="168" t="s">
        <v>8901</v>
      </c>
      <c r="AD13" s="168" t="s">
        <v>8986</v>
      </c>
      <c r="AE13" s="411" t="s">
        <v>9004</v>
      </c>
      <c r="AF13" s="412"/>
      <c r="AG13" s="410" t="s">
        <v>8903</v>
      </c>
      <c r="AH13" s="410" t="s">
        <v>8904</v>
      </c>
      <c r="AI13" s="410" t="s">
        <v>8988</v>
      </c>
      <c r="AJ13" s="414" t="s">
        <v>9005</v>
      </c>
      <c r="AK13" s="408"/>
      <c r="AL13" s="168" t="s">
        <v>8906</v>
      </c>
      <c r="AM13" s="168" t="s">
        <v>8907</v>
      </c>
      <c r="AN13" s="168" t="s">
        <v>8991</v>
      </c>
      <c r="AO13" s="191" t="s">
        <v>9006</v>
      </c>
      <c r="AP13" s="179"/>
      <c r="AQ13" s="192" t="s">
        <v>8909</v>
      </c>
      <c r="AR13" s="192" t="s">
        <v>8910</v>
      </c>
      <c r="AS13" s="192" t="s">
        <v>8992</v>
      </c>
      <c r="AT13" s="155" t="s">
        <v>9007</v>
      </c>
      <c r="AU13" s="415"/>
      <c r="AV13" s="192" t="s">
        <v>8912</v>
      </c>
      <c r="AW13" s="168" t="s">
        <v>8913</v>
      </c>
      <c r="AX13" s="192" t="s">
        <v>8993</v>
      </c>
      <c r="AY13" s="155"/>
      <c r="AZ13" s="415"/>
      <c r="BA13" s="192"/>
      <c r="BB13" s="168"/>
      <c r="BC13" s="192"/>
      <c r="BD13" s="192"/>
      <c r="BE13" s="192"/>
      <c r="BF13" s="192"/>
      <c r="BG13" s="192"/>
      <c r="BH13" s="192"/>
    </row>
    <row r="14">
      <c r="A14" s="155" t="s">
        <v>9008</v>
      </c>
      <c r="B14" s="394" t="s">
        <v>475</v>
      </c>
      <c r="C14" s="410" t="s">
        <v>5664</v>
      </c>
      <c r="D14" s="141"/>
      <c r="E14" s="141"/>
      <c r="F14" s="155" t="s">
        <v>9009</v>
      </c>
      <c r="G14" s="394" t="s">
        <v>475</v>
      </c>
      <c r="H14" s="410" t="s">
        <v>9010</v>
      </c>
      <c r="I14" s="141"/>
      <c r="J14" s="141"/>
      <c r="K14" s="147" t="s">
        <v>9011</v>
      </c>
      <c r="L14" s="394" t="s">
        <v>475</v>
      </c>
      <c r="M14" s="168" t="s">
        <v>5669</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9012</v>
      </c>
      <c r="AA14" s="408" t="s">
        <v>475</v>
      </c>
      <c r="AB14" s="168" t="s">
        <v>9013</v>
      </c>
      <c r="AC14" s="192"/>
      <c r="AD14" s="192"/>
      <c r="AE14" s="411" t="s">
        <v>9014</v>
      </c>
      <c r="AF14" s="407" t="s">
        <v>8854</v>
      </c>
      <c r="AG14" s="410" t="s">
        <v>9015</v>
      </c>
      <c r="AH14" s="413"/>
      <c r="AI14" s="413"/>
      <c r="AJ14" s="414" t="s">
        <v>9016</v>
      </c>
      <c r="AK14" s="408" t="s">
        <v>475</v>
      </c>
      <c r="AL14" s="168" t="s">
        <v>9017</v>
      </c>
      <c r="AM14" s="192"/>
      <c r="AN14" s="192"/>
      <c r="AO14" s="191" t="s">
        <v>9018</v>
      </c>
      <c r="AP14" s="394" t="s">
        <v>475</v>
      </c>
      <c r="AQ14" s="192" t="s">
        <v>5674</v>
      </c>
      <c r="AR14" s="141"/>
      <c r="AS14" s="141"/>
      <c r="AT14" s="155" t="s">
        <v>9019</v>
      </c>
      <c r="AU14" s="394" t="s">
        <v>475</v>
      </c>
      <c r="AV14" s="192" t="s">
        <v>5676</v>
      </c>
      <c r="AW14" s="76"/>
      <c r="AX14" s="76"/>
      <c r="AY14" s="155"/>
      <c r="AZ14" s="394"/>
      <c r="BA14" s="192"/>
      <c r="BB14" s="76"/>
      <c r="BC14" s="76"/>
      <c r="BD14" s="76"/>
      <c r="BE14" s="76"/>
      <c r="BF14" s="76"/>
      <c r="BG14" s="76"/>
      <c r="BH14" s="76"/>
    </row>
    <row r="15">
      <c r="A15" s="155" t="s">
        <v>9020</v>
      </c>
      <c r="B15" s="394" t="s">
        <v>475</v>
      </c>
      <c r="C15" s="410" t="s">
        <v>8979</v>
      </c>
      <c r="D15" s="141"/>
      <c r="E15" s="141"/>
      <c r="F15" s="155" t="s">
        <v>9021</v>
      </c>
      <c r="G15" s="394" t="s">
        <v>475</v>
      </c>
      <c r="H15" s="410" t="s">
        <v>8981</v>
      </c>
      <c r="I15" s="141"/>
      <c r="J15" s="141"/>
      <c r="K15" s="147" t="s">
        <v>9022</v>
      </c>
      <c r="L15" s="394" t="s">
        <v>475</v>
      </c>
      <c r="M15" s="168" t="s">
        <v>8984</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8986</v>
      </c>
      <c r="AC15" s="192"/>
      <c r="AD15" s="192"/>
      <c r="AE15" s="411" t="s">
        <v>9023</v>
      </c>
      <c r="AF15" s="407" t="s">
        <v>8854</v>
      </c>
      <c r="AG15" s="410" t="s">
        <v>8988</v>
      </c>
      <c r="AH15" s="413"/>
      <c r="AI15" s="413"/>
      <c r="AJ15" s="414" t="s">
        <v>9024</v>
      </c>
      <c r="AK15" s="408" t="s">
        <v>475</v>
      </c>
      <c r="AL15" s="168" t="s">
        <v>8991</v>
      </c>
      <c r="AM15" s="192"/>
      <c r="AN15" s="192"/>
      <c r="AO15" s="191" t="s">
        <v>9025</v>
      </c>
      <c r="AP15" s="394" t="s">
        <v>475</v>
      </c>
      <c r="AQ15" s="192" t="s">
        <v>8992</v>
      </c>
      <c r="AR15" s="141"/>
      <c r="AS15" s="141"/>
      <c r="AT15" s="155" t="s">
        <v>9026</v>
      </c>
      <c r="AU15" s="394" t="s">
        <v>475</v>
      </c>
      <c r="AV15" s="192" t="s">
        <v>8993</v>
      </c>
      <c r="AW15" s="76"/>
      <c r="AX15" s="76"/>
      <c r="AY15" s="155"/>
      <c r="AZ15" s="394"/>
      <c r="BA15" s="192"/>
      <c r="BB15" s="76"/>
      <c r="BC15" s="76"/>
      <c r="BD15" s="76"/>
      <c r="BE15" s="76"/>
      <c r="BF15" s="76"/>
      <c r="BG15" s="76"/>
      <c r="BH15" s="76"/>
    </row>
    <row r="16">
      <c r="A16" s="155" t="s">
        <v>9027</v>
      </c>
      <c r="B16" s="394" t="s">
        <v>475</v>
      </c>
      <c r="C16" s="410" t="s">
        <v>8979</v>
      </c>
      <c r="D16" s="410" t="s">
        <v>8979</v>
      </c>
      <c r="E16" s="141"/>
      <c r="F16" s="155" t="s">
        <v>9028</v>
      </c>
      <c r="G16" s="394" t="s">
        <v>475</v>
      </c>
      <c r="H16" s="410" t="s">
        <v>8981</v>
      </c>
      <c r="I16" s="410" t="s">
        <v>8981</v>
      </c>
      <c r="J16" s="141"/>
      <c r="K16" s="147" t="s">
        <v>9029</v>
      </c>
      <c r="L16" s="394" t="s">
        <v>475</v>
      </c>
      <c r="M16" s="168" t="s">
        <v>8984</v>
      </c>
      <c r="N16" s="168" t="s">
        <v>8984</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9030</v>
      </c>
      <c r="AA16" s="408" t="s">
        <v>475</v>
      </c>
      <c r="AB16" s="168" t="s">
        <v>8986</v>
      </c>
      <c r="AC16" s="168" t="s">
        <v>8986</v>
      </c>
      <c r="AD16" s="192"/>
      <c r="AE16" s="411" t="s">
        <v>9031</v>
      </c>
      <c r="AF16" s="407" t="s">
        <v>8854</v>
      </c>
      <c r="AG16" s="410" t="s">
        <v>8988</v>
      </c>
      <c r="AH16" s="410" t="s">
        <v>8988</v>
      </c>
      <c r="AI16" s="413"/>
      <c r="AJ16" s="414" t="s">
        <v>9032</v>
      </c>
      <c r="AK16" s="408" t="s">
        <v>475</v>
      </c>
      <c r="AL16" s="168" t="s">
        <v>8991</v>
      </c>
      <c r="AM16" s="168" t="s">
        <v>8991</v>
      </c>
      <c r="AN16" s="192"/>
      <c r="AO16" s="191" t="s">
        <v>9033</v>
      </c>
      <c r="AP16" s="394" t="s">
        <v>475</v>
      </c>
      <c r="AQ16" s="192" t="s">
        <v>8992</v>
      </c>
      <c r="AR16" s="192" t="s">
        <v>8992</v>
      </c>
      <c r="AS16" s="141"/>
      <c r="AT16" s="155" t="s">
        <v>9034</v>
      </c>
      <c r="AU16" s="394" t="s">
        <v>475</v>
      </c>
      <c r="AV16" s="192" t="s">
        <v>8993</v>
      </c>
      <c r="AW16" s="192" t="s">
        <v>8993</v>
      </c>
      <c r="AX16" s="76"/>
      <c r="AY16" s="155"/>
      <c r="AZ16" s="394"/>
      <c r="BA16" s="192"/>
      <c r="BB16" s="192"/>
      <c r="BC16" s="76"/>
      <c r="BD16" s="76"/>
      <c r="BE16" s="76"/>
      <c r="BF16" s="76"/>
      <c r="BG16" s="76"/>
      <c r="BH16" s="76"/>
    </row>
    <row r="17">
      <c r="A17" s="162" t="s">
        <v>9035</v>
      </c>
      <c r="B17" s="394" t="s">
        <v>475</v>
      </c>
      <c r="C17" s="410" t="s">
        <v>8979</v>
      </c>
      <c r="D17" s="410" t="s">
        <v>8979</v>
      </c>
      <c r="E17" s="410" t="s">
        <v>8979</v>
      </c>
      <c r="F17" s="155" t="s">
        <v>9036</v>
      </c>
      <c r="G17" s="394" t="s">
        <v>475</v>
      </c>
      <c r="H17" s="410" t="s">
        <v>8981</v>
      </c>
      <c r="I17" s="410" t="s">
        <v>8981</v>
      </c>
      <c r="J17" s="410" t="s">
        <v>8981</v>
      </c>
      <c r="K17" s="147" t="s">
        <v>9037</v>
      </c>
      <c r="L17" s="394" t="s">
        <v>475</v>
      </c>
      <c r="M17" s="168" t="s">
        <v>8984</v>
      </c>
      <c r="N17" s="168" t="s">
        <v>8984</v>
      </c>
      <c r="O17" s="168" t="s">
        <v>8984</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9038</v>
      </c>
      <c r="AA17" s="408" t="s">
        <v>475</v>
      </c>
      <c r="AB17" s="168" t="s">
        <v>8986</v>
      </c>
      <c r="AC17" s="197" t="s">
        <v>8986</v>
      </c>
      <c r="AD17" s="197" t="s">
        <v>8986</v>
      </c>
      <c r="AE17" s="411" t="str">
        <f>IFERROR(__xludf.DUMMYFUNCTION("GOOGLETRANSLATE(A17,""zh-tw"",""ru"")"),"Тушеная говядина")</f>
        <v>Тушеная говядина</v>
      </c>
      <c r="AF17" s="407" t="s">
        <v>8854</v>
      </c>
      <c r="AG17" s="410" t="s">
        <v>8988</v>
      </c>
      <c r="AH17" s="410" t="s">
        <v>8988</v>
      </c>
      <c r="AI17" s="410" t="s">
        <v>8988</v>
      </c>
      <c r="AJ17" s="414" t="s">
        <v>9039</v>
      </c>
      <c r="AK17" s="408" t="s">
        <v>475</v>
      </c>
      <c r="AL17" s="168" t="s">
        <v>8991</v>
      </c>
      <c r="AM17" s="168" t="s">
        <v>8991</v>
      </c>
      <c r="AN17" s="168" t="s">
        <v>8991</v>
      </c>
      <c r="AO17" s="151" t="s">
        <v>9040</v>
      </c>
      <c r="AP17" s="394" t="s">
        <v>475</v>
      </c>
      <c r="AQ17" s="192" t="s">
        <v>8992</v>
      </c>
      <c r="AR17" s="192" t="s">
        <v>8992</v>
      </c>
      <c r="AS17" s="192" t="s">
        <v>8992</v>
      </c>
      <c r="AT17" s="155" t="s">
        <v>9041</v>
      </c>
      <c r="AU17" s="394" t="s">
        <v>475</v>
      </c>
      <c r="AV17" s="192" t="s">
        <v>8993</v>
      </c>
      <c r="AW17" s="192" t="s">
        <v>8993</v>
      </c>
      <c r="AX17" s="192" t="s">
        <v>8993</v>
      </c>
      <c r="AY17" s="155"/>
      <c r="AZ17" s="394"/>
      <c r="BA17" s="192"/>
      <c r="BB17" s="192"/>
      <c r="BC17" s="192"/>
      <c r="BD17" s="192"/>
      <c r="BE17" s="192"/>
      <c r="BF17" s="192"/>
      <c r="BG17" s="192"/>
      <c r="BH17" s="192"/>
    </row>
    <row r="18">
      <c r="A18" s="155" t="s">
        <v>9042</v>
      </c>
      <c r="B18" s="394" t="s">
        <v>475</v>
      </c>
      <c r="C18" s="410" t="s">
        <v>8893</v>
      </c>
      <c r="D18" s="410" t="s">
        <v>8979</v>
      </c>
      <c r="E18" s="141"/>
      <c r="F18" s="155" t="s">
        <v>9043</v>
      </c>
      <c r="G18" s="394" t="s">
        <v>475</v>
      </c>
      <c r="H18" s="410" t="s">
        <v>8896</v>
      </c>
      <c r="I18" s="410" t="s">
        <v>8981</v>
      </c>
      <c r="J18" s="141"/>
      <c r="K18" s="147" t="s">
        <v>9044</v>
      </c>
      <c r="L18" s="394" t="s">
        <v>475</v>
      </c>
      <c r="M18" s="168" t="s">
        <v>9045</v>
      </c>
      <c r="N18" s="168" t="s">
        <v>8984</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9046</v>
      </c>
      <c r="AA18" s="408" t="s">
        <v>475</v>
      </c>
      <c r="AB18" s="192" t="str">
        <f>IFERROR(__xludf.DUMMYFUNCTION("GOOGLETRANSLATE(C18,""zh-tw"",""KO"")"),"흰쌀")</f>
        <v>흰쌀</v>
      </c>
      <c r="AC18" s="168" t="s">
        <v>8986</v>
      </c>
      <c r="AD18" s="192"/>
      <c r="AE18" s="411" t="s">
        <v>9047</v>
      </c>
      <c r="AF18" s="407" t="s">
        <v>8854</v>
      </c>
      <c r="AG18" s="410" t="s">
        <v>8903</v>
      </c>
      <c r="AH18" s="410" t="s">
        <v>8988</v>
      </c>
      <c r="AI18" s="413"/>
      <c r="AJ18" s="414" t="s">
        <v>9048</v>
      </c>
      <c r="AK18" s="408" t="s">
        <v>475</v>
      </c>
      <c r="AL18" s="168" t="s">
        <v>8906</v>
      </c>
      <c r="AM18" s="168" t="s">
        <v>8991</v>
      </c>
      <c r="AN18" s="192"/>
      <c r="AO18" s="191" t="s">
        <v>9049</v>
      </c>
      <c r="AP18" s="394" t="s">
        <v>475</v>
      </c>
      <c r="AQ18" s="192" t="s">
        <v>8909</v>
      </c>
      <c r="AR18" s="192" t="s">
        <v>8992</v>
      </c>
      <c r="AS18" s="141"/>
      <c r="AT18" s="155" t="s">
        <v>9050</v>
      </c>
      <c r="AU18" s="394" t="s">
        <v>475</v>
      </c>
      <c r="AV18" s="192" t="s">
        <v>9051</v>
      </c>
      <c r="AW18" s="192" t="s">
        <v>8993</v>
      </c>
      <c r="AX18" s="76"/>
      <c r="AY18" s="155"/>
      <c r="AZ18" s="394"/>
      <c r="BA18" s="192"/>
      <c r="BB18" s="192"/>
      <c r="BC18" s="76"/>
      <c r="BD18" s="76"/>
      <c r="BE18" s="76"/>
      <c r="BF18" s="76"/>
      <c r="BG18" s="76"/>
      <c r="BH18" s="76"/>
    </row>
    <row r="19">
      <c r="A19" s="155" t="s">
        <v>9052</v>
      </c>
      <c r="B19" s="179"/>
      <c r="C19" s="410" t="s">
        <v>9053</v>
      </c>
      <c r="D19" s="141"/>
      <c r="E19" s="141"/>
      <c r="F19" s="155" t="s">
        <v>9054</v>
      </c>
      <c r="G19" s="179"/>
      <c r="H19" s="410" t="s">
        <v>9055</v>
      </c>
      <c r="I19" s="141"/>
      <c r="J19" s="141"/>
      <c r="K19" s="127" t="s">
        <v>9056</v>
      </c>
      <c r="L19" s="179"/>
      <c r="M19" s="168" t="s">
        <v>9057</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9058</v>
      </c>
      <c r="AC19" s="192"/>
      <c r="AD19" s="192"/>
      <c r="AE19" s="411" t="s">
        <v>8885</v>
      </c>
      <c r="AF19" s="412"/>
      <c r="AG19" s="410" t="s">
        <v>9059</v>
      </c>
      <c r="AH19" s="413"/>
      <c r="AI19" s="413"/>
      <c r="AJ19" s="414" t="s">
        <v>9060</v>
      </c>
      <c r="AK19" s="408"/>
      <c r="AL19" s="168" t="s">
        <v>9061</v>
      </c>
      <c r="AM19" s="192"/>
      <c r="AN19" s="192"/>
      <c r="AO19" s="191" t="s">
        <v>9062</v>
      </c>
      <c r="AP19" s="179"/>
      <c r="AQ19" s="192" t="s">
        <v>9063</v>
      </c>
      <c r="AR19" s="141"/>
      <c r="AS19" s="141"/>
      <c r="AT19" s="155" t="s">
        <v>9064</v>
      </c>
      <c r="AU19" s="415"/>
      <c r="AV19" s="192" t="s">
        <v>9065</v>
      </c>
      <c r="AW19" s="76"/>
      <c r="AX19" s="76"/>
      <c r="AY19" s="155"/>
      <c r="AZ19" s="415"/>
      <c r="BA19" s="192"/>
      <c r="BB19" s="76"/>
      <c r="BC19" s="76"/>
      <c r="BD19" s="76"/>
      <c r="BE19" s="76"/>
      <c r="BF19" s="76"/>
      <c r="BG19" s="76"/>
      <c r="BH19" s="76"/>
    </row>
    <row r="20">
      <c r="A20" s="155" t="s">
        <v>9066</v>
      </c>
      <c r="B20" s="179"/>
      <c r="C20" s="410" t="s">
        <v>8879</v>
      </c>
      <c r="D20" s="410" t="s">
        <v>5594</v>
      </c>
      <c r="E20" s="141"/>
      <c r="F20" s="155" t="s">
        <v>9067</v>
      </c>
      <c r="G20" s="179"/>
      <c r="H20" s="410" t="s">
        <v>8881</v>
      </c>
      <c r="I20" s="410" t="s">
        <v>9068</v>
      </c>
      <c r="J20" s="141"/>
      <c r="K20" s="147" t="s">
        <v>9069</v>
      </c>
      <c r="L20" s="179"/>
      <c r="M20" s="168" t="s">
        <v>8883</v>
      </c>
      <c r="N20" s="168" t="s">
        <v>5597</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9070</v>
      </c>
      <c r="AA20" s="408"/>
      <c r="AB20" s="168" t="s">
        <v>8884</v>
      </c>
      <c r="AC20" s="168" t="s">
        <v>9071</v>
      </c>
      <c r="AD20" s="192"/>
      <c r="AE20" s="411" t="s">
        <v>9072</v>
      </c>
      <c r="AF20" s="412"/>
      <c r="AG20" s="410" t="s">
        <v>8886</v>
      </c>
      <c r="AH20" s="410" t="s">
        <v>9073</v>
      </c>
      <c r="AI20" s="413"/>
      <c r="AJ20" s="414" t="s">
        <v>9074</v>
      </c>
      <c r="AK20" s="408"/>
      <c r="AL20" s="168" t="s">
        <v>8888</v>
      </c>
      <c r="AM20" s="168" t="s">
        <v>5600</v>
      </c>
      <c r="AN20" s="192"/>
      <c r="AO20" s="191" t="s">
        <v>9075</v>
      </c>
      <c r="AP20" s="179"/>
      <c r="AQ20" s="192" t="s">
        <v>8890</v>
      </c>
      <c r="AR20" s="192" t="s">
        <v>9076</v>
      </c>
      <c r="AS20" s="141"/>
      <c r="AT20" s="155" t="s">
        <v>9077</v>
      </c>
      <c r="AU20" s="415"/>
      <c r="AV20" s="192" t="s">
        <v>8891</v>
      </c>
      <c r="AW20" s="192" t="s">
        <v>9078</v>
      </c>
      <c r="AX20" s="76"/>
      <c r="AY20" s="155"/>
      <c r="AZ20" s="415"/>
      <c r="BA20" s="192"/>
      <c r="BB20" s="192"/>
      <c r="BC20" s="76"/>
      <c r="BD20" s="76"/>
      <c r="BE20" s="76"/>
      <c r="BF20" s="76"/>
      <c r="BG20" s="76"/>
      <c r="BH20" s="76"/>
    </row>
    <row r="21">
      <c r="A21" s="155" t="s">
        <v>9079</v>
      </c>
      <c r="B21" s="179"/>
      <c r="C21" s="410" t="s">
        <v>8879</v>
      </c>
      <c r="D21" s="410" t="s">
        <v>9080</v>
      </c>
      <c r="E21" s="141"/>
      <c r="F21" s="155" t="s">
        <v>9081</v>
      </c>
      <c r="G21" s="179"/>
      <c r="H21" s="410" t="s">
        <v>8881</v>
      </c>
      <c r="I21" s="410" t="s">
        <v>9082</v>
      </c>
      <c r="J21" s="141"/>
      <c r="K21" s="147" t="s">
        <v>9083</v>
      </c>
      <c r="L21" s="179"/>
      <c r="M21" s="168" t="s">
        <v>8883</v>
      </c>
      <c r="N21" s="168" t="s">
        <v>9084</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8884</v>
      </c>
      <c r="AC21" s="192" t="str">
        <f>IFERROR(__xludf.DUMMYFUNCTION("GOOGLETRANSLATE(D21,""zh-tw"",""KO"")"),"쓰레기")</f>
        <v>쓰레기</v>
      </c>
      <c r="AD21" s="192"/>
      <c r="AE21" s="411" t="s">
        <v>9085</v>
      </c>
      <c r="AF21" s="412"/>
      <c r="AG21" s="410" t="s">
        <v>8886</v>
      </c>
      <c r="AH21" s="410" t="s">
        <v>9086</v>
      </c>
      <c r="AI21" s="413"/>
      <c r="AJ21" s="414" t="s">
        <v>9087</v>
      </c>
      <c r="AK21" s="408"/>
      <c r="AL21" s="168" t="s">
        <v>8888</v>
      </c>
      <c r="AM21" s="168" t="s">
        <v>9088</v>
      </c>
      <c r="AN21" s="192"/>
      <c r="AO21" s="191" t="s">
        <v>9089</v>
      </c>
      <c r="AP21" s="179"/>
      <c r="AQ21" s="192" t="s">
        <v>8890</v>
      </c>
      <c r="AR21" s="192" t="s">
        <v>9090</v>
      </c>
      <c r="AS21" s="141"/>
      <c r="AT21" s="155" t="s">
        <v>9091</v>
      </c>
      <c r="AU21" s="415"/>
      <c r="AV21" s="192" t="s">
        <v>8891</v>
      </c>
      <c r="AW21" s="192" t="s">
        <v>9092</v>
      </c>
      <c r="AX21" s="76"/>
      <c r="AY21" s="155"/>
      <c r="AZ21" s="415"/>
      <c r="BA21" s="192"/>
      <c r="BB21" s="192"/>
      <c r="BC21" s="76"/>
      <c r="BD21" s="76"/>
      <c r="BE21" s="76"/>
      <c r="BF21" s="76"/>
      <c r="BG21" s="76"/>
      <c r="BH21" s="76"/>
    </row>
    <row r="22">
      <c r="A22" s="155" t="s">
        <v>9093</v>
      </c>
      <c r="B22" s="179"/>
      <c r="C22" s="410" t="s">
        <v>9053</v>
      </c>
      <c r="D22" s="410" t="s">
        <v>886</v>
      </c>
      <c r="E22" s="141"/>
      <c r="F22" s="155" t="s">
        <v>9094</v>
      </c>
      <c r="G22" s="179"/>
      <c r="H22" s="410" t="s">
        <v>8881</v>
      </c>
      <c r="I22" s="410" t="s">
        <v>889</v>
      </c>
      <c r="J22" s="141"/>
      <c r="K22" s="147" t="s">
        <v>9095</v>
      </c>
      <c r="L22" s="179"/>
      <c r="M22" s="168" t="s">
        <v>8883</v>
      </c>
      <c r="N22" s="168" t="s">
        <v>9096</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9058</v>
      </c>
      <c r="AC22" s="168" t="s">
        <v>898</v>
      </c>
      <c r="AD22" s="192"/>
      <c r="AE22" s="411" t="s">
        <v>9097</v>
      </c>
      <c r="AF22" s="412"/>
      <c r="AG22" s="410" t="s">
        <v>9059</v>
      </c>
      <c r="AH22" s="410" t="s">
        <v>901</v>
      </c>
      <c r="AI22" s="413"/>
      <c r="AJ22" s="414" t="s">
        <v>9098</v>
      </c>
      <c r="AK22" s="408"/>
      <c r="AL22" s="168" t="s">
        <v>9061</v>
      </c>
      <c r="AM22" s="168" t="s">
        <v>9099</v>
      </c>
      <c r="AN22" s="192"/>
      <c r="AO22" s="191" t="s">
        <v>9100</v>
      </c>
      <c r="AP22" s="179"/>
      <c r="AQ22" s="192" t="s">
        <v>8890</v>
      </c>
      <c r="AR22" s="192" t="s">
        <v>9101</v>
      </c>
      <c r="AS22" s="141"/>
      <c r="AT22" s="155" t="s">
        <v>9102</v>
      </c>
      <c r="AU22" s="415"/>
      <c r="AV22" s="192" t="s">
        <v>8891</v>
      </c>
      <c r="AW22" s="192" t="s">
        <v>9103</v>
      </c>
      <c r="AX22" s="76"/>
      <c r="AY22" s="155"/>
      <c r="AZ22" s="415"/>
      <c r="BA22" s="192"/>
      <c r="BB22" s="192"/>
      <c r="BC22" s="76"/>
      <c r="BD22" s="76"/>
      <c r="BE22" s="76"/>
      <c r="BF22" s="76"/>
      <c r="BG22" s="76"/>
      <c r="BH22" s="76"/>
    </row>
    <row r="23">
      <c r="A23" s="155" t="s">
        <v>9104</v>
      </c>
      <c r="B23" s="179"/>
      <c r="C23" s="410" t="s">
        <v>9105</v>
      </c>
      <c r="D23" s="141"/>
      <c r="E23" s="141"/>
      <c r="F23" s="155" t="s">
        <v>9106</v>
      </c>
      <c r="G23" s="179"/>
      <c r="H23" s="410" t="s">
        <v>9107</v>
      </c>
      <c r="I23" s="141"/>
      <c r="J23" s="141"/>
      <c r="K23" s="127" t="s">
        <v>9108</v>
      </c>
      <c r="L23" s="179"/>
      <c r="M23" s="168" t="s">
        <v>9109</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9110</v>
      </c>
      <c r="AF23" s="412"/>
      <c r="AG23" s="410" t="s">
        <v>9111</v>
      </c>
      <c r="AH23" s="413"/>
      <c r="AI23" s="413"/>
      <c r="AJ23" s="414" t="s">
        <v>9112</v>
      </c>
      <c r="AK23" s="408"/>
      <c r="AL23" s="168" t="s">
        <v>9113</v>
      </c>
      <c r="AM23" s="192"/>
      <c r="AN23" s="192"/>
      <c r="AO23" s="191" t="s">
        <v>9114</v>
      </c>
      <c r="AP23" s="179"/>
      <c r="AQ23" s="192" t="s">
        <v>9115</v>
      </c>
      <c r="AR23" s="141"/>
      <c r="AS23" s="141"/>
      <c r="AT23" s="155" t="s">
        <v>9108</v>
      </c>
      <c r="AU23" s="415"/>
      <c r="AV23" s="192" t="s">
        <v>9109</v>
      </c>
      <c r="AW23" s="76"/>
      <c r="AX23" s="76"/>
      <c r="AY23" s="155"/>
      <c r="AZ23" s="415"/>
      <c r="BA23" s="192"/>
      <c r="BB23" s="76"/>
      <c r="BC23" s="76"/>
      <c r="BD23" s="76"/>
      <c r="BE23" s="76"/>
      <c r="BF23" s="76"/>
      <c r="BG23" s="76"/>
      <c r="BH23" s="76"/>
    </row>
    <row r="24">
      <c r="A24" s="155" t="s">
        <v>9116</v>
      </c>
      <c r="B24" s="179"/>
      <c r="C24" s="410" t="s">
        <v>5664</v>
      </c>
      <c r="D24" s="410" t="s">
        <v>6250</v>
      </c>
      <c r="E24" s="410" t="s">
        <v>9117</v>
      </c>
      <c r="F24" s="155" t="s">
        <v>9118</v>
      </c>
      <c r="G24" s="179"/>
      <c r="H24" s="410" t="s">
        <v>9010</v>
      </c>
      <c r="I24" s="410" t="s">
        <v>9119</v>
      </c>
      <c r="J24" s="410" t="s">
        <v>9120</v>
      </c>
      <c r="K24" s="147" t="s">
        <v>9121</v>
      </c>
      <c r="L24" s="179"/>
      <c r="M24" s="168" t="s">
        <v>5669</v>
      </c>
      <c r="N24" s="168" t="s">
        <v>6252</v>
      </c>
      <c r="O24" s="168" t="s">
        <v>9122</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9013</v>
      </c>
      <c r="AC24" s="192" t="str">
        <f>IFERROR(__xludf.DUMMYFUNCTION("GOOGLETRANSLATE(D24,""zh-tw"",""KO"")"),"감자")</f>
        <v>감자</v>
      </c>
      <c r="AD24" s="192" t="str">
        <f>IFERROR(__xludf.DUMMYFUNCTION("GOOGLETRANSLATE(E24,""zh-tw"",""KO"")"),"당근")</f>
        <v>당근</v>
      </c>
      <c r="AE24" s="411" t="s">
        <v>9123</v>
      </c>
      <c r="AF24" s="412"/>
      <c r="AG24" s="410" t="s">
        <v>9124</v>
      </c>
      <c r="AH24" s="410" t="s">
        <v>8989</v>
      </c>
      <c r="AI24" s="410" t="s">
        <v>9125</v>
      </c>
      <c r="AJ24" s="414" t="s">
        <v>9126</v>
      </c>
      <c r="AK24" s="408"/>
      <c r="AL24" s="168" t="s">
        <v>9017</v>
      </c>
      <c r="AM24" s="168" t="s">
        <v>6255</v>
      </c>
      <c r="AN24" s="168" t="s">
        <v>6255</v>
      </c>
      <c r="AO24" s="191" t="s">
        <v>9127</v>
      </c>
      <c r="AP24" s="179"/>
      <c r="AQ24" s="192" t="s">
        <v>5674</v>
      </c>
      <c r="AR24" s="192" t="s">
        <v>6257</v>
      </c>
      <c r="AS24" s="192" t="s">
        <v>9128</v>
      </c>
      <c r="AT24" s="155" t="s">
        <v>9121</v>
      </c>
      <c r="AU24" s="415"/>
      <c r="AV24" s="192" t="s">
        <v>5676</v>
      </c>
      <c r="AW24" s="192" t="s">
        <v>6259</v>
      </c>
      <c r="AX24" s="192" t="s">
        <v>9129</v>
      </c>
      <c r="AY24" s="155"/>
      <c r="AZ24" s="415"/>
      <c r="BA24" s="192"/>
      <c r="BB24" s="192"/>
      <c r="BC24" s="192"/>
      <c r="BD24" s="192"/>
      <c r="BE24" s="192"/>
      <c r="BF24" s="192"/>
      <c r="BG24" s="192"/>
      <c r="BH24" s="192"/>
    </row>
    <row r="25">
      <c r="A25" s="155" t="s">
        <v>9130</v>
      </c>
      <c r="B25" s="179"/>
      <c r="C25" s="410" t="s">
        <v>9131</v>
      </c>
      <c r="D25" s="141"/>
      <c r="E25" s="141"/>
      <c r="F25" s="155" t="s">
        <v>9132</v>
      </c>
      <c r="G25" s="179"/>
      <c r="H25" s="410" t="s">
        <v>9133</v>
      </c>
      <c r="I25" s="141"/>
      <c r="J25" s="141"/>
      <c r="K25" s="147" t="s">
        <v>9134</v>
      </c>
      <c r="L25" s="179"/>
      <c r="M25" s="168" t="s">
        <v>9135</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9136</v>
      </c>
      <c r="AA25" s="408"/>
      <c r="AB25" s="168" t="s">
        <v>9137</v>
      </c>
      <c r="AC25" s="192"/>
      <c r="AD25" s="192"/>
      <c r="AE25" s="411" t="s">
        <v>9138</v>
      </c>
      <c r="AF25" s="412"/>
      <c r="AG25" s="410" t="s">
        <v>9139</v>
      </c>
      <c r="AH25" s="413"/>
      <c r="AI25" s="413"/>
      <c r="AJ25" s="414" t="s">
        <v>9140</v>
      </c>
      <c r="AK25" s="408"/>
      <c r="AL25" s="168" t="s">
        <v>9141</v>
      </c>
      <c r="AM25" s="192"/>
      <c r="AN25" s="192"/>
      <c r="AO25" s="191" t="s">
        <v>9142</v>
      </c>
      <c r="AP25" s="179"/>
      <c r="AQ25" s="192" t="s">
        <v>9143</v>
      </c>
      <c r="AR25" s="141"/>
      <c r="AS25" s="141"/>
      <c r="AT25" s="155" t="s">
        <v>9144</v>
      </c>
      <c r="AU25" s="415"/>
      <c r="AV25" s="192" t="s">
        <v>9145</v>
      </c>
      <c r="AW25" s="76"/>
      <c r="AX25" s="76"/>
      <c r="AY25" s="155"/>
      <c r="AZ25" s="415"/>
      <c r="BA25" s="192"/>
      <c r="BB25" s="76"/>
      <c r="BC25" s="76"/>
      <c r="BD25" s="76"/>
      <c r="BE25" s="76"/>
      <c r="BF25" s="76"/>
      <c r="BG25" s="76"/>
      <c r="BH25" s="76"/>
    </row>
    <row r="26">
      <c r="A26" s="162" t="s">
        <v>9146</v>
      </c>
      <c r="B26" s="179"/>
      <c r="C26" s="410" t="s">
        <v>9147</v>
      </c>
      <c r="D26" s="410" t="s">
        <v>9147</v>
      </c>
      <c r="E26" s="410" t="s">
        <v>9147</v>
      </c>
      <c r="F26" s="155" t="s">
        <v>9148</v>
      </c>
      <c r="G26" s="179"/>
      <c r="H26" s="410" t="s">
        <v>9120</v>
      </c>
      <c r="I26" s="410" t="s">
        <v>9120</v>
      </c>
      <c r="J26" s="410" t="s">
        <v>9120</v>
      </c>
      <c r="K26" s="127" t="s">
        <v>9149</v>
      </c>
      <c r="L26" s="179"/>
      <c r="M26" s="168" t="s">
        <v>9122</v>
      </c>
      <c r="N26" s="168" t="s">
        <v>9122</v>
      </c>
      <c r="O26" s="168" t="s">
        <v>9122</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9150</v>
      </c>
      <c r="AA26" s="408"/>
      <c r="AB26" s="416" t="s">
        <v>9151</v>
      </c>
      <c r="AC26" s="416" t="s">
        <v>9151</v>
      </c>
      <c r="AD26" s="168" t="s">
        <v>9151</v>
      </c>
      <c r="AE26" s="411" t="s">
        <v>9152</v>
      </c>
      <c r="AF26" s="412"/>
      <c r="AG26" s="410" t="s">
        <v>9153</v>
      </c>
      <c r="AH26" s="410" t="s">
        <v>9153</v>
      </c>
      <c r="AI26" s="410" t="s">
        <v>9153</v>
      </c>
      <c r="AJ26" s="414" t="s">
        <v>9154</v>
      </c>
      <c r="AK26" s="408"/>
      <c r="AL26" s="168" t="s">
        <v>9155</v>
      </c>
      <c r="AM26" s="168" t="s">
        <v>9155</v>
      </c>
      <c r="AN26" s="168" t="s">
        <v>9155</v>
      </c>
      <c r="AO26" s="151" t="s">
        <v>9156</v>
      </c>
      <c r="AP26" s="179"/>
      <c r="AQ26" s="192" t="s">
        <v>9128</v>
      </c>
      <c r="AR26" s="192" t="s">
        <v>9128</v>
      </c>
      <c r="AS26" s="192" t="s">
        <v>9128</v>
      </c>
      <c r="AT26" s="155" t="s">
        <v>9157</v>
      </c>
      <c r="AU26" s="415"/>
      <c r="AV26" s="192" t="s">
        <v>9129</v>
      </c>
      <c r="AW26" s="192" t="s">
        <v>9129</v>
      </c>
      <c r="AX26" s="192" t="s">
        <v>9129</v>
      </c>
      <c r="AY26" s="155"/>
      <c r="AZ26" s="415"/>
      <c r="BA26" s="192"/>
      <c r="BB26" s="192"/>
      <c r="BC26" s="192"/>
      <c r="BD26" s="192"/>
      <c r="BE26" s="192"/>
      <c r="BF26" s="192"/>
      <c r="BG26" s="192"/>
      <c r="BH26" s="192"/>
    </row>
    <row r="27">
      <c r="A27" s="155" t="s">
        <v>9158</v>
      </c>
      <c r="B27" s="179"/>
      <c r="C27" s="410" t="s">
        <v>6250</v>
      </c>
      <c r="D27" s="141"/>
      <c r="E27" s="141"/>
      <c r="F27" s="155" t="s">
        <v>9159</v>
      </c>
      <c r="G27" s="179"/>
      <c r="H27" s="410" t="s">
        <v>9119</v>
      </c>
      <c r="I27" s="141"/>
      <c r="J27" s="141"/>
      <c r="K27" s="147" t="s">
        <v>9160</v>
      </c>
      <c r="L27" s="179"/>
      <c r="M27" s="168" t="s">
        <v>6252</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9161</v>
      </c>
      <c r="AA27" s="408"/>
      <c r="AB27" s="192" t="str">
        <f>IFERROR(__xludf.DUMMYFUNCTION("GOOGLETRANSLATE(C27,""zh-tw"",""KO"")"),"감자")</f>
        <v>감자</v>
      </c>
      <c r="AC27" s="192"/>
      <c r="AD27" s="192"/>
      <c r="AE27" s="411" t="s">
        <v>9162</v>
      </c>
      <c r="AF27" s="412"/>
      <c r="AG27" s="410" t="s">
        <v>8989</v>
      </c>
      <c r="AH27" s="413"/>
      <c r="AI27" s="413"/>
      <c r="AJ27" s="414" t="s">
        <v>9163</v>
      </c>
      <c r="AK27" s="408"/>
      <c r="AL27" s="168" t="s">
        <v>6255</v>
      </c>
      <c r="AM27" s="192"/>
      <c r="AN27" s="192"/>
      <c r="AO27" s="191" t="s">
        <v>9164</v>
      </c>
      <c r="AP27" s="179"/>
      <c r="AQ27" s="192" t="s">
        <v>6257</v>
      </c>
      <c r="AR27" s="141"/>
      <c r="AS27" s="141"/>
      <c r="AT27" s="155" t="s">
        <v>9165</v>
      </c>
      <c r="AU27" s="415"/>
      <c r="AV27" s="192" t="s">
        <v>6259</v>
      </c>
      <c r="AW27" s="76"/>
      <c r="AX27" s="76"/>
      <c r="AY27" s="155"/>
      <c r="AZ27" s="415"/>
      <c r="BA27" s="192"/>
      <c r="BB27" s="76"/>
      <c r="BC27" s="76"/>
      <c r="BD27" s="76"/>
      <c r="BE27" s="76"/>
      <c r="BF27" s="76"/>
      <c r="BG27" s="76"/>
      <c r="BH27" s="76"/>
    </row>
    <row r="28">
      <c r="A28" s="155" t="s">
        <v>9166</v>
      </c>
      <c r="B28" s="179"/>
      <c r="C28" s="410" t="s">
        <v>9117</v>
      </c>
      <c r="D28" s="410" t="s">
        <v>9167</v>
      </c>
      <c r="E28" s="141"/>
      <c r="F28" s="155" t="s">
        <v>9168</v>
      </c>
      <c r="G28" s="179"/>
      <c r="H28" s="410" t="s">
        <v>9120</v>
      </c>
      <c r="I28" s="410" t="s">
        <v>9169</v>
      </c>
      <c r="J28" s="141"/>
      <c r="K28" s="147" t="s">
        <v>9170</v>
      </c>
      <c r="L28" s="179"/>
      <c r="M28" s="168" t="s">
        <v>9122</v>
      </c>
      <c r="N28" s="168" t="s">
        <v>8968</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9171</v>
      </c>
      <c r="AA28" s="408"/>
      <c r="AB28" s="192" t="str">
        <f>IFERROR(__xludf.DUMMYFUNCTION("GOOGLETRANSLATE(C28,""zh-tw"",""KO"")"),"당근")</f>
        <v>당근</v>
      </c>
      <c r="AC28" s="192" t="str">
        <f>IFERROR(__xludf.DUMMYFUNCTION("GOOGLETRANSLATE(D28,""zh-tw"",""KO"")"),"버섯")</f>
        <v>버섯</v>
      </c>
      <c r="AD28" s="192"/>
      <c r="AE28" s="411" t="s">
        <v>9172</v>
      </c>
      <c r="AF28" s="412"/>
      <c r="AG28" s="410" t="s">
        <v>9125</v>
      </c>
      <c r="AH28" s="410" t="s">
        <v>9173</v>
      </c>
      <c r="AI28" s="413"/>
      <c r="AJ28" s="414" t="s">
        <v>9174</v>
      </c>
      <c r="AK28" s="408"/>
      <c r="AL28" s="168" t="s">
        <v>9175</v>
      </c>
      <c r="AM28" s="192" t="str">
        <f>IFERROR(__xludf.DUMMYFUNCTION("GOOGLETRANSLATE(D28,""zh-tw"",""de"")"),"Pilze")</f>
        <v>Pilze</v>
      </c>
      <c r="AN28" s="192"/>
      <c r="AO28" s="191" t="s">
        <v>9176</v>
      </c>
      <c r="AP28" s="179"/>
      <c r="AQ28" s="192" t="s">
        <v>9128</v>
      </c>
      <c r="AR28" s="192" t="s">
        <v>8975</v>
      </c>
      <c r="AS28" s="141"/>
      <c r="AT28" s="155" t="s">
        <v>9177</v>
      </c>
      <c r="AU28" s="415"/>
      <c r="AV28" s="192" t="s">
        <v>9129</v>
      </c>
      <c r="AW28" s="192" t="s">
        <v>8977</v>
      </c>
      <c r="AX28" s="76"/>
      <c r="AY28" s="155"/>
      <c r="AZ28" s="415"/>
      <c r="BA28" s="192"/>
      <c r="BB28" s="192"/>
      <c r="BC28" s="76"/>
      <c r="BD28" s="76"/>
      <c r="BE28" s="76"/>
      <c r="BF28" s="76"/>
      <c r="BG28" s="76"/>
      <c r="BH28" s="76"/>
    </row>
    <row r="29">
      <c r="A29" s="155" t="s">
        <v>9178</v>
      </c>
      <c r="B29" s="179"/>
      <c r="C29" s="410" t="s">
        <v>9179</v>
      </c>
      <c r="D29" s="141"/>
      <c r="E29" s="141"/>
      <c r="F29" s="155" t="s">
        <v>9180</v>
      </c>
      <c r="G29" s="179"/>
      <c r="H29" s="410" t="s">
        <v>9181</v>
      </c>
      <c r="I29" s="141"/>
      <c r="J29" s="141"/>
      <c r="K29" s="147" t="s">
        <v>9182</v>
      </c>
      <c r="L29" s="179"/>
      <c r="M29" s="168" t="s">
        <v>9183</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8904</v>
      </c>
      <c r="AF29" s="412"/>
      <c r="AG29" s="410" t="s">
        <v>8904</v>
      </c>
      <c r="AH29" s="413"/>
      <c r="AI29" s="413"/>
      <c r="AJ29" s="414" t="s">
        <v>9184</v>
      </c>
      <c r="AK29" s="408"/>
      <c r="AL29" s="168" t="s">
        <v>9183</v>
      </c>
      <c r="AM29" s="192"/>
      <c r="AN29" s="192"/>
      <c r="AO29" s="191" t="s">
        <v>9182</v>
      </c>
      <c r="AP29" s="179"/>
      <c r="AQ29" s="192" t="s">
        <v>9185</v>
      </c>
      <c r="AR29" s="141"/>
      <c r="AS29" s="141"/>
      <c r="AT29" s="155" t="s">
        <v>9186</v>
      </c>
      <c r="AU29" s="415"/>
      <c r="AV29" s="192" t="s">
        <v>9187</v>
      </c>
      <c r="AW29" s="76"/>
      <c r="AX29" s="76"/>
      <c r="AY29" s="155"/>
      <c r="AZ29" s="415"/>
      <c r="BA29" s="192"/>
      <c r="BB29" s="76"/>
      <c r="BC29" s="76"/>
      <c r="BD29" s="76"/>
      <c r="BE29" s="76"/>
      <c r="BF29" s="76"/>
      <c r="BG29" s="76"/>
      <c r="BH29" s="76"/>
    </row>
    <row r="30">
      <c r="A30" s="155" t="s">
        <v>9188</v>
      </c>
      <c r="B30" s="179"/>
      <c r="C30" s="410" t="s">
        <v>9179</v>
      </c>
      <c r="D30" s="410" t="s">
        <v>9189</v>
      </c>
      <c r="E30" s="141"/>
      <c r="F30" s="155" t="s">
        <v>9190</v>
      </c>
      <c r="G30" s="179"/>
      <c r="H30" s="410" t="s">
        <v>9181</v>
      </c>
      <c r="I30" s="410" t="s">
        <v>9191</v>
      </c>
      <c r="J30" s="141"/>
      <c r="K30" s="147" t="s">
        <v>9192</v>
      </c>
      <c r="L30" s="179"/>
      <c r="M30" s="168" t="s">
        <v>9183</v>
      </c>
      <c r="N30" s="168" t="s">
        <v>9193</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9194</v>
      </c>
      <c r="AF30" s="412"/>
      <c r="AG30" s="410" t="s">
        <v>8904</v>
      </c>
      <c r="AH30" s="410" t="s">
        <v>9195</v>
      </c>
      <c r="AI30" s="413"/>
      <c r="AJ30" s="414" t="s">
        <v>9196</v>
      </c>
      <c r="AK30" s="408"/>
      <c r="AL30" s="168" t="s">
        <v>9183</v>
      </c>
      <c r="AM30" s="168" t="s">
        <v>9197</v>
      </c>
      <c r="AN30" s="192"/>
      <c r="AO30" s="191" t="s">
        <v>9198</v>
      </c>
      <c r="AP30" s="179"/>
      <c r="AQ30" s="192" t="s">
        <v>9185</v>
      </c>
      <c r="AR30" s="192" t="s">
        <v>9199</v>
      </c>
      <c r="AS30" s="141"/>
      <c r="AT30" s="155" t="s">
        <v>9200</v>
      </c>
      <c r="AU30" s="415"/>
      <c r="AV30" s="192" t="s">
        <v>9187</v>
      </c>
      <c r="AW30" s="192" t="s">
        <v>9201</v>
      </c>
      <c r="AX30" s="76"/>
      <c r="AY30" s="155"/>
      <c r="AZ30" s="415"/>
      <c r="BA30" s="192"/>
      <c r="BB30" s="192"/>
      <c r="BC30" s="76"/>
      <c r="BD30" s="76"/>
      <c r="BE30" s="76"/>
      <c r="BF30" s="76"/>
      <c r="BG30" s="76"/>
      <c r="BH30" s="76"/>
    </row>
    <row r="31">
      <c r="A31" s="155" t="s">
        <v>9202</v>
      </c>
      <c r="B31" s="179"/>
      <c r="C31" s="410" t="s">
        <v>9179</v>
      </c>
      <c r="D31" s="410" t="s">
        <v>9203</v>
      </c>
      <c r="E31" s="141"/>
      <c r="F31" s="155" t="s">
        <v>9204</v>
      </c>
      <c r="G31" s="179"/>
      <c r="H31" s="410" t="s">
        <v>9181</v>
      </c>
      <c r="I31" s="410" t="s">
        <v>9205</v>
      </c>
      <c r="J31" s="141"/>
      <c r="K31" s="147" t="s">
        <v>9206</v>
      </c>
      <c r="L31" s="179"/>
      <c r="M31" s="168" t="s">
        <v>9183</v>
      </c>
      <c r="N31" s="168" t="s">
        <v>9207</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9208</v>
      </c>
      <c r="AD31" s="192"/>
      <c r="AE31" s="411" t="s">
        <v>9209</v>
      </c>
      <c r="AF31" s="412"/>
      <c r="AG31" s="410" t="s">
        <v>8904</v>
      </c>
      <c r="AH31" s="410" t="s">
        <v>9210</v>
      </c>
      <c r="AI31" s="413"/>
      <c r="AJ31" s="414" t="s">
        <v>9211</v>
      </c>
      <c r="AK31" s="408"/>
      <c r="AL31" s="168" t="s">
        <v>9183</v>
      </c>
      <c r="AM31" s="168" t="s">
        <v>9212</v>
      </c>
      <c r="AN31" s="192"/>
      <c r="AO31" s="191" t="s">
        <v>9213</v>
      </c>
      <c r="AP31" s="179"/>
      <c r="AQ31" s="192" t="s">
        <v>9185</v>
      </c>
      <c r="AR31" s="192" t="s">
        <v>9214</v>
      </c>
      <c r="AS31" s="141"/>
      <c r="AT31" s="155" t="s">
        <v>9215</v>
      </c>
      <c r="AU31" s="415"/>
      <c r="AV31" s="192" t="s">
        <v>9187</v>
      </c>
      <c r="AW31" s="192" t="s">
        <v>9216</v>
      </c>
      <c r="AX31" s="76"/>
      <c r="AY31" s="155"/>
      <c r="AZ31" s="415"/>
      <c r="BA31" s="192"/>
      <c r="BB31" s="192"/>
      <c r="BC31" s="76"/>
      <c r="BD31" s="76"/>
      <c r="BE31" s="76"/>
      <c r="BF31" s="76"/>
      <c r="BG31" s="76"/>
      <c r="BH31" s="76"/>
    </row>
    <row r="32">
      <c r="A32" s="155" t="s">
        <v>9217</v>
      </c>
      <c r="B32" s="179"/>
      <c r="C32" s="410" t="s">
        <v>8893</v>
      </c>
      <c r="D32" s="410" t="s">
        <v>8894</v>
      </c>
      <c r="E32" s="410" t="s">
        <v>6109</v>
      </c>
      <c r="F32" s="155" t="s">
        <v>9218</v>
      </c>
      <c r="G32" s="179"/>
      <c r="H32" s="410" t="s">
        <v>8896</v>
      </c>
      <c r="I32" s="410" t="s">
        <v>8897</v>
      </c>
      <c r="J32" s="410" t="s">
        <v>9219</v>
      </c>
      <c r="K32" s="127" t="s">
        <v>9220</v>
      </c>
      <c r="L32" s="179"/>
      <c r="M32" s="168" t="s">
        <v>8899</v>
      </c>
      <c r="N32" s="168" t="s">
        <v>8900</v>
      </c>
      <c r="O32" s="168" t="s">
        <v>6113</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8901</v>
      </c>
      <c r="AD32" s="168" t="s">
        <v>6116</v>
      </c>
      <c r="AE32" s="411" t="s">
        <v>9221</v>
      </c>
      <c r="AF32" s="412"/>
      <c r="AG32" s="410" t="s">
        <v>8903</v>
      </c>
      <c r="AH32" s="410" t="s">
        <v>8904</v>
      </c>
      <c r="AI32" s="410" t="s">
        <v>9222</v>
      </c>
      <c r="AJ32" s="414" t="s">
        <v>9223</v>
      </c>
      <c r="AK32" s="408"/>
      <c r="AL32" s="168" t="s">
        <v>8906</v>
      </c>
      <c r="AM32" s="168" t="s">
        <v>8907</v>
      </c>
      <c r="AN32" s="168" t="s">
        <v>9224</v>
      </c>
      <c r="AO32" s="191" t="s">
        <v>9225</v>
      </c>
      <c r="AP32" s="179"/>
      <c r="AQ32" s="192" t="s">
        <v>8909</v>
      </c>
      <c r="AR32" s="192" t="s">
        <v>8910</v>
      </c>
      <c r="AS32" s="192" t="s">
        <v>6121</v>
      </c>
      <c r="AT32" s="155" t="s">
        <v>9226</v>
      </c>
      <c r="AU32" s="415"/>
      <c r="AV32" s="192" t="s">
        <v>8912</v>
      </c>
      <c r="AW32" s="168" t="s">
        <v>8913</v>
      </c>
      <c r="AX32" s="192" t="s">
        <v>6124</v>
      </c>
      <c r="AY32" s="155"/>
      <c r="AZ32" s="415"/>
      <c r="BA32" s="192"/>
      <c r="BB32" s="168"/>
      <c r="BC32" s="192"/>
      <c r="BD32" s="192"/>
      <c r="BE32" s="192"/>
      <c r="BF32" s="192"/>
      <c r="BG32" s="192"/>
      <c r="BH32" s="192"/>
    </row>
    <row r="33">
      <c r="A33" s="155" t="s">
        <v>9227</v>
      </c>
      <c r="B33" s="179"/>
      <c r="C33" s="410" t="s">
        <v>8893</v>
      </c>
      <c r="D33" s="410" t="s">
        <v>6109</v>
      </c>
      <c r="E33" s="141"/>
      <c r="F33" s="155" t="s">
        <v>9228</v>
      </c>
      <c r="G33" s="179"/>
      <c r="H33" s="410" t="s">
        <v>8896</v>
      </c>
      <c r="I33" s="410" t="s">
        <v>9219</v>
      </c>
      <c r="J33" s="141"/>
      <c r="K33" s="147" t="s">
        <v>9229</v>
      </c>
      <c r="L33" s="179"/>
      <c r="M33" s="168" t="s">
        <v>8899</v>
      </c>
      <c r="N33" s="168" t="s">
        <v>9230</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9231</v>
      </c>
      <c r="AA33" s="408"/>
      <c r="AB33" s="192" t="str">
        <f>IFERROR(__xludf.DUMMYFUNCTION("GOOGLETRANSLATE(C33,""zh-tw"",""KO"")"),"흰쌀")</f>
        <v>흰쌀</v>
      </c>
      <c r="AC33" s="197" t="s">
        <v>6116</v>
      </c>
      <c r="AD33" s="192"/>
      <c r="AE33" s="411" t="s">
        <v>9232</v>
      </c>
      <c r="AF33" s="412"/>
      <c r="AG33" s="410" t="s">
        <v>8903</v>
      </c>
      <c r="AH33" s="410" t="s">
        <v>9222</v>
      </c>
      <c r="AI33" s="413"/>
      <c r="AJ33" s="414" t="s">
        <v>9233</v>
      </c>
      <c r="AK33" s="408"/>
      <c r="AL33" s="168" t="s">
        <v>8906</v>
      </c>
      <c r="AM33" s="168" t="s">
        <v>9224</v>
      </c>
      <c r="AN33" s="192"/>
      <c r="AO33" s="191" t="s">
        <v>9229</v>
      </c>
      <c r="AP33" s="179"/>
      <c r="AQ33" s="192" t="s">
        <v>8909</v>
      </c>
      <c r="AR33" s="192" t="s">
        <v>6121</v>
      </c>
      <c r="AS33" s="141"/>
      <c r="AT33" s="155" t="s">
        <v>9229</v>
      </c>
      <c r="AU33" s="415"/>
      <c r="AV33" s="192" t="s">
        <v>8912</v>
      </c>
      <c r="AW33" s="192" t="s">
        <v>6124</v>
      </c>
      <c r="AX33" s="76"/>
      <c r="AY33" s="155"/>
      <c r="AZ33" s="415"/>
      <c r="BA33" s="192"/>
      <c r="BB33" s="192"/>
      <c r="BC33" s="76"/>
      <c r="BD33" s="76"/>
      <c r="BE33" s="76"/>
      <c r="BF33" s="76"/>
      <c r="BG33" s="76"/>
      <c r="BH33" s="76"/>
    </row>
    <row r="34">
      <c r="A34" s="155" t="s">
        <v>9234</v>
      </c>
      <c r="B34" s="179"/>
      <c r="C34" s="410" t="s">
        <v>8893</v>
      </c>
      <c r="D34" s="410" t="s">
        <v>6109</v>
      </c>
      <c r="E34" s="410" t="s">
        <v>6261</v>
      </c>
      <c r="F34" s="155" t="s">
        <v>9235</v>
      </c>
      <c r="G34" s="179"/>
      <c r="H34" s="410" t="s">
        <v>8896</v>
      </c>
      <c r="I34" s="410" t="s">
        <v>9219</v>
      </c>
      <c r="J34" s="410" t="s">
        <v>9236</v>
      </c>
      <c r="K34" s="147" t="s">
        <v>9237</v>
      </c>
      <c r="L34" s="179"/>
      <c r="M34" s="168" t="s">
        <v>8899</v>
      </c>
      <c r="N34" s="168" t="s">
        <v>9230</v>
      </c>
      <c r="O34" s="168" t="s">
        <v>6263</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9238</v>
      </c>
      <c r="AA34" s="408"/>
      <c r="AB34" s="192" t="str">
        <f>IFERROR(__xludf.DUMMYFUNCTION("GOOGLETRANSLATE(C34,""zh-tw"",""KO"")"),"흰쌀")</f>
        <v>흰쌀</v>
      </c>
      <c r="AC34" s="197" t="s">
        <v>6116</v>
      </c>
      <c r="AD34" s="192" t="str">
        <f>IFERROR(__xludf.DUMMYFUNCTION("GOOGLETRANSLATE(E34,""zh-tw"",""KO"")"),"토마토")</f>
        <v>토마토</v>
      </c>
      <c r="AE34" s="411" t="s">
        <v>9239</v>
      </c>
      <c r="AF34" s="412"/>
      <c r="AG34" s="410" t="s">
        <v>8903</v>
      </c>
      <c r="AH34" s="410" t="s">
        <v>9222</v>
      </c>
      <c r="AI34" s="410" t="s">
        <v>9240</v>
      </c>
      <c r="AJ34" s="414" t="s">
        <v>9241</v>
      </c>
      <c r="AK34" s="408"/>
      <c r="AL34" s="168" t="s">
        <v>8906</v>
      </c>
      <c r="AM34" s="168" t="s">
        <v>9224</v>
      </c>
      <c r="AN34" s="168" t="s">
        <v>6269</v>
      </c>
      <c r="AO34" s="191" t="s">
        <v>9242</v>
      </c>
      <c r="AP34" s="179"/>
      <c r="AQ34" s="192" t="s">
        <v>8909</v>
      </c>
      <c r="AR34" s="192" t="s">
        <v>6121</v>
      </c>
      <c r="AS34" s="192" t="s">
        <v>6267</v>
      </c>
      <c r="AT34" s="155" t="s">
        <v>9243</v>
      </c>
      <c r="AU34" s="415"/>
      <c r="AV34" s="192" t="s">
        <v>8912</v>
      </c>
      <c r="AW34" s="192" t="s">
        <v>6124</v>
      </c>
      <c r="AX34" s="192" t="s">
        <v>6263</v>
      </c>
      <c r="AY34" s="155"/>
      <c r="AZ34" s="415"/>
      <c r="BA34" s="192"/>
      <c r="BB34" s="192"/>
      <c r="BC34" s="192"/>
      <c r="BD34" s="192"/>
      <c r="BE34" s="192"/>
      <c r="BF34" s="192"/>
      <c r="BG34" s="192"/>
      <c r="BH34" s="192"/>
    </row>
    <row r="35">
      <c r="A35" s="155" t="s">
        <v>9244</v>
      </c>
      <c r="B35" s="179"/>
      <c r="C35" s="410" t="s">
        <v>8893</v>
      </c>
      <c r="D35" s="410" t="s">
        <v>9245</v>
      </c>
      <c r="E35" s="141"/>
      <c r="F35" s="155" t="s">
        <v>9246</v>
      </c>
      <c r="G35" s="179"/>
      <c r="H35" s="410" t="s">
        <v>8896</v>
      </c>
      <c r="I35" s="410" t="s">
        <v>9247</v>
      </c>
      <c r="J35" s="141"/>
      <c r="K35" s="147" t="s">
        <v>9248</v>
      </c>
      <c r="L35" s="179"/>
      <c r="M35" s="168" t="s">
        <v>8899</v>
      </c>
      <c r="N35" s="168" t="s">
        <v>9207</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9249</v>
      </c>
      <c r="AD35" s="192"/>
      <c r="AE35" s="411" t="s">
        <v>9250</v>
      </c>
      <c r="AF35" s="412"/>
      <c r="AG35" s="410" t="s">
        <v>8903</v>
      </c>
      <c r="AH35" s="410" t="s">
        <v>9251</v>
      </c>
      <c r="AI35" s="413"/>
      <c r="AJ35" s="414" t="s">
        <v>9252</v>
      </c>
      <c r="AK35" s="408"/>
      <c r="AL35" s="168" t="s">
        <v>8906</v>
      </c>
      <c r="AM35" s="168" t="s">
        <v>9253</v>
      </c>
      <c r="AN35" s="192"/>
      <c r="AO35" s="191" t="s">
        <v>9254</v>
      </c>
      <c r="AP35" s="179"/>
      <c r="AQ35" s="192" t="s">
        <v>8909</v>
      </c>
      <c r="AR35" s="192" t="s">
        <v>9214</v>
      </c>
      <c r="AS35" s="141"/>
      <c r="AT35" s="155" t="s">
        <v>9255</v>
      </c>
      <c r="AU35" s="415"/>
      <c r="AV35" s="192" t="s">
        <v>8912</v>
      </c>
      <c r="AW35" s="192" t="s">
        <v>9216</v>
      </c>
      <c r="AX35" s="76"/>
      <c r="AY35" s="155"/>
      <c r="AZ35" s="415"/>
      <c r="BA35" s="192"/>
      <c r="BB35" s="192"/>
      <c r="BC35" s="76"/>
      <c r="BD35" s="76"/>
      <c r="BE35" s="76"/>
      <c r="BF35" s="76"/>
      <c r="BG35" s="76"/>
      <c r="BH35" s="76"/>
    </row>
    <row r="36">
      <c r="A36" s="155" t="s">
        <v>9256</v>
      </c>
      <c r="B36" s="179"/>
      <c r="C36" s="410" t="s">
        <v>9257</v>
      </c>
      <c r="D36" s="141"/>
      <c r="E36" s="141"/>
      <c r="F36" s="155" t="s">
        <v>9258</v>
      </c>
      <c r="G36" s="179"/>
      <c r="H36" s="410" t="s">
        <v>9259</v>
      </c>
      <c r="I36" s="141"/>
      <c r="J36" s="141"/>
      <c r="K36" s="127" t="s">
        <v>9260</v>
      </c>
      <c r="L36" s="179"/>
      <c r="M36" s="168" t="s">
        <v>9261</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9262</v>
      </c>
      <c r="AA36" s="408"/>
      <c r="AB36" s="192" t="str">
        <f>IFERROR(__xludf.DUMMYFUNCTION("GOOGLETRANSLATE(C36,""zh-tw"",""KO"")"),"파인애플")</f>
        <v>파인애플</v>
      </c>
      <c r="AC36" s="192"/>
      <c r="AD36" s="192"/>
      <c r="AE36" s="411" t="s">
        <v>9263</v>
      </c>
      <c r="AF36" s="412"/>
      <c r="AG36" s="410" t="s">
        <v>9264</v>
      </c>
      <c r="AH36" s="413"/>
      <c r="AI36" s="413"/>
      <c r="AJ36" s="414" t="s">
        <v>9265</v>
      </c>
      <c r="AK36" s="408"/>
      <c r="AL36" s="168" t="s">
        <v>9266</v>
      </c>
      <c r="AM36" s="192"/>
      <c r="AN36" s="192"/>
      <c r="AO36" s="191" t="s">
        <v>9267</v>
      </c>
      <c r="AP36" s="179"/>
      <c r="AQ36" s="192" t="s">
        <v>9268</v>
      </c>
      <c r="AR36" s="141"/>
      <c r="AS36" s="141"/>
      <c r="AT36" s="155" t="s">
        <v>9269</v>
      </c>
      <c r="AU36" s="415"/>
      <c r="AV36" s="192" t="s">
        <v>9270</v>
      </c>
      <c r="AW36" s="76"/>
      <c r="AX36" s="76"/>
      <c r="AY36" s="155"/>
      <c r="AZ36" s="415"/>
      <c r="BA36" s="192"/>
      <c r="BB36" s="76"/>
      <c r="BC36" s="76"/>
      <c r="BD36" s="76"/>
      <c r="BE36" s="76"/>
      <c r="BF36" s="76"/>
      <c r="BG36" s="76"/>
      <c r="BH36" s="76"/>
    </row>
    <row r="37">
      <c r="A37" s="162" t="s">
        <v>9271</v>
      </c>
      <c r="B37" s="179"/>
      <c r="C37" s="410" t="s">
        <v>9147</v>
      </c>
      <c r="D37" s="410" t="s">
        <v>9147</v>
      </c>
      <c r="E37" s="141"/>
      <c r="F37" s="155" t="s">
        <v>9272</v>
      </c>
      <c r="G37" s="179"/>
      <c r="H37" s="410" t="s">
        <v>9273</v>
      </c>
      <c r="I37" s="410" t="s">
        <v>9273</v>
      </c>
      <c r="J37" s="141"/>
      <c r="K37" s="147" t="s">
        <v>9274</v>
      </c>
      <c r="L37" s="179"/>
      <c r="M37" s="168" t="s">
        <v>9275</v>
      </c>
      <c r="N37" s="168" t="s">
        <v>9275</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9276</v>
      </c>
      <c r="AA37" s="408"/>
      <c r="AB37" s="192" t="str">
        <f>IFERROR(__xludf.DUMMYFUNCTION("GOOGLETRANSLATE(C37,""zh-tw"",""KO"")"),"채소")</f>
        <v>채소</v>
      </c>
      <c r="AC37" s="192" t="str">
        <f>IFERROR(__xludf.DUMMYFUNCTION("GOOGLETRANSLATE(D37,""zh-tw"",""KO"")"),"채소")</f>
        <v>채소</v>
      </c>
      <c r="AD37" s="192"/>
      <c r="AE37" s="411" t="s">
        <v>9277</v>
      </c>
      <c r="AF37" s="412"/>
      <c r="AG37" s="410" t="s">
        <v>9153</v>
      </c>
      <c r="AH37" s="410" t="s">
        <v>9153</v>
      </c>
      <c r="AI37" s="413"/>
      <c r="AJ37" s="414" t="s">
        <v>9278</v>
      </c>
      <c r="AK37" s="408"/>
      <c r="AL37" s="168" t="s">
        <v>9155</v>
      </c>
      <c r="AM37" s="168" t="s">
        <v>9155</v>
      </c>
      <c r="AN37" s="192"/>
      <c r="AO37" s="151" t="s">
        <v>9279</v>
      </c>
      <c r="AP37" s="179"/>
      <c r="AQ37" s="192" t="s">
        <v>9280</v>
      </c>
      <c r="AR37" s="192" t="s">
        <v>9280</v>
      </c>
      <c r="AS37" s="141"/>
      <c r="AT37" s="155" t="s">
        <v>9281</v>
      </c>
      <c r="AU37" s="415"/>
      <c r="AV37" s="192" t="s">
        <v>9282</v>
      </c>
      <c r="AW37" s="192" t="s">
        <v>9282</v>
      </c>
      <c r="AX37" s="76"/>
      <c r="AY37" s="155"/>
      <c r="AZ37" s="415"/>
      <c r="BA37" s="192"/>
      <c r="BB37" s="192"/>
      <c r="BC37" s="76"/>
      <c r="BD37" s="76"/>
      <c r="BE37" s="76"/>
      <c r="BF37" s="76"/>
      <c r="BG37" s="76"/>
      <c r="BH37" s="76"/>
    </row>
    <row r="38">
      <c r="A38" s="155" t="s">
        <v>9283</v>
      </c>
      <c r="B38" s="394" t="s">
        <v>475</v>
      </c>
      <c r="C38" s="410" t="s">
        <v>9284</v>
      </c>
      <c r="D38" s="410" t="s">
        <v>9284</v>
      </c>
      <c r="E38" s="410" t="s">
        <v>8915</v>
      </c>
      <c r="F38" s="155" t="s">
        <v>9285</v>
      </c>
      <c r="G38" s="394" t="s">
        <v>475</v>
      </c>
      <c r="H38" s="410" t="s">
        <v>9286</v>
      </c>
      <c r="I38" s="410" t="s">
        <v>9286</v>
      </c>
      <c r="J38" s="410" t="s">
        <v>8917</v>
      </c>
      <c r="K38" s="127" t="s">
        <v>9287</v>
      </c>
      <c r="L38" s="394" t="s">
        <v>475</v>
      </c>
      <c r="M38" s="168" t="s">
        <v>9288</v>
      </c>
      <c r="N38" s="168" t="s">
        <v>9288</v>
      </c>
      <c r="O38" s="168" t="s">
        <v>8919</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9289</v>
      </c>
      <c r="AA38" s="408" t="s">
        <v>475</v>
      </c>
      <c r="AB38" s="168" t="s">
        <v>9290</v>
      </c>
      <c r="AC38" s="168" t="s">
        <v>9290</v>
      </c>
      <c r="AD38" s="192" t="str">
        <f>IFERROR(__xludf.DUMMYFUNCTION("GOOGLETRANSLATE(E38,""zh-tw"",""KO"")"),"밀가루")</f>
        <v>밀가루</v>
      </c>
      <c r="AE38" s="411" t="s">
        <v>9291</v>
      </c>
      <c r="AF38" s="407" t="s">
        <v>8854</v>
      </c>
      <c r="AG38" s="410" t="s">
        <v>9292</v>
      </c>
      <c r="AH38" s="410" t="s">
        <v>9292</v>
      </c>
      <c r="AI38" s="410" t="s">
        <v>8922</v>
      </c>
      <c r="AJ38" s="414" t="s">
        <v>9293</v>
      </c>
      <c r="AK38" s="408" t="s">
        <v>475</v>
      </c>
      <c r="AL38" s="168" t="s">
        <v>9294</v>
      </c>
      <c r="AM38" s="168" t="s">
        <v>9294</v>
      </c>
      <c r="AN38" s="168" t="s">
        <v>8924</v>
      </c>
      <c r="AO38" s="191" t="s">
        <v>9295</v>
      </c>
      <c r="AP38" s="394" t="s">
        <v>475</v>
      </c>
      <c r="AQ38" s="192" t="s">
        <v>9296</v>
      </c>
      <c r="AR38" s="192" t="s">
        <v>9296</v>
      </c>
      <c r="AS38" s="192" t="s">
        <v>8926</v>
      </c>
      <c r="AT38" s="155" t="s">
        <v>9297</v>
      </c>
      <c r="AU38" s="394" t="s">
        <v>475</v>
      </c>
      <c r="AV38" s="192" t="s">
        <v>9298</v>
      </c>
      <c r="AW38" s="192" t="s">
        <v>9298</v>
      </c>
      <c r="AX38" s="192" t="s">
        <v>8928</v>
      </c>
      <c r="AY38" s="155"/>
      <c r="AZ38" s="394"/>
      <c r="BA38" s="192"/>
      <c r="BB38" s="192"/>
      <c r="BC38" s="192"/>
      <c r="BD38" s="192"/>
      <c r="BE38" s="192"/>
      <c r="BF38" s="192"/>
      <c r="BG38" s="192"/>
      <c r="BH38" s="192"/>
    </row>
    <row r="39">
      <c r="A39" s="162" t="s">
        <v>9299</v>
      </c>
      <c r="B39" s="394" t="s">
        <v>475</v>
      </c>
      <c r="C39" s="410" t="s">
        <v>9284</v>
      </c>
      <c r="D39" s="141"/>
      <c r="E39" s="141"/>
      <c r="F39" s="155" t="s">
        <v>9300</v>
      </c>
      <c r="G39" s="394" t="s">
        <v>475</v>
      </c>
      <c r="H39" s="410" t="s">
        <v>9286</v>
      </c>
      <c r="I39" s="141"/>
      <c r="J39" s="141"/>
      <c r="K39" s="147" t="s">
        <v>9301</v>
      </c>
      <c r="L39" s="394" t="s">
        <v>475</v>
      </c>
      <c r="M39" s="168" t="s">
        <v>9288</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9290</v>
      </c>
      <c r="AC39" s="192"/>
      <c r="AD39" s="192"/>
      <c r="AE39" s="411" t="s">
        <v>9302</v>
      </c>
      <c r="AF39" s="407" t="s">
        <v>8854</v>
      </c>
      <c r="AG39" s="410" t="s">
        <v>9292</v>
      </c>
      <c r="AH39" s="413"/>
      <c r="AI39" s="413"/>
      <c r="AJ39" s="414" t="s">
        <v>9303</v>
      </c>
      <c r="AK39" s="408" t="s">
        <v>475</v>
      </c>
      <c r="AL39" s="168" t="s">
        <v>9294</v>
      </c>
      <c r="AM39" s="192"/>
      <c r="AN39" s="192"/>
      <c r="AO39" s="151" t="s">
        <v>9304</v>
      </c>
      <c r="AP39" s="394" t="s">
        <v>475</v>
      </c>
      <c r="AQ39" s="192" t="s">
        <v>9296</v>
      </c>
      <c r="AR39" s="141"/>
      <c r="AS39" s="141"/>
      <c r="AT39" s="155" t="s">
        <v>9305</v>
      </c>
      <c r="AU39" s="394" t="s">
        <v>475</v>
      </c>
      <c r="AV39" s="192" t="s">
        <v>9298</v>
      </c>
      <c r="AW39" s="76"/>
      <c r="AX39" s="76"/>
      <c r="AY39" s="155"/>
      <c r="AZ39" s="394"/>
      <c r="BA39" s="192"/>
      <c r="BB39" s="76"/>
      <c r="BC39" s="76"/>
      <c r="BD39" s="76"/>
      <c r="BE39" s="76"/>
      <c r="BF39" s="76"/>
      <c r="BG39" s="76"/>
      <c r="BH39" s="76"/>
    </row>
    <row r="40">
      <c r="A40" s="155" t="s">
        <v>9306</v>
      </c>
      <c r="B40" s="394" t="s">
        <v>475</v>
      </c>
      <c r="C40" s="410" t="s">
        <v>8893</v>
      </c>
      <c r="D40" s="410" t="s">
        <v>9284</v>
      </c>
      <c r="E40" s="141"/>
      <c r="F40" s="155" t="s">
        <v>9307</v>
      </c>
      <c r="G40" s="394" t="s">
        <v>475</v>
      </c>
      <c r="H40" s="410" t="s">
        <v>8896</v>
      </c>
      <c r="I40" s="410" t="s">
        <v>9286</v>
      </c>
      <c r="J40" s="141"/>
      <c r="K40" s="147" t="s">
        <v>9308</v>
      </c>
      <c r="L40" s="394" t="s">
        <v>475</v>
      </c>
      <c r="M40" s="168" t="s">
        <v>9045</v>
      </c>
      <c r="N40" s="168" t="s">
        <v>9288</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9309</v>
      </c>
      <c r="AA40" s="408" t="s">
        <v>475</v>
      </c>
      <c r="AB40" s="192" t="str">
        <f>IFERROR(__xludf.DUMMYFUNCTION("GOOGLETRANSLATE(C40,""zh-tw"",""KO"")"),"흰쌀")</f>
        <v>흰쌀</v>
      </c>
      <c r="AC40" s="168" t="s">
        <v>9290</v>
      </c>
      <c r="AD40" s="192"/>
      <c r="AE40" s="411" t="s">
        <v>9310</v>
      </c>
      <c r="AF40" s="407" t="s">
        <v>8854</v>
      </c>
      <c r="AG40" s="410" t="s">
        <v>8903</v>
      </c>
      <c r="AH40" s="410" t="s">
        <v>9292</v>
      </c>
      <c r="AI40" s="413"/>
      <c r="AJ40" s="414" t="s">
        <v>9311</v>
      </c>
      <c r="AK40" s="408" t="s">
        <v>475</v>
      </c>
      <c r="AL40" s="168" t="s">
        <v>8906</v>
      </c>
      <c r="AM40" s="168" t="s">
        <v>9294</v>
      </c>
      <c r="AN40" s="192"/>
      <c r="AO40" s="191" t="s">
        <v>9308</v>
      </c>
      <c r="AP40" s="394" t="s">
        <v>475</v>
      </c>
      <c r="AQ40" s="192" t="s">
        <v>8909</v>
      </c>
      <c r="AR40" s="192" t="s">
        <v>9296</v>
      </c>
      <c r="AS40" s="141"/>
      <c r="AT40" s="155" t="s">
        <v>9308</v>
      </c>
      <c r="AU40" s="394" t="s">
        <v>475</v>
      </c>
      <c r="AV40" s="192" t="s">
        <v>8912</v>
      </c>
      <c r="AW40" s="192" t="s">
        <v>9298</v>
      </c>
      <c r="AX40" s="76"/>
      <c r="AY40" s="155"/>
      <c r="AZ40" s="394"/>
      <c r="BA40" s="192"/>
      <c r="BB40" s="192"/>
      <c r="BC40" s="76"/>
      <c r="BD40" s="76"/>
      <c r="BE40" s="76"/>
      <c r="BF40" s="76"/>
      <c r="BG40" s="76"/>
      <c r="BH40" s="76"/>
    </row>
    <row r="41">
      <c r="A41" s="155" t="s">
        <v>9312</v>
      </c>
      <c r="B41" s="179"/>
      <c r="C41" s="410" t="s">
        <v>9313</v>
      </c>
      <c r="D41" s="410" t="s">
        <v>9313</v>
      </c>
      <c r="E41" s="410" t="s">
        <v>9313</v>
      </c>
      <c r="F41" s="155" t="s">
        <v>9314</v>
      </c>
      <c r="G41" s="417"/>
      <c r="H41" s="410" t="s">
        <v>9247</v>
      </c>
      <c r="I41" s="410" t="s">
        <v>9247</v>
      </c>
      <c r="J41" s="410" t="s">
        <v>9247</v>
      </c>
      <c r="K41" s="147" t="s">
        <v>9315</v>
      </c>
      <c r="L41" s="179"/>
      <c r="M41" s="168" t="s">
        <v>9316</v>
      </c>
      <c r="N41" s="168" t="s">
        <v>9316</v>
      </c>
      <c r="O41" s="168" t="s">
        <v>9316</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9317</v>
      </c>
      <c r="AA41" s="408"/>
      <c r="AB41" s="168" t="s">
        <v>9249</v>
      </c>
      <c r="AC41" s="168" t="s">
        <v>9249</v>
      </c>
      <c r="AD41" s="168" t="s">
        <v>9249</v>
      </c>
      <c r="AE41" s="411" t="s">
        <v>9318</v>
      </c>
      <c r="AF41" s="412"/>
      <c r="AG41" s="410" t="s">
        <v>9251</v>
      </c>
      <c r="AH41" s="410" t="s">
        <v>9251</v>
      </c>
      <c r="AI41" s="410" t="s">
        <v>9251</v>
      </c>
      <c r="AJ41" s="414" t="s">
        <v>9319</v>
      </c>
      <c r="AK41" s="408"/>
      <c r="AL41" s="168" t="s">
        <v>9253</v>
      </c>
      <c r="AM41" s="168" t="s">
        <v>9253</v>
      </c>
      <c r="AN41" s="168" t="s">
        <v>9253</v>
      </c>
      <c r="AO41" s="191" t="s">
        <v>9320</v>
      </c>
      <c r="AP41" s="179"/>
      <c r="AQ41" s="192" t="s">
        <v>9321</v>
      </c>
      <c r="AR41" s="192" t="s">
        <v>9321</v>
      </c>
      <c r="AS41" s="192" t="s">
        <v>9321</v>
      </c>
      <c r="AT41" s="155" t="s">
        <v>9322</v>
      </c>
      <c r="AU41" s="415"/>
      <c r="AV41" s="192" t="s">
        <v>9323</v>
      </c>
      <c r="AW41" s="192" t="s">
        <v>9323</v>
      </c>
      <c r="AX41" s="192" t="s">
        <v>9323</v>
      </c>
      <c r="AY41" s="155"/>
      <c r="AZ41" s="415"/>
      <c r="BA41" s="192"/>
      <c r="BB41" s="192"/>
      <c r="BC41" s="192"/>
      <c r="BD41" s="192"/>
      <c r="BE41" s="192"/>
      <c r="BF41" s="192"/>
      <c r="BG41" s="192"/>
      <c r="BH41" s="192"/>
    </row>
    <row r="42">
      <c r="A42" s="155" t="s">
        <v>9324</v>
      </c>
      <c r="B42" s="179"/>
      <c r="C42" s="410" t="s">
        <v>9325</v>
      </c>
      <c r="D42" s="410" t="s">
        <v>9325</v>
      </c>
      <c r="E42" s="410" t="s">
        <v>9325</v>
      </c>
      <c r="F42" s="155" t="s">
        <v>9326</v>
      </c>
      <c r="G42" s="417"/>
      <c r="H42" s="410" t="s">
        <v>9327</v>
      </c>
      <c r="I42" s="410" t="s">
        <v>9327</v>
      </c>
      <c r="J42" s="410" t="s">
        <v>9327</v>
      </c>
      <c r="K42" s="147" t="s">
        <v>9328</v>
      </c>
      <c r="L42" s="179"/>
      <c r="M42" s="168" t="s">
        <v>9329</v>
      </c>
      <c r="N42" s="168" t="s">
        <v>9329</v>
      </c>
      <c r="O42" s="168" t="s">
        <v>9329</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9330</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9331</v>
      </c>
      <c r="AF42" s="412"/>
      <c r="AG42" s="410" t="s">
        <v>9332</v>
      </c>
      <c r="AH42" s="410" t="s">
        <v>9332</v>
      </c>
      <c r="AI42" s="410" t="s">
        <v>9332</v>
      </c>
      <c r="AJ42" s="414" t="s">
        <v>9333</v>
      </c>
      <c r="AK42" s="408"/>
      <c r="AL42" s="168" t="s">
        <v>9334</v>
      </c>
      <c r="AM42" s="168" t="s">
        <v>9334</v>
      </c>
      <c r="AN42" s="168" t="s">
        <v>9334</v>
      </c>
      <c r="AO42" s="191" t="s">
        <v>9335</v>
      </c>
      <c r="AP42" s="179"/>
      <c r="AQ42" s="192" t="s">
        <v>9336</v>
      </c>
      <c r="AR42" s="192" t="s">
        <v>9336</v>
      </c>
      <c r="AS42" s="192" t="s">
        <v>9336</v>
      </c>
      <c r="AT42" s="155" t="s">
        <v>9337</v>
      </c>
      <c r="AU42" s="415"/>
      <c r="AV42" s="192" t="s">
        <v>9338</v>
      </c>
      <c r="AW42" s="192" t="s">
        <v>9338</v>
      </c>
      <c r="AX42" s="192" t="s">
        <v>9338</v>
      </c>
      <c r="AY42" s="155"/>
      <c r="AZ42" s="415"/>
      <c r="BA42" s="192"/>
      <c r="BB42" s="192"/>
      <c r="BC42" s="192"/>
      <c r="BD42" s="192"/>
      <c r="BE42" s="192"/>
      <c r="BF42" s="192"/>
      <c r="BG42" s="192"/>
      <c r="BH42" s="192"/>
    </row>
    <row r="43">
      <c r="A43" s="162" t="s">
        <v>9339</v>
      </c>
      <c r="B43" s="179"/>
      <c r="C43" s="410" t="s">
        <v>9340</v>
      </c>
      <c r="D43" s="141"/>
      <c r="E43" s="141"/>
      <c r="F43" s="155" t="s">
        <v>9341</v>
      </c>
      <c r="G43" s="417"/>
      <c r="H43" s="410" t="s">
        <v>9342</v>
      </c>
      <c r="I43" s="141"/>
      <c r="J43" s="141"/>
      <c r="K43" s="147" t="s">
        <v>9343</v>
      </c>
      <c r="L43" s="179"/>
      <c r="M43" s="168" t="s">
        <v>9344</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9345</v>
      </c>
      <c r="AF43" s="412"/>
      <c r="AG43" s="410" t="s">
        <v>9346</v>
      </c>
      <c r="AH43" s="413"/>
      <c r="AI43" s="413"/>
      <c r="AJ43" s="414" t="s">
        <v>9347</v>
      </c>
      <c r="AK43" s="408"/>
      <c r="AL43" s="168" t="s">
        <v>9348</v>
      </c>
      <c r="AM43" s="192"/>
      <c r="AN43" s="192"/>
      <c r="AO43" s="151" t="s">
        <v>9349</v>
      </c>
      <c r="AP43" s="179"/>
      <c r="AQ43" s="192" t="s">
        <v>9350</v>
      </c>
      <c r="AR43" s="192" t="s">
        <v>8926</v>
      </c>
      <c r="AS43" s="141"/>
      <c r="AT43" s="155" t="s">
        <v>9351</v>
      </c>
      <c r="AU43" s="415"/>
      <c r="AV43" s="192" t="s">
        <v>9352</v>
      </c>
      <c r="AW43" s="76"/>
      <c r="AX43" s="76"/>
      <c r="AY43" s="155"/>
      <c r="AZ43" s="415"/>
      <c r="BA43" s="192"/>
      <c r="BB43" s="76"/>
      <c r="BC43" s="76"/>
      <c r="BD43" s="76"/>
      <c r="BE43" s="76"/>
      <c r="BF43" s="76"/>
      <c r="BG43" s="76"/>
      <c r="BH43" s="76"/>
    </row>
    <row r="44">
      <c r="A44" s="155" t="s">
        <v>9353</v>
      </c>
      <c r="B44" s="417"/>
      <c r="C44" s="410" t="s">
        <v>9131</v>
      </c>
      <c r="D44" s="410" t="s">
        <v>8915</v>
      </c>
      <c r="E44" s="141"/>
      <c r="F44" s="155" t="s">
        <v>9354</v>
      </c>
      <c r="G44" s="417"/>
      <c r="H44" s="410" t="s">
        <v>9133</v>
      </c>
      <c r="I44" s="410" t="s">
        <v>8917</v>
      </c>
      <c r="J44" s="141"/>
      <c r="K44" s="147" t="s">
        <v>9355</v>
      </c>
      <c r="L44" s="179"/>
      <c r="M44" s="168" t="s">
        <v>9135</v>
      </c>
      <c r="N44" s="168" t="s">
        <v>8919</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9356</v>
      </c>
      <c r="AA44" s="408"/>
      <c r="AB44" s="168" t="s">
        <v>9137</v>
      </c>
      <c r="AC44" s="192" t="str">
        <f>IFERROR(__xludf.DUMMYFUNCTION("GOOGLETRANSLATE(D44,""zh-tw"",""KO"")"),"밀가루")</f>
        <v>밀가루</v>
      </c>
      <c r="AD44" s="192"/>
      <c r="AE44" s="411" t="s">
        <v>9357</v>
      </c>
      <c r="AF44" s="412"/>
      <c r="AG44" s="410" t="s">
        <v>9139</v>
      </c>
      <c r="AH44" s="410" t="s">
        <v>8922</v>
      </c>
      <c r="AI44" s="413"/>
      <c r="AJ44" s="414" t="s">
        <v>9358</v>
      </c>
      <c r="AK44" s="408"/>
      <c r="AL44" s="168" t="s">
        <v>9141</v>
      </c>
      <c r="AM44" s="168" t="s">
        <v>8924</v>
      </c>
      <c r="AN44" s="192"/>
      <c r="AO44" s="191" t="s">
        <v>9355</v>
      </c>
      <c r="AP44" s="179"/>
      <c r="AQ44" s="192" t="s">
        <v>9143</v>
      </c>
      <c r="AR44" s="141"/>
      <c r="AS44" s="141"/>
      <c r="AT44" s="155" t="s">
        <v>9355</v>
      </c>
      <c r="AU44" s="415"/>
      <c r="AV44" s="192" t="s">
        <v>9135</v>
      </c>
      <c r="AW44" s="192" t="s">
        <v>8928</v>
      </c>
      <c r="AX44" s="76"/>
      <c r="AY44" s="155"/>
      <c r="AZ44" s="415"/>
      <c r="BA44" s="192"/>
      <c r="BB44" s="192"/>
      <c r="BC44" s="76"/>
      <c r="BD44" s="76"/>
      <c r="BE44" s="76"/>
      <c r="BF44" s="76"/>
      <c r="BG44" s="76"/>
      <c r="BH44" s="76"/>
    </row>
    <row r="45">
      <c r="A45" s="155" t="s">
        <v>9359</v>
      </c>
      <c r="B45" s="417"/>
      <c r="C45" s="410" t="s">
        <v>8979</v>
      </c>
      <c r="D45" s="141"/>
      <c r="E45" s="141"/>
      <c r="F45" s="155" t="s">
        <v>9021</v>
      </c>
      <c r="G45" s="417"/>
      <c r="H45" s="410" t="s">
        <v>8981</v>
      </c>
      <c r="I45" s="141"/>
      <c r="J45" s="141"/>
      <c r="K45" s="147" t="s">
        <v>9360</v>
      </c>
      <c r="L45" s="179"/>
      <c r="M45" s="168" t="s">
        <v>8984</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9361</v>
      </c>
      <c r="AA45" s="408"/>
      <c r="AB45" s="168" t="s">
        <v>8986</v>
      </c>
      <c r="AC45" s="192"/>
      <c r="AD45" s="192"/>
      <c r="AE45" s="411" t="s">
        <v>9362</v>
      </c>
      <c r="AF45" s="412"/>
      <c r="AG45" s="410" t="s">
        <v>8988</v>
      </c>
      <c r="AH45" s="413"/>
      <c r="AI45" s="413"/>
      <c r="AJ45" s="414" t="s">
        <v>9363</v>
      </c>
      <c r="AK45" s="408"/>
      <c r="AL45" s="168" t="s">
        <v>8991</v>
      </c>
      <c r="AM45" s="192"/>
      <c r="AN45" s="192"/>
      <c r="AO45" s="191" t="s">
        <v>9364</v>
      </c>
      <c r="AP45" s="179"/>
      <c r="AQ45" s="192" t="s">
        <v>8992</v>
      </c>
      <c r="AR45" s="141"/>
      <c r="AS45" s="141"/>
      <c r="AT45" s="155" t="s">
        <v>9365</v>
      </c>
      <c r="AU45" s="415"/>
      <c r="AV45" s="192" t="s">
        <v>8993</v>
      </c>
      <c r="AW45" s="76"/>
      <c r="AX45" s="76"/>
      <c r="AY45" s="155"/>
      <c r="AZ45" s="415"/>
      <c r="BA45" s="192"/>
      <c r="BB45" s="76"/>
      <c r="BC45" s="76"/>
      <c r="BD45" s="76"/>
      <c r="BE45" s="76"/>
      <c r="BF45" s="76"/>
      <c r="BG45" s="76"/>
      <c r="BH45" s="76"/>
    </row>
    <row r="46">
      <c r="A46" s="155" t="s">
        <v>9366</v>
      </c>
      <c r="B46" s="394" t="s">
        <v>1252</v>
      </c>
      <c r="C46" s="410" t="s">
        <v>6250</v>
      </c>
      <c r="D46" s="410" t="s">
        <v>6271</v>
      </c>
      <c r="E46" s="141"/>
      <c r="F46" s="155" t="s">
        <v>9367</v>
      </c>
      <c r="G46" s="394" t="s">
        <v>1252</v>
      </c>
      <c r="H46" s="410" t="s">
        <v>9119</v>
      </c>
      <c r="I46" s="410" t="s">
        <v>9368</v>
      </c>
      <c r="J46" s="141"/>
      <c r="K46" s="147" t="s">
        <v>9369</v>
      </c>
      <c r="L46" s="394" t="s">
        <v>1252</v>
      </c>
      <c r="M46" s="168" t="s">
        <v>6252</v>
      </c>
      <c r="N46" s="168" t="s">
        <v>6273</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9370</v>
      </c>
      <c r="AA46" s="408" t="s">
        <v>1252</v>
      </c>
      <c r="AB46" s="192" t="str">
        <f>IFERROR(__xludf.DUMMYFUNCTION("GOOGLETRANSLATE(C46,""zh-tw"",""KO"")"),"감자")</f>
        <v>감자</v>
      </c>
      <c r="AC46" s="197" t="s">
        <v>9371</v>
      </c>
      <c r="AD46" s="192"/>
      <c r="AE46" s="411" t="s">
        <v>9372</v>
      </c>
      <c r="AF46" s="407" t="s">
        <v>8866</v>
      </c>
      <c r="AG46" s="410" t="s">
        <v>8989</v>
      </c>
      <c r="AH46" s="410" t="s">
        <v>9373</v>
      </c>
      <c r="AI46" s="413"/>
      <c r="AJ46" s="414" t="s">
        <v>9374</v>
      </c>
      <c r="AK46" s="408" t="s">
        <v>1252</v>
      </c>
      <c r="AL46" s="168" t="s">
        <v>6255</v>
      </c>
      <c r="AM46" s="168" t="s">
        <v>9375</v>
      </c>
      <c r="AN46" s="192"/>
      <c r="AO46" s="191" t="s">
        <v>9376</v>
      </c>
      <c r="AP46" s="394" t="s">
        <v>1252</v>
      </c>
      <c r="AQ46" s="192" t="s">
        <v>6257</v>
      </c>
      <c r="AR46" s="192" t="s">
        <v>6277</v>
      </c>
      <c r="AS46" s="141"/>
      <c r="AT46" s="155" t="s">
        <v>9377</v>
      </c>
      <c r="AU46" s="394" t="s">
        <v>1252</v>
      </c>
      <c r="AV46" s="192" t="s">
        <v>6259</v>
      </c>
      <c r="AW46" s="192" t="s">
        <v>6273</v>
      </c>
      <c r="AX46" s="76"/>
      <c r="AY46" s="155"/>
      <c r="AZ46" s="394"/>
      <c r="BA46" s="192"/>
      <c r="BB46" s="192"/>
      <c r="BC46" s="76"/>
      <c r="BD46" s="76"/>
      <c r="BE46" s="76"/>
      <c r="BF46" s="76"/>
      <c r="BG46" s="76"/>
      <c r="BH46" s="76"/>
    </row>
    <row r="47">
      <c r="A47" s="155" t="s">
        <v>9378</v>
      </c>
      <c r="B47" s="394" t="s">
        <v>1252</v>
      </c>
      <c r="C47" s="410" t="s">
        <v>6271</v>
      </c>
      <c r="D47" s="141"/>
      <c r="E47" s="141"/>
      <c r="F47" s="155" t="s">
        <v>9379</v>
      </c>
      <c r="G47" s="394" t="s">
        <v>1252</v>
      </c>
      <c r="H47" s="410" t="s">
        <v>9368</v>
      </c>
      <c r="I47" s="141"/>
      <c r="J47" s="141"/>
      <c r="K47" s="147" t="s">
        <v>9380</v>
      </c>
      <c r="L47" s="394" t="s">
        <v>1252</v>
      </c>
      <c r="M47" s="168" t="s">
        <v>6273</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9381</v>
      </c>
      <c r="AA47" s="408" t="s">
        <v>1252</v>
      </c>
      <c r="AB47" s="197" t="s">
        <v>9371</v>
      </c>
      <c r="AC47" s="192"/>
      <c r="AD47" s="192"/>
      <c r="AE47" s="411" t="s">
        <v>9382</v>
      </c>
      <c r="AF47" s="407" t="s">
        <v>8866</v>
      </c>
      <c r="AG47" s="410" t="s">
        <v>9373</v>
      </c>
      <c r="AH47" s="413"/>
      <c r="AI47" s="413"/>
      <c r="AJ47" s="414" t="s">
        <v>9383</v>
      </c>
      <c r="AK47" s="408" t="s">
        <v>1252</v>
      </c>
      <c r="AL47" s="168" t="s">
        <v>9375</v>
      </c>
      <c r="AM47" s="192"/>
      <c r="AN47" s="192"/>
      <c r="AO47" s="191" t="s">
        <v>9384</v>
      </c>
      <c r="AP47" s="394" t="s">
        <v>1252</v>
      </c>
      <c r="AQ47" s="192" t="s">
        <v>6277</v>
      </c>
      <c r="AR47" s="141"/>
      <c r="AS47" s="141"/>
      <c r="AT47" s="155" t="s">
        <v>9385</v>
      </c>
      <c r="AU47" s="394" t="s">
        <v>1252</v>
      </c>
      <c r="AV47" s="192" t="s">
        <v>6273</v>
      </c>
      <c r="AW47" s="76"/>
      <c r="AX47" s="76"/>
      <c r="AY47" s="155"/>
      <c r="AZ47" s="394"/>
      <c r="BA47" s="192"/>
      <c r="BB47" s="76"/>
      <c r="BC47" s="76"/>
      <c r="BD47" s="76"/>
      <c r="BE47" s="76"/>
      <c r="BF47" s="76"/>
      <c r="BG47" s="76"/>
      <c r="BH47" s="76"/>
    </row>
    <row r="48">
      <c r="A48" s="155" t="s">
        <v>9386</v>
      </c>
      <c r="B48" s="417"/>
      <c r="C48" s="410" t="s">
        <v>8879</v>
      </c>
      <c r="D48" s="410" t="s">
        <v>9053</v>
      </c>
      <c r="E48" s="141"/>
      <c r="F48" s="155" t="s">
        <v>9387</v>
      </c>
      <c r="G48" s="417"/>
      <c r="H48" s="410" t="s">
        <v>8881</v>
      </c>
      <c r="I48" s="410" t="s">
        <v>9055</v>
      </c>
      <c r="J48" s="141"/>
      <c r="K48" s="147" t="s">
        <v>9388</v>
      </c>
      <c r="L48" s="179"/>
      <c r="M48" s="168" t="s">
        <v>8883</v>
      </c>
      <c r="N48" s="168" t="s">
        <v>9057</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9389</v>
      </c>
      <c r="AA48" s="408"/>
      <c r="AB48" s="197" t="s">
        <v>8884</v>
      </c>
      <c r="AC48" s="168" t="s">
        <v>9058</v>
      </c>
      <c r="AD48" s="192"/>
      <c r="AE48" s="411" t="s">
        <v>9390</v>
      </c>
      <c r="AF48" s="412"/>
      <c r="AG48" s="410" t="s">
        <v>8886</v>
      </c>
      <c r="AH48" s="410" t="s">
        <v>9059</v>
      </c>
      <c r="AI48" s="413"/>
      <c r="AJ48" s="414" t="s">
        <v>9391</v>
      </c>
      <c r="AK48" s="408"/>
      <c r="AL48" s="168" t="s">
        <v>8888</v>
      </c>
      <c r="AM48" s="168" t="s">
        <v>9061</v>
      </c>
      <c r="AN48" s="192"/>
      <c r="AO48" s="191" t="s">
        <v>9392</v>
      </c>
      <c r="AP48" s="179"/>
      <c r="AQ48" s="192" t="s">
        <v>8890</v>
      </c>
      <c r="AR48" s="192" t="s">
        <v>9063</v>
      </c>
      <c r="AS48" s="141"/>
      <c r="AT48" s="155" t="s">
        <v>9393</v>
      </c>
      <c r="AU48" s="415"/>
      <c r="AV48" s="192" t="s">
        <v>8891</v>
      </c>
      <c r="AW48" s="192" t="s">
        <v>9394</v>
      </c>
      <c r="AX48" s="76"/>
      <c r="AY48" s="155"/>
      <c r="AZ48" s="415"/>
      <c r="BA48" s="192"/>
      <c r="BB48" s="192"/>
      <c r="BC48" s="76"/>
      <c r="BD48" s="76"/>
      <c r="BE48" s="76"/>
      <c r="BF48" s="76"/>
      <c r="BG48" s="76"/>
      <c r="BH48" s="76"/>
    </row>
    <row r="49">
      <c r="A49" s="155" t="s">
        <v>9395</v>
      </c>
      <c r="B49" s="417"/>
      <c r="C49" s="410" t="s">
        <v>8879</v>
      </c>
      <c r="D49" s="410" t="s">
        <v>9053</v>
      </c>
      <c r="E49" s="141"/>
      <c r="F49" s="155" t="s">
        <v>9396</v>
      </c>
      <c r="G49" s="417"/>
      <c r="H49" s="410" t="s">
        <v>8881</v>
      </c>
      <c r="I49" s="410" t="s">
        <v>9055</v>
      </c>
      <c r="J49" s="141"/>
      <c r="K49" s="147" t="s">
        <v>9397</v>
      </c>
      <c r="L49" s="179"/>
      <c r="M49" s="168" t="s">
        <v>8883</v>
      </c>
      <c r="N49" s="168" t="s">
        <v>9057</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9398</v>
      </c>
      <c r="AA49" s="408"/>
      <c r="AB49" s="197" t="s">
        <v>8884</v>
      </c>
      <c r="AC49" s="197" t="s">
        <v>9058</v>
      </c>
      <c r="AD49" s="192"/>
      <c r="AE49" s="411" t="s">
        <v>9399</v>
      </c>
      <c r="AF49" s="412"/>
      <c r="AG49" s="410" t="s">
        <v>8886</v>
      </c>
      <c r="AH49" s="410" t="s">
        <v>9059</v>
      </c>
      <c r="AI49" s="413"/>
      <c r="AJ49" s="414" t="s">
        <v>9400</v>
      </c>
      <c r="AK49" s="408"/>
      <c r="AL49" s="168" t="s">
        <v>8888</v>
      </c>
      <c r="AM49" s="168" t="s">
        <v>9061</v>
      </c>
      <c r="AN49" s="192"/>
      <c r="AO49" s="191" t="s">
        <v>9401</v>
      </c>
      <c r="AP49" s="179"/>
      <c r="AQ49" s="192" t="s">
        <v>8890</v>
      </c>
      <c r="AR49" s="192" t="s">
        <v>9063</v>
      </c>
      <c r="AS49" s="141"/>
      <c r="AT49" s="155" t="s">
        <v>9402</v>
      </c>
      <c r="AU49" s="415"/>
      <c r="AV49" s="192" t="s">
        <v>8891</v>
      </c>
      <c r="AW49" s="192" t="s">
        <v>9394</v>
      </c>
      <c r="AX49" s="76"/>
      <c r="AY49" s="155"/>
      <c r="AZ49" s="415"/>
      <c r="BA49" s="192"/>
      <c r="BB49" s="192"/>
      <c r="BC49" s="76"/>
      <c r="BD49" s="76"/>
      <c r="BE49" s="76"/>
      <c r="BF49" s="76"/>
      <c r="BG49" s="76"/>
      <c r="BH49" s="76"/>
    </row>
    <row r="50">
      <c r="A50" s="155" t="s">
        <v>9403</v>
      </c>
      <c r="B50" s="418" t="s">
        <v>9404</v>
      </c>
      <c r="C50" s="410" t="s">
        <v>8879</v>
      </c>
      <c r="D50" s="410" t="s">
        <v>9053</v>
      </c>
      <c r="E50" s="410" t="s">
        <v>9405</v>
      </c>
      <c r="F50" s="155" t="s">
        <v>9406</v>
      </c>
      <c r="G50" s="418" t="s">
        <v>9407</v>
      </c>
      <c r="H50" s="410" t="s">
        <v>8881</v>
      </c>
      <c r="I50" s="410" t="s">
        <v>9055</v>
      </c>
      <c r="J50" s="410" t="s">
        <v>9408</v>
      </c>
      <c r="K50" s="147" t="s">
        <v>9409</v>
      </c>
      <c r="L50" s="419" t="s">
        <v>9410</v>
      </c>
      <c r="M50" s="168" t="s">
        <v>8883</v>
      </c>
      <c r="N50" s="168" t="s">
        <v>9057</v>
      </c>
      <c r="O50" s="168" t="s">
        <v>9411</v>
      </c>
      <c r="P50" s="147" t="str">
        <f>IFERROR(__xludf.DUMMYFUNCTION("GOOGLETRANSLATE(A50,""zh-tw"",""zh"")"),"水怪软糖(红)")</f>
        <v>水怪软糖(红)</v>
      </c>
      <c r="Q50" s="418" t="s">
        <v>9404</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9412</v>
      </c>
      <c r="AA50" s="408" t="s">
        <v>9413</v>
      </c>
      <c r="AB50" s="168" t="s">
        <v>8884</v>
      </c>
      <c r="AC50" s="197" t="s">
        <v>9058</v>
      </c>
      <c r="AD50" s="192" t="str">
        <f>IFERROR(__xludf.DUMMYFUNCTION("GOOGLETRANSLATE(E50,""zh-tw"",""KO"")"),"토마토/피망")</f>
        <v>토마토/피망</v>
      </c>
      <c r="AE50" s="411" t="s">
        <v>9414</v>
      </c>
      <c r="AF50" s="407" t="s">
        <v>9415</v>
      </c>
      <c r="AG50" s="410" t="s">
        <v>8886</v>
      </c>
      <c r="AH50" s="410" t="s">
        <v>9059</v>
      </c>
      <c r="AI50" s="410" t="s">
        <v>9416</v>
      </c>
      <c r="AJ50" s="414" t="s">
        <v>9417</v>
      </c>
      <c r="AK50" s="408" t="s">
        <v>1252</v>
      </c>
      <c r="AL50" s="168" t="s">
        <v>8888</v>
      </c>
      <c r="AM50" s="168" t="s">
        <v>9061</v>
      </c>
      <c r="AN50" s="192" t="str">
        <f>IFERROR(__xludf.DUMMYFUNCTION("GOOGLETRANSLATE(E50,""zh-tw"",""de"")"),"Tomaten/Paprika")</f>
        <v>Tomaten/Paprika</v>
      </c>
      <c r="AO50" s="191" t="s">
        <v>9418</v>
      </c>
      <c r="AP50" s="188" t="s">
        <v>9419</v>
      </c>
      <c r="AQ50" s="192" t="s">
        <v>8890</v>
      </c>
      <c r="AR50" s="192" t="s">
        <v>9063</v>
      </c>
      <c r="AS50" s="192" t="s">
        <v>9420</v>
      </c>
      <c r="AT50" s="155" t="s">
        <v>9421</v>
      </c>
      <c r="AU50" s="404" t="s">
        <v>9422</v>
      </c>
      <c r="AV50" s="192" t="s">
        <v>8891</v>
      </c>
      <c r="AW50" s="192" t="s">
        <v>9394</v>
      </c>
      <c r="AX50" s="192" t="s">
        <v>9423</v>
      </c>
      <c r="AY50" s="155"/>
      <c r="AZ50" s="404"/>
      <c r="BA50" s="192"/>
      <c r="BB50" s="192"/>
      <c r="BC50" s="192"/>
      <c r="BD50" s="192"/>
      <c r="BE50" s="192"/>
      <c r="BF50" s="192"/>
      <c r="BG50" s="192"/>
      <c r="BH50" s="192"/>
    </row>
    <row r="51">
      <c r="A51" s="155" t="s">
        <v>9424</v>
      </c>
      <c r="B51" s="417"/>
      <c r="C51" s="410" t="s">
        <v>8915</v>
      </c>
      <c r="D51" s="141"/>
      <c r="E51" s="141"/>
      <c r="F51" s="155" t="s">
        <v>9425</v>
      </c>
      <c r="G51" s="417"/>
      <c r="H51" s="410" t="s">
        <v>8917</v>
      </c>
      <c r="I51" s="141"/>
      <c r="J51" s="141"/>
      <c r="K51" s="147" t="s">
        <v>9426</v>
      </c>
      <c r="L51" s="179"/>
      <c r="M51" s="168" t="s">
        <v>8919</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9427</v>
      </c>
      <c r="AF51" s="412"/>
      <c r="AG51" s="410" t="s">
        <v>8922</v>
      </c>
      <c r="AH51" s="413"/>
      <c r="AI51" s="413"/>
      <c r="AJ51" s="414" t="s">
        <v>9428</v>
      </c>
      <c r="AK51" s="408"/>
      <c r="AL51" s="168" t="s">
        <v>8924</v>
      </c>
      <c r="AM51" s="192"/>
      <c r="AN51" s="192"/>
      <c r="AO51" s="191" t="s">
        <v>9429</v>
      </c>
      <c r="AP51" s="179"/>
      <c r="AQ51" s="192" t="s">
        <v>8926</v>
      </c>
      <c r="AR51" s="141"/>
      <c r="AS51" s="141"/>
      <c r="AT51" s="155" t="s">
        <v>9430</v>
      </c>
      <c r="AU51" s="415"/>
      <c r="AV51" s="192" t="s">
        <v>8928</v>
      </c>
      <c r="AW51" s="76"/>
      <c r="AX51" s="76"/>
      <c r="AY51" s="155"/>
      <c r="AZ51" s="415"/>
      <c r="BA51" s="192"/>
      <c r="BB51" s="76"/>
      <c r="BC51" s="76"/>
      <c r="BD51" s="76"/>
      <c r="BE51" s="76"/>
      <c r="BF51" s="76"/>
      <c r="BG51" s="76"/>
      <c r="BH51" s="76"/>
    </row>
    <row r="52">
      <c r="A52" s="155" t="s">
        <v>9431</v>
      </c>
      <c r="B52" s="417"/>
      <c r="C52" s="410" t="s">
        <v>6234</v>
      </c>
      <c r="D52" s="410" t="s">
        <v>8915</v>
      </c>
      <c r="E52" s="141"/>
      <c r="F52" s="155" t="s">
        <v>9432</v>
      </c>
      <c r="G52" s="417"/>
      <c r="H52" s="410" t="s">
        <v>9433</v>
      </c>
      <c r="I52" s="410" t="s">
        <v>8917</v>
      </c>
      <c r="J52" s="141"/>
      <c r="K52" s="147" t="s">
        <v>9434</v>
      </c>
      <c r="L52" s="179"/>
      <c r="M52" s="168" t="s">
        <v>6238</v>
      </c>
      <c r="N52" s="168" t="s">
        <v>8919</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9435</v>
      </c>
      <c r="AF52" s="412"/>
      <c r="AG52" s="410" t="s">
        <v>9436</v>
      </c>
      <c r="AH52" s="410" t="s">
        <v>8922</v>
      </c>
      <c r="AI52" s="413"/>
      <c r="AJ52" s="414" t="s">
        <v>9437</v>
      </c>
      <c r="AK52" s="408"/>
      <c r="AL52" s="168" t="s">
        <v>9438</v>
      </c>
      <c r="AM52" s="168" t="s">
        <v>8924</v>
      </c>
      <c r="AN52" s="192"/>
      <c r="AO52" s="191" t="s">
        <v>9439</v>
      </c>
      <c r="AP52" s="179"/>
      <c r="AQ52" s="192" t="s">
        <v>6244</v>
      </c>
      <c r="AR52" s="192" t="s">
        <v>8926</v>
      </c>
      <c r="AS52" s="141"/>
      <c r="AT52" s="155" t="s">
        <v>9440</v>
      </c>
      <c r="AU52" s="415"/>
      <c r="AV52" s="192" t="s">
        <v>6247</v>
      </c>
      <c r="AW52" s="192" t="s">
        <v>8928</v>
      </c>
      <c r="AX52" s="76"/>
      <c r="AY52" s="155"/>
      <c r="AZ52" s="415"/>
      <c r="BA52" s="192"/>
      <c r="BB52" s="192"/>
      <c r="BC52" s="76"/>
      <c r="BD52" s="76"/>
      <c r="BE52" s="76"/>
      <c r="BF52" s="76"/>
      <c r="BG52" s="76"/>
      <c r="BH52" s="76"/>
    </row>
    <row r="53">
      <c r="A53" s="155" t="s">
        <v>9441</v>
      </c>
      <c r="B53" s="417"/>
      <c r="C53" s="410" t="s">
        <v>6261</v>
      </c>
      <c r="D53" s="141"/>
      <c r="E53" s="141"/>
      <c r="F53" s="155" t="s">
        <v>9442</v>
      </c>
      <c r="G53" s="417"/>
      <c r="H53" s="410" t="s">
        <v>9236</v>
      </c>
      <c r="I53" s="141"/>
      <c r="J53" s="141"/>
      <c r="K53" s="147" t="s">
        <v>9443</v>
      </c>
      <c r="L53" s="179"/>
      <c r="M53" s="168" t="s">
        <v>6263</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9444</v>
      </c>
      <c r="AF53" s="412"/>
      <c r="AG53" s="410" t="s">
        <v>9240</v>
      </c>
      <c r="AH53" s="413"/>
      <c r="AI53" s="413"/>
      <c r="AJ53" s="414" t="s">
        <v>9445</v>
      </c>
      <c r="AK53" s="408"/>
      <c r="AL53" s="168" t="s">
        <v>6269</v>
      </c>
      <c r="AM53" s="192"/>
      <c r="AN53" s="192"/>
      <c r="AO53" s="191" t="s">
        <v>9446</v>
      </c>
      <c r="AP53" s="179"/>
      <c r="AQ53" s="192" t="s">
        <v>6257</v>
      </c>
      <c r="AR53" s="141"/>
      <c r="AS53" s="141"/>
      <c r="AT53" s="155" t="s">
        <v>9447</v>
      </c>
      <c r="AU53" s="415"/>
      <c r="AV53" s="192" t="s">
        <v>6269</v>
      </c>
      <c r="AW53" s="76"/>
      <c r="AX53" s="76"/>
      <c r="AY53" s="155"/>
      <c r="AZ53" s="415"/>
      <c r="BA53" s="192"/>
      <c r="BB53" s="76"/>
      <c r="BC53" s="76"/>
      <c r="BD53" s="76"/>
      <c r="BE53" s="76"/>
      <c r="BF53" s="76"/>
      <c r="BG53" s="76"/>
      <c r="BH53" s="76"/>
    </row>
    <row r="54">
      <c r="A54" s="155" t="s">
        <v>6234</v>
      </c>
      <c r="B54" s="417"/>
      <c r="C54" s="410" t="s">
        <v>6234</v>
      </c>
      <c r="D54" s="141"/>
      <c r="E54" s="141"/>
      <c r="F54" s="155" t="s">
        <v>9448</v>
      </c>
      <c r="G54" s="417"/>
      <c r="H54" s="410" t="s">
        <v>9433</v>
      </c>
      <c r="I54" s="141"/>
      <c r="J54" s="141"/>
      <c r="K54" s="147" t="s">
        <v>6238</v>
      </c>
      <c r="L54" s="179"/>
      <c r="M54" s="168" t="s">
        <v>6238</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9449</v>
      </c>
      <c r="AF54" s="412"/>
      <c r="AG54" s="410" t="s">
        <v>9436</v>
      </c>
      <c r="AH54" s="413"/>
      <c r="AI54" s="413"/>
      <c r="AJ54" s="414" t="s">
        <v>9438</v>
      </c>
      <c r="AK54" s="408"/>
      <c r="AL54" s="168" t="s">
        <v>9438</v>
      </c>
      <c r="AM54" s="192"/>
      <c r="AN54" s="192"/>
      <c r="AO54" s="191" t="s">
        <v>6244</v>
      </c>
      <c r="AP54" s="179"/>
      <c r="AQ54" s="192" t="s">
        <v>6244</v>
      </c>
      <c r="AR54" s="141"/>
      <c r="AS54" s="141"/>
      <c r="AT54" s="155" t="s">
        <v>6247</v>
      </c>
      <c r="AU54" s="415"/>
      <c r="AV54" s="192" t="s">
        <v>6247</v>
      </c>
      <c r="AW54" s="76"/>
      <c r="AX54" s="76"/>
      <c r="AY54" s="155"/>
      <c r="AZ54" s="415"/>
      <c r="BA54" s="192"/>
      <c r="BB54" s="76"/>
      <c r="BC54" s="76"/>
      <c r="BD54" s="76"/>
      <c r="BE54" s="76"/>
      <c r="BF54" s="76"/>
      <c r="BG54" s="76"/>
      <c r="BH54" s="76"/>
    </row>
    <row r="55">
      <c r="A55" s="162" t="s">
        <v>9450</v>
      </c>
      <c r="B55" s="179"/>
      <c r="C55" s="420" t="s">
        <v>9284</v>
      </c>
      <c r="D55" s="420" t="s">
        <v>9451</v>
      </c>
      <c r="E55" s="420" t="s">
        <v>9452</v>
      </c>
      <c r="F55" s="139"/>
      <c r="G55" s="417"/>
      <c r="H55" s="141"/>
      <c r="I55" s="141"/>
      <c r="J55" s="141"/>
      <c r="K55" s="127" t="s">
        <v>9453</v>
      </c>
      <c r="L55" s="404"/>
      <c r="M55" s="168" t="s">
        <v>9288</v>
      </c>
      <c r="N55" s="168" t="s">
        <v>9454</v>
      </c>
      <c r="O55" s="168" t="s">
        <v>8899</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9455</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9456</v>
      </c>
      <c r="AF55" s="412"/>
      <c r="AG55" s="410" t="s">
        <v>9457</v>
      </c>
      <c r="AH55" s="410" t="s">
        <v>9458</v>
      </c>
      <c r="AI55" s="410" t="s">
        <v>8903</v>
      </c>
      <c r="AJ55" s="139"/>
      <c r="AK55" s="179"/>
      <c r="AL55" s="141"/>
      <c r="AM55" s="141"/>
      <c r="AN55" s="141"/>
      <c r="AO55" s="166" t="s">
        <v>9459</v>
      </c>
      <c r="AP55" s="404"/>
      <c r="AQ55" s="168" t="s">
        <v>9296</v>
      </c>
      <c r="AR55" s="168" t="s">
        <v>9460</v>
      </c>
      <c r="AS55" s="168" t="s">
        <v>8909</v>
      </c>
      <c r="AT55" s="162" t="s">
        <v>9461</v>
      </c>
      <c r="AU55" s="415"/>
      <c r="AV55" s="168" t="s">
        <v>9298</v>
      </c>
      <c r="AW55" s="168" t="s">
        <v>9462</v>
      </c>
      <c r="AX55" s="192" t="s">
        <v>8912</v>
      </c>
      <c r="AY55" s="162"/>
      <c r="AZ55" s="415"/>
      <c r="BA55" s="168"/>
      <c r="BB55" s="168"/>
      <c r="BC55" s="192"/>
      <c r="BD55" s="192"/>
      <c r="BE55" s="192"/>
      <c r="BF55" s="192"/>
      <c r="BG55" s="192"/>
      <c r="BH55" s="192"/>
    </row>
    <row r="56">
      <c r="A56" s="162" t="s">
        <v>9463</v>
      </c>
      <c r="B56" s="179"/>
      <c r="C56" s="420" t="s">
        <v>9284</v>
      </c>
      <c r="D56" s="420" t="s">
        <v>9464</v>
      </c>
      <c r="E56" s="420" t="s">
        <v>9452</v>
      </c>
      <c r="F56" s="139"/>
      <c r="G56" s="417"/>
      <c r="H56" s="141"/>
      <c r="I56" s="141"/>
      <c r="J56" s="141"/>
      <c r="K56" s="127" t="s">
        <v>9465</v>
      </c>
      <c r="L56" s="179"/>
      <c r="M56" s="168" t="s">
        <v>9288</v>
      </c>
      <c r="N56" s="168" t="s">
        <v>8900</v>
      </c>
      <c r="O56" s="168" t="s">
        <v>8899</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9466</v>
      </c>
      <c r="AF56" s="412"/>
      <c r="AG56" s="410" t="s">
        <v>9457</v>
      </c>
      <c r="AH56" s="410" t="s">
        <v>8904</v>
      </c>
      <c r="AI56" s="410" t="s">
        <v>8903</v>
      </c>
      <c r="AJ56" s="139"/>
      <c r="AK56" s="179"/>
      <c r="AL56" s="141"/>
      <c r="AM56" s="141"/>
      <c r="AN56" s="141"/>
      <c r="AO56" s="166" t="s">
        <v>9467</v>
      </c>
      <c r="AP56" s="404"/>
      <c r="AQ56" s="168" t="s">
        <v>9296</v>
      </c>
      <c r="AR56" s="168" t="s">
        <v>8910</v>
      </c>
      <c r="AS56" s="168" t="s">
        <v>8909</v>
      </c>
      <c r="AT56" s="162" t="s">
        <v>9468</v>
      </c>
      <c r="AU56" s="415"/>
      <c r="AV56" s="168" t="s">
        <v>9298</v>
      </c>
      <c r="AW56" s="421" t="s">
        <v>8913</v>
      </c>
      <c r="AX56" s="192" t="s">
        <v>8912</v>
      </c>
      <c r="AY56" s="162"/>
      <c r="AZ56" s="415"/>
      <c r="BA56" s="168"/>
      <c r="BB56" s="421"/>
      <c r="BC56" s="192"/>
      <c r="BD56" s="192"/>
      <c r="BE56" s="192"/>
      <c r="BF56" s="192"/>
      <c r="BG56" s="192"/>
      <c r="BH56" s="192"/>
    </row>
    <row r="57">
      <c r="A57" s="162" t="s">
        <v>9469</v>
      </c>
      <c r="B57" s="179"/>
      <c r="C57" s="420" t="s">
        <v>9117</v>
      </c>
      <c r="D57" s="420" t="s">
        <v>9117</v>
      </c>
      <c r="E57" s="420" t="s">
        <v>9117</v>
      </c>
      <c r="F57" s="139"/>
      <c r="G57" s="179"/>
      <c r="H57" s="141"/>
      <c r="I57" s="141"/>
      <c r="J57" s="141"/>
      <c r="K57" s="127" t="s">
        <v>9470</v>
      </c>
      <c r="L57" s="179"/>
      <c r="M57" s="168" t="s">
        <v>9122</v>
      </c>
      <c r="N57" s="168" t="s">
        <v>9122</v>
      </c>
      <c r="O57" s="168" t="s">
        <v>9122</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9471</v>
      </c>
      <c r="AF57" s="412"/>
      <c r="AG57" s="410" t="s">
        <v>9125</v>
      </c>
      <c r="AH57" s="410" t="s">
        <v>9125</v>
      </c>
      <c r="AI57" s="410" t="s">
        <v>9125</v>
      </c>
      <c r="AJ57" s="139"/>
      <c r="AK57" s="179"/>
      <c r="AL57" s="141"/>
      <c r="AM57" s="141"/>
      <c r="AN57" s="141"/>
      <c r="AO57" s="166" t="s">
        <v>9472</v>
      </c>
      <c r="AP57" s="404"/>
      <c r="AQ57" s="168" t="s">
        <v>9128</v>
      </c>
      <c r="AR57" s="168" t="s">
        <v>9128</v>
      </c>
      <c r="AS57" s="168" t="s">
        <v>9128</v>
      </c>
      <c r="AT57" s="162" t="s">
        <v>9473</v>
      </c>
      <c r="AU57" s="415"/>
      <c r="AV57" s="168" t="s">
        <v>9129</v>
      </c>
      <c r="AW57" s="168" t="s">
        <v>9129</v>
      </c>
      <c r="AX57" s="168" t="s">
        <v>9129</v>
      </c>
      <c r="AY57" s="162"/>
      <c r="AZ57" s="415"/>
      <c r="BA57" s="168"/>
      <c r="BB57" s="168"/>
      <c r="BC57" s="168"/>
      <c r="BD57" s="168"/>
      <c r="BE57" s="168"/>
      <c r="BF57" s="168"/>
      <c r="BG57" s="168"/>
      <c r="BH57" s="168"/>
    </row>
    <row r="58">
      <c r="A58" s="422" t="s">
        <v>9474</v>
      </c>
      <c r="B58" s="417"/>
      <c r="C58" s="423" t="s">
        <v>9475</v>
      </c>
      <c r="D58" s="424" t="s">
        <v>9476</v>
      </c>
      <c r="E58" s="425"/>
      <c r="F58" s="426" t="s">
        <v>9477</v>
      </c>
      <c r="G58" s="427" t="s">
        <v>9475</v>
      </c>
      <c r="H58" s="423" t="s">
        <v>9475</v>
      </c>
      <c r="I58" s="424" t="s">
        <v>9476</v>
      </c>
      <c r="J58" s="425"/>
      <c r="K58" s="428" t="s">
        <v>9478</v>
      </c>
      <c r="L58" s="417"/>
      <c r="M58" s="423" t="s">
        <v>9479</v>
      </c>
      <c r="N58" s="429" t="s">
        <v>9476</v>
      </c>
      <c r="O58" s="425"/>
      <c r="P58" s="428" t="s">
        <v>9480</v>
      </c>
      <c r="Q58" s="394"/>
      <c r="R58" s="423" t="s">
        <v>9481</v>
      </c>
      <c r="S58" s="423" t="s">
        <v>9476</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9482</v>
      </c>
      <c r="AF58" s="412"/>
      <c r="AG58" s="410" t="s">
        <v>8903</v>
      </c>
      <c r="AH58" s="430" t="s">
        <v>9476</v>
      </c>
      <c r="AI58" s="413"/>
      <c r="AJ58" s="431" t="s">
        <v>9478</v>
      </c>
      <c r="AK58" s="179"/>
      <c r="AL58" s="432" t="s">
        <v>9483</v>
      </c>
      <c r="AM58" s="433" t="s">
        <v>9476</v>
      </c>
      <c r="AN58" s="141"/>
      <c r="AO58" s="434" t="s">
        <v>9484</v>
      </c>
      <c r="AP58" s="404"/>
      <c r="AQ58" s="433" t="s">
        <v>9485</v>
      </c>
      <c r="AR58" s="433" t="s">
        <v>9476</v>
      </c>
      <c r="AS58" s="192"/>
      <c r="AT58" s="422" t="s">
        <v>9486</v>
      </c>
      <c r="AU58" s="415"/>
      <c r="AV58" s="432" t="s">
        <v>8912</v>
      </c>
      <c r="AW58" s="435" t="s">
        <v>9476</v>
      </c>
      <c r="AX58" s="436"/>
      <c r="AY58" s="437" t="s">
        <v>9487</v>
      </c>
      <c r="AZ58" s="415"/>
      <c r="BA58" s="432" t="s">
        <v>9488</v>
      </c>
      <c r="BB58" s="435" t="s">
        <v>9476</v>
      </c>
      <c r="BC58" s="436"/>
      <c r="BD58" s="141"/>
      <c r="BE58" s="141"/>
      <c r="BF58" s="141"/>
      <c r="BG58" s="141"/>
      <c r="BH58" s="141"/>
    </row>
    <row r="59">
      <c r="A59" s="422" t="s">
        <v>9489</v>
      </c>
      <c r="B59" s="417"/>
      <c r="C59" s="423" t="s">
        <v>9475</v>
      </c>
      <c r="D59" s="424" t="s">
        <v>9476</v>
      </c>
      <c r="E59" s="424" t="s">
        <v>9490</v>
      </c>
      <c r="F59" s="426" t="s">
        <v>9491</v>
      </c>
      <c r="G59" s="427" t="s">
        <v>9475</v>
      </c>
      <c r="H59" s="423" t="s">
        <v>9475</v>
      </c>
      <c r="I59" s="424" t="s">
        <v>9476</v>
      </c>
      <c r="J59" s="424" t="s">
        <v>9492</v>
      </c>
      <c r="K59" s="428" t="s">
        <v>9493</v>
      </c>
      <c r="L59" s="417"/>
      <c r="M59" s="423" t="s">
        <v>9479</v>
      </c>
      <c r="N59" s="429" t="s">
        <v>9476</v>
      </c>
      <c r="O59" s="423" t="s">
        <v>9494</v>
      </c>
      <c r="P59" s="428" t="s">
        <v>9495</v>
      </c>
      <c r="Q59" s="394"/>
      <c r="R59" s="423" t="s">
        <v>9481</v>
      </c>
      <c r="S59" s="423" t="s">
        <v>9476</v>
      </c>
      <c r="T59" s="423" t="s">
        <v>9496</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9497</v>
      </c>
      <c r="AF59" s="412"/>
      <c r="AG59" s="410" t="s">
        <v>8903</v>
      </c>
      <c r="AH59" s="430" t="s">
        <v>9476</v>
      </c>
      <c r="AI59" s="410" t="s">
        <v>9498</v>
      </c>
      <c r="AJ59" s="431" t="s">
        <v>9499</v>
      </c>
      <c r="AK59" s="179"/>
      <c r="AL59" s="432" t="s">
        <v>9483</v>
      </c>
      <c r="AM59" s="433" t="s">
        <v>9476</v>
      </c>
      <c r="AN59" s="432" t="s">
        <v>9500</v>
      </c>
      <c r="AO59" s="434" t="s">
        <v>9501</v>
      </c>
      <c r="AP59" s="404"/>
      <c r="AQ59" s="433" t="s">
        <v>9502</v>
      </c>
      <c r="AR59" s="433" t="s">
        <v>9476</v>
      </c>
      <c r="AS59" s="433" t="s">
        <v>9503</v>
      </c>
      <c r="AT59" s="422" t="s">
        <v>9504</v>
      </c>
      <c r="AU59" s="415"/>
      <c r="AV59" s="432" t="s">
        <v>8912</v>
      </c>
      <c r="AW59" s="435" t="s">
        <v>9476</v>
      </c>
      <c r="AX59" s="435" t="s">
        <v>9505</v>
      </c>
      <c r="AY59" s="437" t="s">
        <v>9506</v>
      </c>
      <c r="AZ59" s="415"/>
      <c r="BA59" s="432" t="s">
        <v>9488</v>
      </c>
      <c r="BB59" s="435" t="s">
        <v>9476</v>
      </c>
      <c r="BC59" s="435" t="s">
        <v>9507</v>
      </c>
      <c r="BD59" s="141"/>
      <c r="BE59" s="141"/>
      <c r="BF59" s="141"/>
      <c r="BG59" s="141"/>
      <c r="BH59" s="141"/>
    </row>
    <row r="60">
      <c r="A60" s="422" t="s">
        <v>9508</v>
      </c>
      <c r="B60" s="417"/>
      <c r="C60" s="423" t="s">
        <v>9475</v>
      </c>
      <c r="D60" s="424" t="s">
        <v>9476</v>
      </c>
      <c r="E60" s="424" t="s">
        <v>9509</v>
      </c>
      <c r="F60" s="426" t="s">
        <v>9510</v>
      </c>
      <c r="G60" s="427" t="s">
        <v>9475</v>
      </c>
      <c r="H60" s="423" t="s">
        <v>9475</v>
      </c>
      <c r="I60" s="424" t="s">
        <v>9476</v>
      </c>
      <c r="J60" s="424" t="s">
        <v>9509</v>
      </c>
      <c r="K60" s="428" t="s">
        <v>9511</v>
      </c>
      <c r="L60" s="417"/>
      <c r="M60" s="423" t="s">
        <v>9479</v>
      </c>
      <c r="N60" s="429" t="s">
        <v>9476</v>
      </c>
      <c r="O60" s="423" t="s">
        <v>9512</v>
      </c>
      <c r="P60" s="428" t="s">
        <v>9513</v>
      </c>
      <c r="Q60" s="394"/>
      <c r="R60" s="423" t="s">
        <v>9481</v>
      </c>
      <c r="S60" s="423" t="s">
        <v>9476</v>
      </c>
      <c r="T60" s="423" t="s">
        <v>9509</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9514</v>
      </c>
      <c r="AF60" s="412"/>
      <c r="AG60" s="410" t="s">
        <v>8903</v>
      </c>
      <c r="AH60" s="430" t="s">
        <v>9476</v>
      </c>
      <c r="AI60" s="410" t="s">
        <v>9515</v>
      </c>
      <c r="AJ60" s="431" t="s">
        <v>9516</v>
      </c>
      <c r="AK60" s="179"/>
      <c r="AL60" s="432" t="s">
        <v>9483</v>
      </c>
      <c r="AM60" s="433" t="s">
        <v>9476</v>
      </c>
      <c r="AN60" s="432" t="s">
        <v>9517</v>
      </c>
      <c r="AO60" s="139"/>
      <c r="AP60" s="179"/>
      <c r="AQ60" s="433" t="s">
        <v>9502</v>
      </c>
      <c r="AR60" s="433" t="s">
        <v>9476</v>
      </c>
      <c r="AS60" s="433" t="s">
        <v>9518</v>
      </c>
      <c r="AT60" s="422" t="s">
        <v>9519</v>
      </c>
      <c r="AU60" s="415"/>
      <c r="AV60" s="432" t="s">
        <v>8912</v>
      </c>
      <c r="AW60" s="435" t="s">
        <v>9476</v>
      </c>
      <c r="AX60" s="435" t="s">
        <v>9520</v>
      </c>
      <c r="AY60" s="437" t="s">
        <v>9521</v>
      </c>
      <c r="AZ60" s="415"/>
      <c r="BA60" s="432" t="s">
        <v>9488</v>
      </c>
      <c r="BB60" s="435" t="s">
        <v>9476</v>
      </c>
      <c r="BC60" s="435" t="s">
        <v>9522</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9523</v>
      </c>
      <c r="B1" s="27" t="s">
        <v>9524</v>
      </c>
      <c r="C1" s="439" t="s">
        <v>9525</v>
      </c>
      <c r="D1" s="219" t="s">
        <v>9526</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9527</v>
      </c>
      <c r="J1" s="27" t="s">
        <v>9528</v>
      </c>
      <c r="K1" s="439" t="s">
        <v>9529</v>
      </c>
      <c r="L1" s="219" t="s">
        <v>9530</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9531</v>
      </c>
      <c r="Z1" s="85" t="s">
        <v>9532</v>
      </c>
      <c r="AA1" s="326" t="s">
        <v>9533</v>
      </c>
      <c r="AB1" s="84" t="s">
        <v>9534</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9535</v>
      </c>
      <c r="AH1" s="443" t="s">
        <v>9536</v>
      </c>
      <c r="AI1" s="444" t="s">
        <v>9537</v>
      </c>
      <c r="AJ1" s="445" t="s">
        <v>5568</v>
      </c>
      <c r="AK1" s="446" t="s">
        <v>9538</v>
      </c>
      <c r="AL1" s="447" t="s">
        <v>9539</v>
      </c>
      <c r="AM1" s="448" t="s">
        <v>9540</v>
      </c>
      <c r="AN1" s="449" t="s">
        <v>5572</v>
      </c>
      <c r="AO1" s="191"/>
      <c r="AP1" s="447"/>
      <c r="AQ1" s="448"/>
      <c r="AR1" s="449"/>
      <c r="AS1" s="450"/>
      <c r="AT1" s="450"/>
    </row>
    <row r="2" ht="26.25" customHeight="1">
      <c r="A2" s="451" t="s">
        <v>9541</v>
      </c>
      <c r="B2" s="197" t="s">
        <v>9542</v>
      </c>
      <c r="C2" s="452" t="s">
        <v>1120</v>
      </c>
      <c r="D2" s="453" t="s">
        <v>9543</v>
      </c>
      <c r="E2" s="451" t="s">
        <v>9544</v>
      </c>
      <c r="F2" s="376" t="str">
        <f>IFERROR(__xludf.DUMMYFUNCTION("GOOGLETRANSLATE(B2,""zh-tw"",""ja"")"),"少し落ち着かない気分です")</f>
        <v>少し落ち着かない気分です</v>
      </c>
      <c r="G2" s="454" t="str">
        <f>IFERROR(__xludf.DUMMYFUNCTION("GOOGLETRANSLATE(C2,""zh-tw"",""ja"")"),"-")</f>
        <v>-</v>
      </c>
      <c r="H2" s="453" t="s">
        <v>9545</v>
      </c>
      <c r="I2" s="451" t="s">
        <v>9546</v>
      </c>
      <c r="J2" s="197" t="s">
        <v>9547</v>
      </c>
      <c r="K2" s="454" t="str">
        <f>IFERROR(__xludf.DUMMYFUNCTION("GOOGLETRANSLATE(C2,""zh-tw"",""en"")"),"-")</f>
        <v>-</v>
      </c>
      <c r="L2" s="453" t="s">
        <v>9548</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9549</v>
      </c>
      <c r="Z2" s="192" t="s">
        <v>9550</v>
      </c>
      <c r="AA2" s="338" t="s">
        <v>1120</v>
      </c>
      <c r="AB2" s="189" t="s">
        <v>9551</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9552</v>
      </c>
      <c r="AH2" s="153" t="s">
        <v>9553</v>
      </c>
      <c r="AI2" s="339" t="s">
        <v>1120</v>
      </c>
      <c r="AJ2" s="152" t="s">
        <v>9554</v>
      </c>
      <c r="AK2" s="151" t="s">
        <v>9555</v>
      </c>
      <c r="AL2" s="153" t="s">
        <v>9556</v>
      </c>
      <c r="AM2" s="339" t="s">
        <v>1120</v>
      </c>
      <c r="AN2" s="152" t="s">
        <v>9557</v>
      </c>
      <c r="AO2" s="191"/>
      <c r="AP2" s="153"/>
      <c r="AQ2" s="339"/>
      <c r="AR2" s="152"/>
      <c r="AS2" s="457"/>
      <c r="AT2" s="457"/>
    </row>
    <row r="3" ht="26.25" customHeight="1">
      <c r="A3" s="451" t="s">
        <v>9541</v>
      </c>
      <c r="B3" s="197" t="s">
        <v>9558</v>
      </c>
      <c r="C3" s="452" t="s">
        <v>1120</v>
      </c>
      <c r="D3" s="453" t="s">
        <v>9559</v>
      </c>
      <c r="E3" s="451" t="s">
        <v>9544</v>
      </c>
      <c r="F3" s="376" t="str">
        <f>IFERROR(__xludf.DUMMYFUNCTION("GOOGLETRANSLATE(B3,""zh-tw"",""ja"")"),"体全体が何らかの刺激を求めている。")</f>
        <v>体全体が何らかの刺激を求めている。</v>
      </c>
      <c r="G3" s="452" t="s">
        <v>1120</v>
      </c>
      <c r="H3" s="453" t="s">
        <v>9560</v>
      </c>
      <c r="I3" s="451" t="s">
        <v>9546</v>
      </c>
      <c r="J3" s="197" t="s">
        <v>9561</v>
      </c>
      <c r="K3" s="452" t="s">
        <v>1120</v>
      </c>
      <c r="L3" s="453" t="s">
        <v>9562</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9549</v>
      </c>
      <c r="Z3" s="192" t="s">
        <v>9563</v>
      </c>
      <c r="AA3" s="338" t="s">
        <v>1120</v>
      </c>
      <c r="AB3" s="189" t="s">
        <v>9564</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9552</v>
      </c>
      <c r="AH3" s="153" t="s">
        <v>9565</v>
      </c>
      <c r="AI3" s="339" t="s">
        <v>1120</v>
      </c>
      <c r="AJ3" s="152" t="s">
        <v>9566</v>
      </c>
      <c r="AK3" s="151" t="s">
        <v>9555</v>
      </c>
      <c r="AL3" s="153" t="s">
        <v>9567</v>
      </c>
      <c r="AM3" s="339" t="s">
        <v>1120</v>
      </c>
      <c r="AN3" s="152" t="s">
        <v>9568</v>
      </c>
      <c r="AO3" s="191"/>
      <c r="AP3" s="153"/>
      <c r="AQ3" s="339"/>
      <c r="AR3" s="152"/>
      <c r="AS3" s="457"/>
      <c r="AT3" s="457"/>
    </row>
    <row r="4" ht="26.25" customHeight="1">
      <c r="A4" s="451" t="s">
        <v>9541</v>
      </c>
      <c r="B4" s="197" t="s">
        <v>9569</v>
      </c>
      <c r="C4" s="452" t="s">
        <v>1120</v>
      </c>
      <c r="D4" s="453" t="s">
        <v>9570</v>
      </c>
      <c r="E4" s="451" t="s">
        <v>9544</v>
      </c>
      <c r="F4" s="376" t="str">
        <f>IFERROR(__xludf.DUMMYFUNCTION("GOOGLETRANSLATE(B4,""zh-tw"",""ja"")"),"もう自分をコントロールできない。")</f>
        <v>もう自分をコントロールできない。</v>
      </c>
      <c r="G4" s="452" t="s">
        <v>1120</v>
      </c>
      <c r="H4" s="453" t="s">
        <v>9571</v>
      </c>
      <c r="I4" s="451" t="s">
        <v>9546</v>
      </c>
      <c r="J4" s="197" t="s">
        <v>9572</v>
      </c>
      <c r="K4" s="452" t="s">
        <v>1120</v>
      </c>
      <c r="L4" s="453" t="s">
        <v>9573</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9549</v>
      </c>
      <c r="Z4" s="192" t="s">
        <v>9574</v>
      </c>
      <c r="AA4" s="338" t="s">
        <v>1120</v>
      </c>
      <c r="AB4" s="189" t="s">
        <v>9575</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9552</v>
      </c>
      <c r="AH4" s="153" t="s">
        <v>9576</v>
      </c>
      <c r="AI4" s="339" t="s">
        <v>1120</v>
      </c>
      <c r="AJ4" s="152" t="s">
        <v>9577</v>
      </c>
      <c r="AK4" s="151" t="s">
        <v>9555</v>
      </c>
      <c r="AL4" s="153" t="s">
        <v>9578</v>
      </c>
      <c r="AM4" s="339" t="s">
        <v>1120</v>
      </c>
      <c r="AN4" s="152" t="s">
        <v>9579</v>
      </c>
      <c r="AO4" s="191"/>
      <c r="AP4" s="153"/>
      <c r="AQ4" s="339"/>
      <c r="AR4" s="152"/>
      <c r="AS4" s="457"/>
      <c r="AT4" s="457"/>
    </row>
    <row r="5">
      <c r="A5" s="451" t="s">
        <v>9580</v>
      </c>
      <c r="B5" s="197" t="s">
        <v>9581</v>
      </c>
      <c r="C5" s="452" t="s">
        <v>9582</v>
      </c>
      <c r="D5" s="453" t="s">
        <v>9583</v>
      </c>
      <c r="E5" s="451" t="s">
        <v>9584</v>
      </c>
      <c r="F5" s="376" t="str">
        <f>IFERROR(__xludf.DUMMYFUNCTION("GOOGLETRANSLATE(B5,""zh-tw"",""ja"")"),"うーん…")</f>
        <v>うーん…</v>
      </c>
      <c r="G5" s="452" t="s">
        <v>9585</v>
      </c>
      <c r="H5" s="453" t="s">
        <v>9586</v>
      </c>
      <c r="I5" s="451" t="s">
        <v>9587</v>
      </c>
      <c r="J5" s="197" t="s">
        <v>9588</v>
      </c>
      <c r="K5" s="452" t="s">
        <v>9589</v>
      </c>
      <c r="L5" s="453" t="s">
        <v>9590</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9591</v>
      </c>
      <c r="Z5" s="192" t="s">
        <v>9592</v>
      </c>
      <c r="AA5" s="338" t="s">
        <v>9593</v>
      </c>
      <c r="AB5" s="189" t="s">
        <v>9594</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9587</v>
      </c>
      <c r="AH5" s="168" t="s">
        <v>9595</v>
      </c>
      <c r="AI5" s="339" t="s">
        <v>9596</v>
      </c>
      <c r="AJ5" s="152" t="s">
        <v>9597</v>
      </c>
      <c r="AK5" s="151" t="s">
        <v>9587</v>
      </c>
      <c r="AL5" s="153" t="s">
        <v>9588</v>
      </c>
      <c r="AM5" s="345" t="s">
        <v>9598</v>
      </c>
      <c r="AN5" s="152" t="s">
        <v>9599</v>
      </c>
      <c r="AO5" s="191"/>
      <c r="AP5" s="153"/>
      <c r="AQ5" s="345"/>
      <c r="AR5" s="152"/>
      <c r="AS5" s="457"/>
      <c r="AT5" s="457"/>
    </row>
    <row r="6">
      <c r="A6" s="451" t="s">
        <v>9600</v>
      </c>
      <c r="B6" s="197" t="s">
        <v>9601</v>
      </c>
      <c r="C6" s="452" t="s">
        <v>9602</v>
      </c>
      <c r="D6" s="453" t="s">
        <v>9603</v>
      </c>
      <c r="E6" s="451" t="s">
        <v>9604</v>
      </c>
      <c r="F6" s="197" t="s">
        <v>9605</v>
      </c>
      <c r="G6" s="454" t="str">
        <f>IFERROR(__xludf.DUMMYFUNCTION("GOOGLETRANSLATE(C6,""zh-tw"",""ja"")"),"賢者モードに入ると、すべての属性が上昇します。")</f>
        <v>賢者モードに入ると、すべての属性が上昇します。</v>
      </c>
      <c r="H6" s="453" t="s">
        <v>9606</v>
      </c>
      <c r="I6" s="451" t="s">
        <v>9607</v>
      </c>
      <c r="J6" s="197" t="s">
        <v>9608</v>
      </c>
      <c r="K6" s="452" t="s">
        <v>9609</v>
      </c>
      <c r="L6" s="453" t="s">
        <v>9610</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9611</v>
      </c>
      <c r="Z6" s="192" t="s">
        <v>9612</v>
      </c>
      <c r="AA6" s="338" t="s">
        <v>9613</v>
      </c>
      <c r="AB6" s="189" t="s">
        <v>9614</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9615</v>
      </c>
      <c r="AH6" s="168" t="s">
        <v>9616</v>
      </c>
      <c r="AI6" s="345" t="s">
        <v>9617</v>
      </c>
      <c r="AJ6" s="152" t="s">
        <v>9618</v>
      </c>
      <c r="AK6" s="151" t="s">
        <v>9619</v>
      </c>
      <c r="AL6" s="153" t="s">
        <v>9620</v>
      </c>
      <c r="AM6" s="339" t="s">
        <v>9621</v>
      </c>
      <c r="AN6" s="152" t="s">
        <v>9622</v>
      </c>
      <c r="AO6" s="191"/>
      <c r="AP6" s="153"/>
      <c r="AQ6" s="339"/>
      <c r="AR6" s="152"/>
      <c r="AS6" s="457"/>
      <c r="AT6" s="457"/>
    </row>
    <row r="7">
      <c r="A7" s="451" t="s">
        <v>9623</v>
      </c>
      <c r="B7" s="197" t="s">
        <v>1120</v>
      </c>
      <c r="C7" s="452" t="s">
        <v>9624</v>
      </c>
      <c r="D7" s="453" t="s">
        <v>9625</v>
      </c>
      <c r="E7" s="455" t="str">
        <f>IFERROR(__xludf.DUMMYFUNCTION("GOOGLETRANSLATE(A7,""zh-tw"",""ja"")"),"集中")</f>
        <v>集中</v>
      </c>
      <c r="F7" s="376" t="str">
        <f>IFERROR(__xludf.DUMMYFUNCTION("GOOGLETRANSLATE(B7,""zh-tw"",""ja"")"),"-")</f>
        <v>-</v>
      </c>
      <c r="G7" s="452" t="s">
        <v>9626</v>
      </c>
      <c r="H7" s="453" t="s">
        <v>9627</v>
      </c>
      <c r="I7" s="451" t="s">
        <v>9628</v>
      </c>
      <c r="J7" s="376" t="str">
        <f>IFERROR(__xludf.DUMMYFUNCTION("GOOGLETRANSLATE(B7,""zh-tw"",""en"")"),"-")</f>
        <v>-</v>
      </c>
      <c r="K7" s="452" t="s">
        <v>9629</v>
      </c>
      <c r="L7" s="453" t="s">
        <v>9630</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9631</v>
      </c>
      <c r="Z7" s="192" t="s">
        <v>1120</v>
      </c>
      <c r="AA7" s="338" t="s">
        <v>9632</v>
      </c>
      <c r="AB7" s="189" t="s">
        <v>9633</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9634</v>
      </c>
      <c r="AH7" s="153" t="s">
        <v>1120</v>
      </c>
      <c r="AI7" s="345" t="s">
        <v>9635</v>
      </c>
      <c r="AJ7" s="152" t="s">
        <v>9636</v>
      </c>
      <c r="AK7" s="151" t="s">
        <v>9628</v>
      </c>
      <c r="AL7" s="153" t="s">
        <v>1120</v>
      </c>
      <c r="AM7" s="339" t="s">
        <v>9637</v>
      </c>
      <c r="AN7" s="152" t="s">
        <v>9638</v>
      </c>
      <c r="AO7" s="191"/>
      <c r="AP7" s="153"/>
      <c r="AQ7" s="339"/>
      <c r="AR7" s="152"/>
      <c r="AS7" s="457"/>
      <c r="AT7" s="457"/>
    </row>
    <row r="8">
      <c r="A8" s="451" t="s">
        <v>9639</v>
      </c>
      <c r="B8" s="197" t="s">
        <v>9640</v>
      </c>
      <c r="C8" s="452" t="s">
        <v>1120</v>
      </c>
      <c r="D8" s="453" t="s">
        <v>9641</v>
      </c>
      <c r="E8" s="451" t="s">
        <v>9642</v>
      </c>
      <c r="F8" s="197" t="s">
        <v>9643</v>
      </c>
      <c r="G8" s="454" t="str">
        <f>IFERROR(__xludf.DUMMYFUNCTION("GOOGLETRANSLATE(C8,""zh-tw"",""ja"")"),"-")</f>
        <v>-</v>
      </c>
      <c r="H8" s="453" t="s">
        <v>9644</v>
      </c>
      <c r="I8" s="451" t="s">
        <v>9645</v>
      </c>
      <c r="J8" s="197" t="s">
        <v>9646</v>
      </c>
      <c r="K8" s="454" t="str">
        <f>IFERROR(__xludf.DUMMYFUNCTION("GOOGLETRANSLATE(C8,""zh-tw"",""en"")"),"-")</f>
        <v>-</v>
      </c>
      <c r="L8" s="453" t="s">
        <v>9647</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9648</v>
      </c>
      <c r="Z8" s="192" t="s">
        <v>9649</v>
      </c>
      <c r="AA8" s="338" t="s">
        <v>1120</v>
      </c>
      <c r="AB8" s="189" t="s">
        <v>9650</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9645</v>
      </c>
      <c r="AH8" s="168" t="s">
        <v>9651</v>
      </c>
      <c r="AI8" s="339" t="s">
        <v>1120</v>
      </c>
      <c r="AJ8" s="152" t="s">
        <v>9652</v>
      </c>
      <c r="AK8" s="151" t="s">
        <v>9645</v>
      </c>
      <c r="AL8" s="153" t="s">
        <v>9653</v>
      </c>
      <c r="AM8" s="339" t="s">
        <v>1120</v>
      </c>
      <c r="AN8" s="152" t="s">
        <v>9654</v>
      </c>
      <c r="AO8" s="191"/>
      <c r="AP8" s="153"/>
      <c r="AQ8" s="339"/>
      <c r="AR8" s="152"/>
      <c r="AS8" s="457"/>
      <c r="AT8" s="457"/>
    </row>
    <row r="9">
      <c r="A9" s="451" t="s">
        <v>9655</v>
      </c>
      <c r="B9" s="197" t="s">
        <v>1120</v>
      </c>
      <c r="C9" s="452" t="s">
        <v>9656</v>
      </c>
      <c r="D9" s="453" t="s">
        <v>9657</v>
      </c>
      <c r="E9" s="451" t="s">
        <v>9658</v>
      </c>
      <c r="F9" s="376" t="str">
        <f>IFERROR(__xludf.DUMMYFUNCTION("GOOGLETRANSLATE(B9,""zh-tw"",""ja"")"),"-")</f>
        <v>-</v>
      </c>
      <c r="G9" s="452" t="s">
        <v>9659</v>
      </c>
      <c r="H9" s="453" t="s">
        <v>9660</v>
      </c>
      <c r="I9" s="451" t="s">
        <v>9661</v>
      </c>
      <c r="J9" s="376" t="str">
        <f>IFERROR(__xludf.DUMMYFUNCTION("GOOGLETRANSLATE(B9,""zh-tw"",""en"")"),"-")</f>
        <v>-</v>
      </c>
      <c r="K9" s="452" t="s">
        <v>9662</v>
      </c>
      <c r="L9" s="453" t="s">
        <v>9663</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9664</v>
      </c>
      <c r="Z9" s="192" t="s">
        <v>1120</v>
      </c>
      <c r="AA9" s="338" t="s">
        <v>9665</v>
      </c>
      <c r="AB9" s="189" t="s">
        <v>9664</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9666</v>
      </c>
      <c r="AH9" s="153" t="s">
        <v>1120</v>
      </c>
      <c r="AI9" s="339" t="s">
        <v>9667</v>
      </c>
      <c r="AJ9" s="152" t="s">
        <v>9668</v>
      </c>
      <c r="AK9" s="151" t="s">
        <v>9669</v>
      </c>
      <c r="AL9" s="153" t="s">
        <v>1120</v>
      </c>
      <c r="AM9" s="339" t="s">
        <v>9669</v>
      </c>
      <c r="AN9" s="152" t="s">
        <v>9670</v>
      </c>
      <c r="AO9" s="191"/>
      <c r="AP9" s="153"/>
      <c r="AQ9" s="339"/>
      <c r="AR9" s="152"/>
      <c r="AS9" s="457"/>
      <c r="AT9" s="457"/>
    </row>
    <row r="10">
      <c r="A10" s="451" t="s">
        <v>9671</v>
      </c>
      <c r="B10" s="197" t="s">
        <v>1120</v>
      </c>
      <c r="C10" s="452" t="s">
        <v>9672</v>
      </c>
      <c r="D10" s="453" t="s">
        <v>9673</v>
      </c>
      <c r="E10" s="451" t="s">
        <v>9674</v>
      </c>
      <c r="F10" s="376" t="str">
        <f>IFERROR(__xludf.DUMMYFUNCTION("GOOGLETRANSLATE(B10,""zh-tw"",""ja"")"),"-")</f>
        <v>-</v>
      </c>
      <c r="G10" s="452" t="s">
        <v>9675</v>
      </c>
      <c r="H10" s="453" t="s">
        <v>9676</v>
      </c>
      <c r="I10" s="451" t="s">
        <v>9677</v>
      </c>
      <c r="J10" s="376" t="str">
        <f>IFERROR(__xludf.DUMMYFUNCTION("GOOGLETRANSLATE(B10,""zh-tw"",""en"")"),"-")</f>
        <v>-</v>
      </c>
      <c r="K10" s="452" t="s">
        <v>9678</v>
      </c>
      <c r="L10" s="453" t="s">
        <v>9679</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9680</v>
      </c>
      <c r="Z10" s="192" t="s">
        <v>9681</v>
      </c>
      <c r="AA10" s="338" t="s">
        <v>9682</v>
      </c>
      <c r="AB10" s="189" t="s">
        <v>9683</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9684</v>
      </c>
      <c r="AH10" s="153" t="s">
        <v>1120</v>
      </c>
      <c r="AI10" s="339" t="s">
        <v>9685</v>
      </c>
      <c r="AJ10" s="152" t="s">
        <v>9686</v>
      </c>
      <c r="AK10" s="151" t="s">
        <v>9687</v>
      </c>
      <c r="AL10" s="153" t="s">
        <v>1120</v>
      </c>
      <c r="AM10" s="339" t="s">
        <v>9688</v>
      </c>
      <c r="AN10" s="152" t="s">
        <v>9689</v>
      </c>
      <c r="AO10" s="191"/>
      <c r="AP10" s="153"/>
      <c r="AQ10" s="339"/>
      <c r="AR10" s="152"/>
      <c r="AS10" s="457"/>
      <c r="AT10" s="457"/>
    </row>
    <row r="11">
      <c r="A11" s="451" t="s">
        <v>9690</v>
      </c>
      <c r="B11" s="197" t="s">
        <v>1120</v>
      </c>
      <c r="C11" s="452" t="s">
        <v>9691</v>
      </c>
      <c r="D11" s="453" t="s">
        <v>9692</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9693</v>
      </c>
      <c r="J11" s="376" t="str">
        <f>IFERROR(__xludf.DUMMYFUNCTION("GOOGLETRANSLATE(B11,""zh-tw"",""en"")"),"-")</f>
        <v>-</v>
      </c>
      <c r="K11" s="452" t="s">
        <v>9694</v>
      </c>
      <c r="L11" s="453" t="s">
        <v>9695</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9696</v>
      </c>
      <c r="Z11" s="192" t="s">
        <v>1120</v>
      </c>
      <c r="AA11" s="338" t="s">
        <v>9697</v>
      </c>
      <c r="AB11" s="189" t="s">
        <v>9698</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9699</v>
      </c>
      <c r="AH11" s="153" t="s">
        <v>1120</v>
      </c>
      <c r="AI11" s="345" t="s">
        <v>9700</v>
      </c>
      <c r="AJ11" s="152" t="s">
        <v>9701</v>
      </c>
      <c r="AK11" s="151" t="s">
        <v>9702</v>
      </c>
      <c r="AL11" s="153" t="s">
        <v>1120</v>
      </c>
      <c r="AM11" s="339" t="s">
        <v>9703</v>
      </c>
      <c r="AN11" s="152" t="s">
        <v>9704</v>
      </c>
      <c r="AO11" s="191"/>
      <c r="AP11" s="153"/>
      <c r="AQ11" s="339"/>
      <c r="AR11" s="152"/>
      <c r="AS11" s="457"/>
      <c r="AT11" s="457"/>
    </row>
    <row r="12">
      <c r="A12" s="451" t="s">
        <v>9705</v>
      </c>
      <c r="B12" s="197" t="s">
        <v>9706</v>
      </c>
      <c r="C12" s="452" t="s">
        <v>9707</v>
      </c>
      <c r="D12" s="453" t="s">
        <v>9708</v>
      </c>
      <c r="E12" s="451" t="s">
        <v>9705</v>
      </c>
      <c r="F12" s="197" t="s">
        <v>9709</v>
      </c>
      <c r="G12" s="452" t="s">
        <v>9710</v>
      </c>
      <c r="H12" s="453" t="s">
        <v>9711</v>
      </c>
      <c r="I12" s="451" t="s">
        <v>9712</v>
      </c>
      <c r="J12" s="197" t="s">
        <v>9713</v>
      </c>
      <c r="K12" s="452" t="s">
        <v>9714</v>
      </c>
      <c r="L12" s="453" t="s">
        <v>9715</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9716</v>
      </c>
      <c r="Z12" s="192" t="s">
        <v>9717</v>
      </c>
      <c r="AA12" s="338" t="s">
        <v>9718</v>
      </c>
      <c r="AB12" s="189" t="s">
        <v>9719</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9720</v>
      </c>
      <c r="AH12" s="168" t="s">
        <v>9721</v>
      </c>
      <c r="AI12" s="339" t="s">
        <v>9722</v>
      </c>
      <c r="AJ12" s="152" t="s">
        <v>9723</v>
      </c>
      <c r="AK12" s="151" t="s">
        <v>9724</v>
      </c>
      <c r="AL12" s="153" t="s">
        <v>9725</v>
      </c>
      <c r="AM12" s="339" t="s">
        <v>9726</v>
      </c>
      <c r="AN12" s="152" t="s">
        <v>9727</v>
      </c>
      <c r="AO12" s="191"/>
      <c r="AP12" s="153"/>
      <c r="AQ12" s="339"/>
      <c r="AR12" s="152"/>
      <c r="AS12" s="457"/>
      <c r="AT12" s="457"/>
    </row>
    <row r="13">
      <c r="A13" s="451" t="s">
        <v>9728</v>
      </c>
      <c r="B13" s="197" t="s">
        <v>9729</v>
      </c>
      <c r="C13" s="452" t="s">
        <v>9730</v>
      </c>
      <c r="D13" s="453" t="s">
        <v>9731</v>
      </c>
      <c r="E13" s="455" t="str">
        <f>IFERROR(__xludf.DUMMYFUNCTION("GOOGLETRANSLATE(A13,""zh-tw"",""ja"")"),"出血")</f>
        <v>出血</v>
      </c>
      <c r="F13" s="197" t="s">
        <v>9732</v>
      </c>
      <c r="G13" s="454" t="str">
        <f>IFERROR(__xludf.DUMMYFUNCTION("GOOGLETRANSLATE(C13,""zh-tw"",""ja"")"),"受けるダメージは最大スタミナに基づいて決まります。")</f>
        <v>受けるダメージは最大スタミナに基づいて決まります。</v>
      </c>
      <c r="H13" s="453" t="s">
        <v>9733</v>
      </c>
      <c r="I13" s="455" t="str">
        <f>IFERROR(__xludf.DUMMYFUNCTION("GOOGLETRANSLATE(A13,""zh-tw"",""en"")"),"Bleeding")</f>
        <v>Bleeding</v>
      </c>
      <c r="J13" s="197" t="s">
        <v>9734</v>
      </c>
      <c r="K13" s="452" t="s">
        <v>9735</v>
      </c>
      <c r="L13" s="453" t="s">
        <v>9736</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9737</v>
      </c>
      <c r="Z13" s="192" t="s">
        <v>9738</v>
      </c>
      <c r="AA13" s="338" t="s">
        <v>9739</v>
      </c>
      <c r="AB13" s="189" t="s">
        <v>9740</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9741</v>
      </c>
      <c r="AH13" s="168" t="s">
        <v>9742</v>
      </c>
      <c r="AI13" s="339" t="s">
        <v>9743</v>
      </c>
      <c r="AJ13" s="152" t="s">
        <v>9744</v>
      </c>
      <c r="AK13" s="151" t="s">
        <v>9745</v>
      </c>
      <c r="AL13" s="153" t="s">
        <v>9746</v>
      </c>
      <c r="AM13" s="339" t="s">
        <v>9747</v>
      </c>
      <c r="AN13" s="152" t="s">
        <v>9748</v>
      </c>
      <c r="AO13" s="191"/>
      <c r="AP13" s="153"/>
      <c r="AQ13" s="339"/>
      <c r="AR13" s="152"/>
      <c r="AS13" s="457"/>
      <c r="AT13" s="457"/>
    </row>
    <row r="14">
      <c r="A14" s="451" t="s">
        <v>9749</v>
      </c>
      <c r="B14" s="197" t="s">
        <v>9750</v>
      </c>
      <c r="C14" s="452" t="s">
        <v>9751</v>
      </c>
      <c r="D14" s="453" t="s">
        <v>9752</v>
      </c>
      <c r="E14" s="451" t="s">
        <v>9753</v>
      </c>
      <c r="F14" s="376" t="str">
        <f>IFERROR(__xludf.DUMMYFUNCTION("GOOGLETRANSLATE(B14,""zh-tw"",""ja"")"),"見てください、この男は雷に打たれました！")</f>
        <v>見てください、この男は雷に打たれました！</v>
      </c>
      <c r="G14" s="452" t="s">
        <v>9754</v>
      </c>
      <c r="H14" s="453" t="s">
        <v>9755</v>
      </c>
      <c r="I14" s="451" t="s">
        <v>9756</v>
      </c>
      <c r="J14" s="197" t="s">
        <v>9757</v>
      </c>
      <c r="K14" s="452" t="s">
        <v>9758</v>
      </c>
      <c r="L14" s="453" t="s">
        <v>9759</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9760</v>
      </c>
      <c r="Z14" s="192" t="s">
        <v>9761</v>
      </c>
      <c r="AA14" s="338" t="s">
        <v>9762</v>
      </c>
      <c r="AB14" s="189" t="s">
        <v>9763</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9764</v>
      </c>
      <c r="AH14" s="168" t="s">
        <v>9765</v>
      </c>
      <c r="AI14" s="345" t="s">
        <v>9766</v>
      </c>
      <c r="AJ14" s="152" t="s">
        <v>9767</v>
      </c>
      <c r="AK14" s="151" t="s">
        <v>9768</v>
      </c>
      <c r="AL14" s="153" t="s">
        <v>9769</v>
      </c>
      <c r="AM14" s="339" t="s">
        <v>9770</v>
      </c>
      <c r="AN14" s="152" t="s">
        <v>9771</v>
      </c>
      <c r="AO14" s="191"/>
      <c r="AP14" s="153"/>
      <c r="AQ14" s="339"/>
      <c r="AR14" s="152"/>
      <c r="AS14" s="457"/>
      <c r="AT14" s="457"/>
    </row>
    <row r="15">
      <c r="A15" s="451" t="s">
        <v>9772</v>
      </c>
      <c r="B15" s="197" t="s">
        <v>9773</v>
      </c>
      <c r="C15" s="452" t="s">
        <v>9774</v>
      </c>
      <c r="D15" s="453" t="s">
        <v>9775</v>
      </c>
      <c r="E15" s="451" t="s">
        <v>9772</v>
      </c>
      <c r="F15" s="376" t="str">
        <f>IFERROR(__xludf.DUMMYFUNCTION("GOOGLETRANSLATE(B15,""zh-tw"",""ja"")"),"暑い！暑い！暑い！暑い！")</f>
        <v>暑い！暑い！暑い！暑い！</v>
      </c>
      <c r="G15" s="452" t="s">
        <v>9776</v>
      </c>
      <c r="H15" s="453" t="s">
        <v>9777</v>
      </c>
      <c r="I15" s="451" t="s">
        <v>9778</v>
      </c>
      <c r="J15" s="197" t="s">
        <v>9779</v>
      </c>
      <c r="K15" s="452" t="s">
        <v>9780</v>
      </c>
      <c r="L15" s="453" t="s">
        <v>9781</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9782</v>
      </c>
      <c r="AA15" s="338" t="s">
        <v>9783</v>
      </c>
      <c r="AB15" s="189" t="s">
        <v>9784</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9785</v>
      </c>
      <c r="AH15" s="153" t="s">
        <v>9786</v>
      </c>
      <c r="AI15" s="345" t="s">
        <v>9787</v>
      </c>
      <c r="AJ15" s="167" t="s">
        <v>9788</v>
      </c>
      <c r="AK15" s="151" t="s">
        <v>9789</v>
      </c>
      <c r="AL15" s="153" t="s">
        <v>9790</v>
      </c>
      <c r="AM15" s="339" t="s">
        <v>9791</v>
      </c>
      <c r="AN15" s="152" t="s">
        <v>9792</v>
      </c>
      <c r="AO15" s="191"/>
      <c r="AP15" s="153"/>
      <c r="AQ15" s="339"/>
      <c r="AR15" s="152"/>
      <c r="AS15" s="457"/>
      <c r="AT15" s="457"/>
    </row>
    <row r="16">
      <c r="A16" s="451" t="s">
        <v>9793</v>
      </c>
      <c r="B16" s="197" t="s">
        <v>9794</v>
      </c>
      <c r="C16" s="452" t="s">
        <v>9795</v>
      </c>
      <c r="D16" s="453" t="s">
        <v>5634</v>
      </c>
      <c r="E16" s="451" t="s">
        <v>9796</v>
      </c>
      <c r="F16" s="376" t="str">
        <f>IFERROR(__xludf.DUMMYFUNCTION("GOOGLETRANSLATE(B16,""zh-tw"",""ja"")"),"アイスキャンディーにしちゃおう！")</f>
        <v>アイスキャンディーにしちゃおう！</v>
      </c>
      <c r="G16" s="452" t="s">
        <v>9797</v>
      </c>
      <c r="H16" s="453" t="s">
        <v>9798</v>
      </c>
      <c r="I16" s="451" t="s">
        <v>9799</v>
      </c>
      <c r="J16" s="197" t="s">
        <v>9800</v>
      </c>
      <c r="K16" s="452" t="s">
        <v>9801</v>
      </c>
      <c r="L16" s="453" t="s">
        <v>5639</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9802</v>
      </c>
      <c r="Z16" s="192" t="s">
        <v>9803</v>
      </c>
      <c r="AA16" s="338" t="s">
        <v>9804</v>
      </c>
      <c r="AB16" s="189" t="s">
        <v>9805</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9806</v>
      </c>
      <c r="AH16" s="168" t="s">
        <v>9807</v>
      </c>
      <c r="AI16" s="345" t="s">
        <v>9808</v>
      </c>
      <c r="AJ16" s="152" t="s">
        <v>5645</v>
      </c>
      <c r="AK16" s="151" t="s">
        <v>9809</v>
      </c>
      <c r="AL16" s="153" t="s">
        <v>9810</v>
      </c>
      <c r="AM16" s="339" t="s">
        <v>9811</v>
      </c>
      <c r="AN16" s="152" t="s">
        <v>5647</v>
      </c>
      <c r="AO16" s="191"/>
      <c r="AP16" s="153"/>
      <c r="AQ16" s="339"/>
      <c r="AR16" s="152"/>
      <c r="AS16" s="457"/>
      <c r="AT16" s="457"/>
    </row>
    <row r="17">
      <c r="A17" s="451" t="s">
        <v>9812</v>
      </c>
      <c r="B17" s="197" t="s">
        <v>9813</v>
      </c>
      <c r="C17" s="452" t="s">
        <v>9814</v>
      </c>
      <c r="D17" s="453" t="s">
        <v>9815</v>
      </c>
      <c r="E17" s="451" t="s">
        <v>9816</v>
      </c>
      <c r="F17" s="376" t="str">
        <f>IFERROR(__xludf.DUMMYFUNCTION("GOOGLETRANSLATE(B17,""zh-tw"",""ja"")"),"ふふ、私に反抗するとこうなるのね～♡")</f>
        <v>ふふ、私に反抗するとこうなるのね～♡</v>
      </c>
      <c r="G17" s="452" t="s">
        <v>9817</v>
      </c>
      <c r="H17" s="456" t="str">
        <f>IFERROR(__xludf.DUMMYFUNCTION("GOOGLETRANSLATE(D17,""zh-tw"",""ja"")"),"ミステリーショップでは魚はもらえません。")</f>
        <v>ミステリーショップでは魚はもらえません。</v>
      </c>
      <c r="I17" s="451" t="s">
        <v>9818</v>
      </c>
      <c r="J17" s="197" t="s">
        <v>9819</v>
      </c>
      <c r="K17" s="452" t="s">
        <v>9820</v>
      </c>
      <c r="L17" s="453" t="s">
        <v>9821</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쇼에서는 물고기를 주지 않습니다.")</f>
        <v>미스터리 쇼에서는 물고기를 주지 않습니다.</v>
      </c>
      <c r="Y17" s="191" t="s">
        <v>9822</v>
      </c>
      <c r="Z17" s="192" t="s">
        <v>9823</v>
      </c>
      <c r="AA17" s="338" t="s">
        <v>9824</v>
      </c>
      <c r="AB17" s="189" t="s">
        <v>9825</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9826</v>
      </c>
      <c r="AH17" s="168" t="s">
        <v>9827</v>
      </c>
      <c r="AI17" s="339" t="s">
        <v>9828</v>
      </c>
      <c r="AJ17" s="167" t="s">
        <v>9829</v>
      </c>
      <c r="AK17" s="151" t="s">
        <v>9830</v>
      </c>
      <c r="AL17" s="153" t="s">
        <v>9831</v>
      </c>
      <c r="AM17" s="339" t="s">
        <v>9832</v>
      </c>
      <c r="AN17" s="152" t="s">
        <v>9833</v>
      </c>
      <c r="AO17" s="191"/>
      <c r="AP17" s="153"/>
      <c r="AQ17" s="339"/>
      <c r="AR17" s="152"/>
      <c r="AS17" s="457"/>
      <c r="AT17" s="457"/>
    </row>
    <row r="18">
      <c r="A18" s="451" t="s">
        <v>9834</v>
      </c>
      <c r="B18" s="197" t="s">
        <v>9835</v>
      </c>
      <c r="C18" s="452" t="s">
        <v>9836</v>
      </c>
      <c r="D18" s="453" t="s">
        <v>9837</v>
      </c>
      <c r="E18" s="451" t="s">
        <v>9838</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9839</v>
      </c>
      <c r="J18" s="197" t="s">
        <v>9840</v>
      </c>
      <c r="K18" s="452" t="s">
        <v>9841</v>
      </c>
      <c r="L18" s="453" t="s">
        <v>9842</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9843</v>
      </c>
      <c r="Z18" s="192" t="s">
        <v>9844</v>
      </c>
      <c r="AA18" s="338" t="s">
        <v>9845</v>
      </c>
      <c r="AB18" s="189" t="s">
        <v>9846</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9847</v>
      </c>
      <c r="AH18" s="168" t="s">
        <v>9848</v>
      </c>
      <c r="AI18" s="345" t="s">
        <v>9849</v>
      </c>
      <c r="AJ18" s="152" t="s">
        <v>9850</v>
      </c>
      <c r="AK18" s="151" t="s">
        <v>9851</v>
      </c>
      <c r="AL18" s="153" t="s">
        <v>9852</v>
      </c>
      <c r="AM18" s="339" t="s">
        <v>9853</v>
      </c>
      <c r="AN18" s="152" t="s">
        <v>9854</v>
      </c>
      <c r="AO18" s="191"/>
      <c r="AP18" s="153"/>
      <c r="AQ18" s="339"/>
      <c r="AR18" s="152"/>
      <c r="AS18" s="457"/>
      <c r="AT18" s="457"/>
    </row>
    <row r="19">
      <c r="A19" s="451" t="s">
        <v>9855</v>
      </c>
      <c r="B19" s="197" t="s">
        <v>9856</v>
      </c>
      <c r="C19" s="452" t="s">
        <v>9857</v>
      </c>
      <c r="D19" s="453" t="s">
        <v>9858</v>
      </c>
      <c r="E19" s="451" t="s">
        <v>9859</v>
      </c>
      <c r="F19" s="197" t="s">
        <v>9860</v>
      </c>
      <c r="G19" s="452" t="s">
        <v>9861</v>
      </c>
      <c r="H19" s="456" t="str">
        <f>IFERROR(__xludf.DUMMYFUNCTION("GOOGLETRANSLATE(D19,""zh-tw"",""ja"")"),"妹にいたずらをすると怒る")</f>
        <v>妹にいたずらをすると怒る</v>
      </c>
      <c r="I19" s="451" t="s">
        <v>9862</v>
      </c>
      <c r="J19" s="197" t="s">
        <v>9863</v>
      </c>
      <c r="K19" s="452" t="s">
        <v>9864</v>
      </c>
      <c r="L19" s="453" t="s">
        <v>9865</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9866</v>
      </c>
      <c r="Z19" s="192" t="s">
        <v>9867</v>
      </c>
      <c r="AA19" s="338" t="s">
        <v>9868</v>
      </c>
      <c r="AB19" s="189" t="s">
        <v>9869</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9870</v>
      </c>
      <c r="AH19" s="168" t="s">
        <v>9871</v>
      </c>
      <c r="AI19" s="339" t="s">
        <v>9870</v>
      </c>
      <c r="AJ19" s="167" t="s">
        <v>9872</v>
      </c>
      <c r="AK19" s="151" t="s">
        <v>9873</v>
      </c>
      <c r="AL19" s="153" t="s">
        <v>9874</v>
      </c>
      <c r="AM19" s="339" t="s">
        <v>9875</v>
      </c>
      <c r="AN19" s="152" t="s">
        <v>9876</v>
      </c>
      <c r="AO19" s="191"/>
      <c r="AP19" s="153"/>
      <c r="AQ19" s="339"/>
      <c r="AR19" s="152"/>
      <c r="AS19" s="457"/>
      <c r="AT19" s="457"/>
    </row>
    <row r="20">
      <c r="A20" s="451" t="s">
        <v>9877</v>
      </c>
      <c r="B20" s="197" t="s">
        <v>9856</v>
      </c>
      <c r="C20" s="452" t="s">
        <v>9878</v>
      </c>
      <c r="D20" s="453" t="s">
        <v>9858</v>
      </c>
      <c r="E20" s="451" t="s">
        <v>9879</v>
      </c>
      <c r="F20" s="197" t="s">
        <v>9860</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9880</v>
      </c>
      <c r="J20" s="197" t="s">
        <v>9863</v>
      </c>
      <c r="K20" s="454" t="str">
        <f>IFERROR(__xludf.DUMMYFUNCTION("GOOGLETRANSLATE(C20,""zh-tw"",""en"")"),"Making meat dishes")</f>
        <v>Making meat dishes</v>
      </c>
      <c r="L20" s="453" t="s">
        <v>9865</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9881</v>
      </c>
      <c r="Z20" s="192" t="s">
        <v>9867</v>
      </c>
      <c r="AA20" s="338" t="s">
        <v>612</v>
      </c>
      <c r="AB20" s="189" t="s">
        <v>9869</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9882</v>
      </c>
      <c r="AH20" s="168" t="s">
        <v>9871</v>
      </c>
      <c r="AI20" s="339" t="s">
        <v>9883</v>
      </c>
      <c r="AJ20" s="152" t="s">
        <v>9884</v>
      </c>
      <c r="AK20" s="151" t="s">
        <v>9885</v>
      </c>
      <c r="AL20" s="153" t="s">
        <v>9874</v>
      </c>
      <c r="AM20" s="345" t="s">
        <v>9886</v>
      </c>
      <c r="AN20" s="152" t="s">
        <v>9876</v>
      </c>
      <c r="AO20" s="191"/>
      <c r="AP20" s="153"/>
      <c r="AQ20" s="345"/>
      <c r="AR20" s="152"/>
      <c r="AS20" s="457"/>
      <c r="AT20" s="457"/>
    </row>
    <row r="21">
      <c r="A21" s="451" t="s">
        <v>9887</v>
      </c>
      <c r="B21" s="197" t="s">
        <v>9888</v>
      </c>
      <c r="C21" s="452" t="s">
        <v>9889</v>
      </c>
      <c r="D21" s="453" t="s">
        <v>486</v>
      </c>
      <c r="E21" s="451" t="s">
        <v>556</v>
      </c>
      <c r="F21" s="376" t="str">
        <f>IFERROR(__xludf.DUMMYFUNCTION("GOOGLETRANSLATE(B21,""zh-tw"",""ja"")"),"...")</f>
        <v>...</v>
      </c>
      <c r="G21" s="452" t="s">
        <v>9890</v>
      </c>
      <c r="H21" s="453" t="s">
        <v>489</v>
      </c>
      <c r="I21" s="451" t="s">
        <v>9891</v>
      </c>
      <c r="J21" s="376" t="str">
        <f>IFERROR(__xludf.DUMMYFUNCTION("GOOGLETRANSLATE(B21,""zh-tw"",""en"")"),"...")</f>
        <v>...</v>
      </c>
      <c r="K21" s="452" t="s">
        <v>9892</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9893</v>
      </c>
      <c r="Z21" s="192" t="s">
        <v>9894</v>
      </c>
      <c r="AA21" s="338" t="s">
        <v>9895</v>
      </c>
      <c r="AB21" s="189" t="s">
        <v>9896</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9897</v>
      </c>
      <c r="AH21" s="153" t="s">
        <v>9894</v>
      </c>
      <c r="AI21" s="345" t="s">
        <v>9898</v>
      </c>
      <c r="AJ21" s="152" t="s">
        <v>506</v>
      </c>
      <c r="AK21" s="151" t="s">
        <v>9899</v>
      </c>
      <c r="AL21" s="153" t="s">
        <v>1120</v>
      </c>
      <c r="AM21" s="339" t="s">
        <v>9900</v>
      </c>
      <c r="AN21" s="152" t="s">
        <v>509</v>
      </c>
      <c r="AO21" s="191"/>
      <c r="AP21" s="153"/>
      <c r="AQ21" s="339"/>
      <c r="AR21" s="152"/>
      <c r="AS21" s="457"/>
      <c r="AT21" s="457"/>
    </row>
    <row r="22">
      <c r="A22" s="451" t="s">
        <v>9901</v>
      </c>
      <c r="B22" s="197" t="s">
        <v>9902</v>
      </c>
      <c r="C22" s="452" t="s">
        <v>9903</v>
      </c>
      <c r="D22" s="453" t="s">
        <v>6448</v>
      </c>
      <c r="E22" s="451" t="s">
        <v>9904</v>
      </c>
      <c r="F22" s="197" t="s">
        <v>9905</v>
      </c>
      <c r="G22" s="454" t="str">
        <f>IFERROR(__xludf.DUMMYFUNCTION("GOOGLETRANSLATE(C22,""zh-tw"",""ja"")"),"彼の体は常に悪臭を放っていた")</f>
        <v>彼の体は常に悪臭を放っていた</v>
      </c>
      <c r="H22" s="453" t="s">
        <v>6450</v>
      </c>
      <c r="I22" s="451" t="s">
        <v>9906</v>
      </c>
      <c r="J22" s="197" t="s">
        <v>9907</v>
      </c>
      <c r="K22" s="452" t="s">
        <v>9908</v>
      </c>
      <c r="L22" s="453" t="s">
        <v>6451</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9909</v>
      </c>
      <c r="Z22" s="192" t="s">
        <v>9910</v>
      </c>
      <c r="AA22" s="338" t="s">
        <v>9911</v>
      </c>
      <c r="AB22" s="189" t="s">
        <v>9912</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9913</v>
      </c>
      <c r="AH22" s="153" t="s">
        <v>9914</v>
      </c>
      <c r="AI22" s="345" t="s">
        <v>9915</v>
      </c>
      <c r="AJ22" s="152" t="s">
        <v>6459</v>
      </c>
      <c r="AK22" s="151" t="s">
        <v>9916</v>
      </c>
      <c r="AL22" s="153" t="s">
        <v>9917</v>
      </c>
      <c r="AM22" s="339" t="s">
        <v>9918</v>
      </c>
      <c r="AN22" s="152" t="s">
        <v>6461</v>
      </c>
      <c r="AO22" s="191"/>
      <c r="AP22" s="153"/>
      <c r="AQ22" s="339"/>
      <c r="AR22" s="152"/>
      <c r="AS22" s="457"/>
      <c r="AT22" s="457"/>
    </row>
    <row r="23">
      <c r="A23" s="451" t="s">
        <v>9919</v>
      </c>
      <c r="B23" s="197" t="s">
        <v>9920</v>
      </c>
      <c r="C23" s="452" t="s">
        <v>9921</v>
      </c>
      <c r="D23" s="453" t="s">
        <v>9922</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9923</v>
      </c>
      <c r="J23" s="197" t="s">
        <v>9924</v>
      </c>
      <c r="K23" s="452" t="s">
        <v>9925</v>
      </c>
      <c r="L23" s="453" t="s">
        <v>9926</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9927</v>
      </c>
      <c r="Z23" s="192" t="s">
        <v>9928</v>
      </c>
      <c r="AA23" s="338" t="s">
        <v>9929</v>
      </c>
      <c r="AB23" s="189" t="s">
        <v>9930</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9931</v>
      </c>
      <c r="AH23" s="168" t="s">
        <v>9932</v>
      </c>
      <c r="AI23" s="339" t="s">
        <v>9933</v>
      </c>
      <c r="AJ23" s="167" t="s">
        <v>9934</v>
      </c>
      <c r="AK23" s="151" t="s">
        <v>9935</v>
      </c>
      <c r="AL23" s="153" t="s">
        <v>9936</v>
      </c>
      <c r="AM23" s="339" t="s">
        <v>9937</v>
      </c>
      <c r="AN23" s="152" t="s">
        <v>9938</v>
      </c>
      <c r="AO23" s="191"/>
      <c r="AP23" s="153"/>
      <c r="AQ23" s="339"/>
      <c r="AR23" s="152"/>
      <c r="AS23" s="457"/>
      <c r="AT23" s="457"/>
    </row>
    <row r="24">
      <c r="A24" s="451" t="s">
        <v>9939</v>
      </c>
      <c r="B24" s="197" t="s">
        <v>9940</v>
      </c>
      <c r="C24" s="452" t="s">
        <v>9941</v>
      </c>
      <c r="D24" s="453" t="s">
        <v>9942</v>
      </c>
      <c r="E24" s="451" t="s">
        <v>9943</v>
      </c>
      <c r="F24" s="197" t="s">
        <v>9944</v>
      </c>
      <c r="G24" s="454" t="str">
        <f>IFERROR(__xludf.DUMMYFUNCTION("GOOGLETRANSLATE(C24,""zh-tw"",""ja"")"),"攻撃力+50%")</f>
        <v>攻撃力+50%</v>
      </c>
      <c r="H24" s="456" t="str">
        <f>IFERROR(__xludf.DUMMYFUNCTION("GOOGLETRANSLATE(D24,""zh-tw"",""ja"")"),"食べ物")</f>
        <v>食べ物</v>
      </c>
      <c r="I24" s="451" t="s">
        <v>9945</v>
      </c>
      <c r="J24" s="197" t="s">
        <v>9946</v>
      </c>
      <c r="K24" s="452" t="s">
        <v>9947</v>
      </c>
      <c r="L24" s="453" t="s">
        <v>9948</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9949</v>
      </c>
      <c r="Z24" s="192" t="s">
        <v>9950</v>
      </c>
      <c r="AA24" s="338" t="s">
        <v>9951</v>
      </c>
      <c r="AB24" s="189" t="s">
        <v>9952</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9953</v>
      </c>
      <c r="AH24" s="168" t="s">
        <v>9954</v>
      </c>
      <c r="AI24" s="339" t="s">
        <v>9955</v>
      </c>
      <c r="AJ24" s="152" t="s">
        <v>9956</v>
      </c>
      <c r="AK24" s="151" t="s">
        <v>9957</v>
      </c>
      <c r="AL24" s="153" t="s">
        <v>9958</v>
      </c>
      <c r="AM24" s="339" t="s">
        <v>9959</v>
      </c>
      <c r="AN24" s="152" t="s">
        <v>9960</v>
      </c>
      <c r="AO24" s="191"/>
      <c r="AP24" s="153"/>
      <c r="AQ24" s="339"/>
      <c r="AR24" s="152"/>
      <c r="AS24" s="457"/>
      <c r="AT24" s="457"/>
    </row>
    <row r="25">
      <c r="A25" s="451" t="s">
        <v>9961</v>
      </c>
      <c r="B25" s="197" t="s">
        <v>9962</v>
      </c>
      <c r="C25" s="452" t="s">
        <v>9963</v>
      </c>
      <c r="D25" s="453" t="s">
        <v>9942</v>
      </c>
      <c r="E25" s="451" t="s">
        <v>9964</v>
      </c>
      <c r="F25" s="197" t="s">
        <v>9965</v>
      </c>
      <c r="G25" s="454" t="str">
        <f>IFERROR(__xludf.DUMMYFUNCTION("GOOGLETRANSLATE(C25,""zh-tw"",""ja"")"),"魔法力+50%")</f>
        <v>魔法力+50%</v>
      </c>
      <c r="H25" s="456" t="str">
        <f>IFERROR(__xludf.DUMMYFUNCTION("GOOGLETRANSLATE(D25,""zh-tw"",""ja"")"),"食べ物")</f>
        <v>食べ物</v>
      </c>
      <c r="I25" s="451" t="s">
        <v>9966</v>
      </c>
      <c r="J25" s="197" t="s">
        <v>9967</v>
      </c>
      <c r="K25" s="452" t="s">
        <v>9968</v>
      </c>
      <c r="L25" s="453" t="s">
        <v>9948</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9969</v>
      </c>
      <c r="Z25" s="192" t="s">
        <v>9970</v>
      </c>
      <c r="AA25" s="338" t="s">
        <v>9971</v>
      </c>
      <c r="AB25" s="189" t="s">
        <v>9952</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9972</v>
      </c>
      <c r="AH25" s="168" t="s">
        <v>9973</v>
      </c>
      <c r="AI25" s="339" t="s">
        <v>9974</v>
      </c>
      <c r="AJ25" s="152" t="s">
        <v>9956</v>
      </c>
      <c r="AK25" s="151" t="s">
        <v>9975</v>
      </c>
      <c r="AL25" s="153" t="s">
        <v>9976</v>
      </c>
      <c r="AM25" s="339" t="s">
        <v>9977</v>
      </c>
      <c r="AN25" s="152" t="s">
        <v>9960</v>
      </c>
      <c r="AO25" s="191"/>
      <c r="AP25" s="153"/>
      <c r="AQ25" s="339"/>
      <c r="AR25" s="152"/>
      <c r="AS25" s="457"/>
      <c r="AT25" s="457"/>
    </row>
    <row r="26">
      <c r="A26" s="451" t="s">
        <v>9978</v>
      </c>
      <c r="B26" s="197" t="s">
        <v>9979</v>
      </c>
      <c r="C26" s="452" t="s">
        <v>9980</v>
      </c>
      <c r="D26" s="453" t="s">
        <v>9942</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9981</v>
      </c>
      <c r="J26" s="197" t="s">
        <v>9982</v>
      </c>
      <c r="K26" s="452" t="s">
        <v>9983</v>
      </c>
      <c r="L26" s="453" t="s">
        <v>9948</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9984</v>
      </c>
      <c r="Z26" s="192" t="s">
        <v>9985</v>
      </c>
      <c r="AA26" s="338" t="s">
        <v>9986</v>
      </c>
      <c r="AB26" s="189" t="s">
        <v>9952</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9987</v>
      </c>
      <c r="AH26" s="168" t="s">
        <v>9988</v>
      </c>
      <c r="AI26" s="339" t="s">
        <v>9989</v>
      </c>
      <c r="AJ26" s="152" t="s">
        <v>9956</v>
      </c>
      <c r="AK26" s="151" t="s">
        <v>9990</v>
      </c>
      <c r="AL26" s="153" t="s">
        <v>9991</v>
      </c>
      <c r="AM26" s="339" t="s">
        <v>9992</v>
      </c>
      <c r="AN26" s="152" t="s">
        <v>9960</v>
      </c>
      <c r="AO26" s="191"/>
      <c r="AP26" s="153"/>
      <c r="AQ26" s="339"/>
      <c r="AR26" s="152"/>
      <c r="AS26" s="457"/>
      <c r="AT26" s="457"/>
    </row>
    <row r="27">
      <c r="A27" s="451" t="s">
        <v>9993</v>
      </c>
      <c r="B27" s="197" t="s">
        <v>9994</v>
      </c>
      <c r="C27" s="452" t="s">
        <v>9995</v>
      </c>
      <c r="D27" s="453" t="s">
        <v>9996</v>
      </c>
      <c r="E27" s="455" t="str">
        <f>IFERROR(__xludf.DUMMYFUNCTION("GOOGLETRANSLATE(A27,""zh-tw"",""ja"")"),"巨神兵")</f>
        <v>巨神兵</v>
      </c>
      <c r="F27" s="197" t="s">
        <v>9997</v>
      </c>
      <c r="G27" s="452" t="s">
        <v>9998</v>
      </c>
      <c r="H27" s="456" t="str">
        <f>IFERROR(__xludf.DUMMYFUNCTION("GOOGLETRANSLATE(D27,""zh-tw"",""ja"")"),"タロットカード")</f>
        <v>タロットカード</v>
      </c>
      <c r="I27" s="451" t="s">
        <v>9999</v>
      </c>
      <c r="J27" s="197" t="s">
        <v>10000</v>
      </c>
      <c r="K27" s="452" t="s">
        <v>10001</v>
      </c>
      <c r="L27" s="453" t="s">
        <v>10002</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10003</v>
      </c>
      <c r="Z27" s="192" t="s">
        <v>10004</v>
      </c>
      <c r="AA27" s="338" t="s">
        <v>10005</v>
      </c>
      <c r="AB27" s="189" t="s">
        <v>10006</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10007</v>
      </c>
      <c r="AH27" s="153" t="s">
        <v>10008</v>
      </c>
      <c r="AI27" s="345" t="s">
        <v>10009</v>
      </c>
      <c r="AJ27" s="152" t="s">
        <v>10010</v>
      </c>
      <c r="AK27" s="151" t="s">
        <v>10011</v>
      </c>
      <c r="AL27" s="153" t="s">
        <v>10012</v>
      </c>
      <c r="AM27" s="339" t="s">
        <v>10013</v>
      </c>
      <c r="AN27" s="152" t="s">
        <v>10014</v>
      </c>
      <c r="AO27" s="191"/>
      <c r="AP27" s="153"/>
      <c r="AQ27" s="339"/>
      <c r="AR27" s="152"/>
      <c r="AS27" s="457"/>
      <c r="AT27" s="457"/>
    </row>
    <row r="28">
      <c r="A28" s="451" t="s">
        <v>10015</v>
      </c>
      <c r="B28" s="197" t="s">
        <v>10016</v>
      </c>
      <c r="C28" s="452" t="s">
        <v>10017</v>
      </c>
      <c r="D28" s="453" t="s">
        <v>9996</v>
      </c>
      <c r="E28" s="451" t="s">
        <v>10018</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10019</v>
      </c>
      <c r="J28" s="197" t="s">
        <v>10020</v>
      </c>
      <c r="K28" s="454" t="str">
        <f>IFERROR(__xludf.DUMMYFUNCTION("GOOGLETRANSLATE(C28,""zh-tw"",""en"")"),"With the blessing of fate, it's easier to encounter happy things!")</f>
        <v>With the blessing of fate, it's easier to encounter happy things!</v>
      </c>
      <c r="L28" s="453" t="s">
        <v>10021</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10022</v>
      </c>
      <c r="Z28" s="192" t="s">
        <v>10023</v>
      </c>
      <c r="AA28" s="338" t="s">
        <v>10024</v>
      </c>
      <c r="AB28" s="189" t="s">
        <v>10006</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10025</v>
      </c>
      <c r="AH28" s="168" t="s">
        <v>10026</v>
      </c>
      <c r="AI28" s="345" t="s">
        <v>10027</v>
      </c>
      <c r="AJ28" s="152" t="s">
        <v>10028</v>
      </c>
      <c r="AK28" s="151" t="s">
        <v>10029</v>
      </c>
      <c r="AL28" s="153" t="s">
        <v>10030</v>
      </c>
      <c r="AM28" s="339" t="s">
        <v>10031</v>
      </c>
      <c r="AN28" s="152" t="s">
        <v>10032</v>
      </c>
      <c r="AO28" s="191"/>
      <c r="AP28" s="153"/>
      <c r="AQ28" s="339"/>
      <c r="AR28" s="152"/>
      <c r="AS28" s="457"/>
      <c r="AT28" s="457"/>
    </row>
    <row r="29">
      <c r="A29" s="451" t="s">
        <v>10033</v>
      </c>
      <c r="B29" s="197" t="s">
        <v>10034</v>
      </c>
      <c r="C29" s="452" t="s">
        <v>10035</v>
      </c>
      <c r="D29" s="453" t="s">
        <v>9996</v>
      </c>
      <c r="E29" s="451" t="s">
        <v>10036</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10037</v>
      </c>
      <c r="J29" s="197" t="s">
        <v>10038</v>
      </c>
      <c r="K29" s="454" t="str">
        <f>IFERROR(__xludf.DUMMYFUNCTION("GOOGLETRANSLATE(C29,""zh-tw"",""en"")"),"Being blessed by fate makes it easier to encounter difficult things!")</f>
        <v>Being blessed by fate makes it easier to encounter difficult things!</v>
      </c>
      <c r="L29" s="453" t="s">
        <v>10021</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10039</v>
      </c>
      <c r="Z29" s="192" t="s">
        <v>10023</v>
      </c>
      <c r="AA29" s="338" t="s">
        <v>10040</v>
      </c>
      <c r="AB29" s="189" t="s">
        <v>10006</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10041</v>
      </c>
      <c r="AH29" s="168" t="s">
        <v>10042</v>
      </c>
      <c r="AI29" s="345" t="s">
        <v>10043</v>
      </c>
      <c r="AJ29" s="152" t="s">
        <v>10028</v>
      </c>
      <c r="AK29" s="151" t="s">
        <v>10044</v>
      </c>
      <c r="AL29" s="153" t="s">
        <v>10045</v>
      </c>
      <c r="AM29" s="339" t="s">
        <v>10046</v>
      </c>
      <c r="AN29" s="152" t="s">
        <v>10032</v>
      </c>
      <c r="AO29" s="191"/>
      <c r="AP29" s="153"/>
      <c r="AQ29" s="339"/>
      <c r="AR29" s="152"/>
      <c r="AS29" s="457"/>
      <c r="AT29" s="457"/>
    </row>
    <row r="30">
      <c r="A30" s="451" t="s">
        <v>10047</v>
      </c>
      <c r="B30" s="197" t="s">
        <v>10048</v>
      </c>
      <c r="C30" s="452" t="s">
        <v>10049</v>
      </c>
      <c r="D30" s="453" t="s">
        <v>8257</v>
      </c>
      <c r="E30" s="451" t="s">
        <v>10050</v>
      </c>
      <c r="F30" s="197" t="s">
        <v>10051</v>
      </c>
      <c r="G30" s="452" t="s">
        <v>10052</v>
      </c>
      <c r="H30" s="453" t="s">
        <v>8259</v>
      </c>
      <c r="I30" s="451" t="s">
        <v>10053</v>
      </c>
      <c r="J30" s="197" t="s">
        <v>10054</v>
      </c>
      <c r="K30" s="452" t="s">
        <v>10055</v>
      </c>
      <c r="L30" s="453" t="s">
        <v>8261</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10056</v>
      </c>
      <c r="Z30" s="192" t="s">
        <v>10057</v>
      </c>
      <c r="AA30" s="338" t="s">
        <v>10058</v>
      </c>
      <c r="AB30" s="189" t="s">
        <v>10059</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10060</v>
      </c>
      <c r="AH30" s="168" t="s">
        <v>10061</v>
      </c>
      <c r="AI30" s="345" t="s">
        <v>10062</v>
      </c>
      <c r="AJ30" s="152" t="s">
        <v>8270</v>
      </c>
      <c r="AK30" s="151" t="s">
        <v>10063</v>
      </c>
      <c r="AL30" s="153" t="s">
        <v>10064</v>
      </c>
      <c r="AM30" s="339" t="s">
        <v>10065</v>
      </c>
      <c r="AN30" s="152" t="s">
        <v>8272</v>
      </c>
      <c r="AO30" s="191"/>
      <c r="AP30" s="153"/>
      <c r="AQ30" s="339"/>
      <c r="AR30" s="152"/>
      <c r="AS30" s="457"/>
      <c r="AT30" s="457"/>
    </row>
    <row r="31">
      <c r="A31" s="451" t="s">
        <v>10066</v>
      </c>
      <c r="B31" s="197" t="s">
        <v>10067</v>
      </c>
      <c r="C31" s="452" t="s">
        <v>10068</v>
      </c>
      <c r="D31" s="453" t="s">
        <v>10069</v>
      </c>
      <c r="E31" s="451" t="s">
        <v>10070</v>
      </c>
      <c r="F31" s="197" t="s">
        <v>10071</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10072</v>
      </c>
      <c r="I31" s="451" t="s">
        <v>10073</v>
      </c>
      <c r="J31" s="197" t="s">
        <v>10074</v>
      </c>
      <c r="K31" s="452" t="s">
        <v>10075</v>
      </c>
      <c r="L31" s="453" t="s">
        <v>10076</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10077</v>
      </c>
      <c r="Z31" s="192" t="s">
        <v>10078</v>
      </c>
      <c r="AA31" s="338" t="s">
        <v>10079</v>
      </c>
      <c r="AB31" s="189" t="s">
        <v>10080</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10081</v>
      </c>
      <c r="AH31" s="168" t="s">
        <v>10082</v>
      </c>
      <c r="AI31" s="345" t="s">
        <v>10083</v>
      </c>
      <c r="AJ31" s="152" t="s">
        <v>10084</v>
      </c>
      <c r="AK31" s="151" t="s">
        <v>10085</v>
      </c>
      <c r="AL31" s="153" t="s">
        <v>10086</v>
      </c>
      <c r="AM31" s="339" t="s">
        <v>10087</v>
      </c>
      <c r="AN31" s="152" t="s">
        <v>10088</v>
      </c>
      <c r="AO31" s="191"/>
      <c r="AP31" s="153"/>
      <c r="AQ31" s="339"/>
      <c r="AR31" s="152"/>
      <c r="AS31" s="457"/>
      <c r="AT31" s="457"/>
    </row>
    <row r="32">
      <c r="A32" s="451" t="s">
        <v>10089</v>
      </c>
      <c r="B32" s="197" t="s">
        <v>10090</v>
      </c>
      <c r="C32" s="452" t="s">
        <v>10091</v>
      </c>
      <c r="D32" s="453" t="s">
        <v>7322</v>
      </c>
      <c r="E32" s="451" t="s">
        <v>10092</v>
      </c>
      <c r="F32" s="376" t="str">
        <f>IFERROR(__xludf.DUMMYFUNCTION("GOOGLETRANSLATE(B32,""zh-tw"",""ja"")"),"祝福を享受できますように")</f>
        <v>祝福を享受できますように</v>
      </c>
      <c r="G32" s="452" t="s">
        <v>10093</v>
      </c>
      <c r="H32" s="453" t="s">
        <v>7324</v>
      </c>
      <c r="I32" s="451" t="s">
        <v>10094</v>
      </c>
      <c r="J32" s="197" t="s">
        <v>10095</v>
      </c>
      <c r="K32" s="452" t="s">
        <v>10096</v>
      </c>
      <c r="L32" s="453" t="s">
        <v>7325</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10097</v>
      </c>
      <c r="Z32" s="192" t="s">
        <v>10098</v>
      </c>
      <c r="AA32" s="338" t="s">
        <v>10099</v>
      </c>
      <c r="AB32" s="189" t="s">
        <v>7330</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10100</v>
      </c>
      <c r="AH32" s="168" t="s">
        <v>10101</v>
      </c>
      <c r="AI32" s="339" t="s">
        <v>10102</v>
      </c>
      <c r="AJ32" s="152" t="s">
        <v>10103</v>
      </c>
      <c r="AK32" s="151" t="s">
        <v>10104</v>
      </c>
      <c r="AL32" s="153" t="s">
        <v>10105</v>
      </c>
      <c r="AM32" s="339" t="s">
        <v>10106</v>
      </c>
      <c r="AN32" s="458" t="s">
        <v>10107</v>
      </c>
      <c r="AO32" s="191"/>
      <c r="AP32" s="153"/>
      <c r="AQ32" s="339"/>
      <c r="AR32" s="458"/>
      <c r="AS32" s="457"/>
      <c r="AT32" s="457"/>
    </row>
    <row r="33">
      <c r="A33" s="451" t="s">
        <v>10108</v>
      </c>
      <c r="B33" s="197" t="s">
        <v>1120</v>
      </c>
      <c r="C33" s="452" t="s">
        <v>1120</v>
      </c>
      <c r="D33" s="453" t="s">
        <v>10109</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10110</v>
      </c>
      <c r="J33" s="376" t="str">
        <f>IFERROR(__xludf.DUMMYFUNCTION("GOOGLETRANSLATE(B33,""zh-tw"",""en"")"),"-")</f>
        <v>-</v>
      </c>
      <c r="K33" s="454" t="str">
        <f>IFERROR(__xludf.DUMMYFUNCTION("GOOGLETRANSLATE(C33,""zh-tw"",""en"")"),"-")</f>
        <v>-</v>
      </c>
      <c r="L33" s="453" t="s">
        <v>10111</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10112</v>
      </c>
      <c r="Z33" s="192" t="s">
        <v>1120</v>
      </c>
      <c r="AA33" s="338" t="s">
        <v>1120</v>
      </c>
      <c r="AB33" s="189" t="s">
        <v>10113</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10114</v>
      </c>
      <c r="AH33" s="153" t="s">
        <v>1120</v>
      </c>
      <c r="AI33" s="339" t="s">
        <v>1120</v>
      </c>
      <c r="AJ33" s="152" t="s">
        <v>10115</v>
      </c>
      <c r="AK33" s="151" t="s">
        <v>10116</v>
      </c>
      <c r="AL33" s="153" t="s">
        <v>1120</v>
      </c>
      <c r="AM33" s="339" t="s">
        <v>1120</v>
      </c>
      <c r="AN33" s="152" t="s">
        <v>10117</v>
      </c>
      <c r="AO33" s="191"/>
      <c r="AP33" s="153"/>
      <c r="AQ33" s="339"/>
      <c r="AR33" s="152"/>
      <c r="AS33" s="457"/>
      <c r="AT33" s="457"/>
    </row>
    <row r="34">
      <c r="A34" s="451" t="s">
        <v>10118</v>
      </c>
      <c r="B34" s="197" t="s">
        <v>10119</v>
      </c>
      <c r="C34" s="452" t="s">
        <v>10120</v>
      </c>
      <c r="D34" s="453" t="s">
        <v>6653</v>
      </c>
      <c r="E34" s="451" t="s">
        <v>6655</v>
      </c>
      <c r="F34" s="197" t="s">
        <v>10121</v>
      </c>
      <c r="G34" s="454" t="str">
        <f>IFERROR(__xludf.DUMMYFUNCTION("GOOGLETRANSLATE(C34,""zh-tw"",""ja"")"),"全属性が上昇し、一時的に無敵になる。")</f>
        <v>全属性が上昇し、一時的に無敵になる。</v>
      </c>
      <c r="H34" s="453" t="s">
        <v>6655</v>
      </c>
      <c r="I34" s="451" t="s">
        <v>6657</v>
      </c>
      <c r="J34" s="197" t="s">
        <v>10122</v>
      </c>
      <c r="K34" s="452" t="s">
        <v>10123</v>
      </c>
      <c r="L34" s="453" t="s">
        <v>6657</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6659</v>
      </c>
      <c r="Z34" s="192" t="s">
        <v>10124</v>
      </c>
      <c r="AA34" s="338" t="s">
        <v>10125</v>
      </c>
      <c r="AB34" s="189" t="s">
        <v>6659</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10126</v>
      </c>
      <c r="AH34" s="168" t="s">
        <v>10127</v>
      </c>
      <c r="AI34" s="339" t="s">
        <v>10128</v>
      </c>
      <c r="AJ34" s="152" t="s">
        <v>10126</v>
      </c>
      <c r="AK34" s="151" t="s">
        <v>6665</v>
      </c>
      <c r="AL34" s="153" t="s">
        <v>10129</v>
      </c>
      <c r="AM34" s="339" t="s">
        <v>10130</v>
      </c>
      <c r="AN34" s="152" t="s">
        <v>6665</v>
      </c>
      <c r="AO34" s="191"/>
      <c r="AP34" s="153"/>
      <c r="AQ34" s="339"/>
      <c r="AR34" s="152"/>
      <c r="AS34" s="457"/>
      <c r="AT34" s="457"/>
    </row>
    <row r="35">
      <c r="A35" s="451" t="s">
        <v>3920</v>
      </c>
      <c r="B35" s="197" t="s">
        <v>10131</v>
      </c>
      <c r="C35" s="452" t="s">
        <v>10132</v>
      </c>
      <c r="D35" s="453" t="s">
        <v>10133</v>
      </c>
      <c r="E35" s="451" t="s">
        <v>3923</v>
      </c>
      <c r="F35" s="197" t="s">
        <v>10134</v>
      </c>
      <c r="G35" s="454" t="str">
        <f>IFERROR(__xludf.DUMMYFUNCTION("GOOGLETRANSLATE(C35,""zh-tw"",""ja"")"),"スタミナを回復できない")</f>
        <v>スタミナを回復できない</v>
      </c>
      <c r="H35" s="453" t="s">
        <v>6014</v>
      </c>
      <c r="I35" s="451" t="s">
        <v>6016</v>
      </c>
      <c r="J35" s="197" t="s">
        <v>10135</v>
      </c>
      <c r="K35" s="452" t="s">
        <v>10136</v>
      </c>
      <c r="L35" s="453" t="s">
        <v>6016</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10137</v>
      </c>
      <c r="Z35" s="192" t="s">
        <v>10138</v>
      </c>
      <c r="AA35" s="338" t="s">
        <v>10139</v>
      </c>
      <c r="AB35" s="189" t="s">
        <v>7671</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6022</v>
      </c>
      <c r="AH35" s="168" t="s">
        <v>10140</v>
      </c>
      <c r="AI35" s="339" t="s">
        <v>10141</v>
      </c>
      <c r="AJ35" s="152" t="s">
        <v>6022</v>
      </c>
      <c r="AK35" s="151" t="s">
        <v>6024</v>
      </c>
      <c r="AL35" s="153" t="s">
        <v>10142</v>
      </c>
      <c r="AM35" s="339" t="s">
        <v>10143</v>
      </c>
      <c r="AN35" s="152" t="s">
        <v>6024</v>
      </c>
      <c r="AO35" s="191"/>
      <c r="AP35" s="153"/>
      <c r="AQ35" s="339"/>
      <c r="AR35" s="152"/>
      <c r="AS35" s="457"/>
      <c r="AT35" s="457"/>
    </row>
    <row r="36">
      <c r="A36" s="451" t="s">
        <v>10144</v>
      </c>
      <c r="B36" s="197" t="s">
        <v>1120</v>
      </c>
      <c r="C36" s="452" t="s">
        <v>10145</v>
      </c>
      <c r="D36" s="453" t="s">
        <v>10146</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10147</v>
      </c>
      <c r="J36" s="376" t="str">
        <f>IFERROR(__xludf.DUMMYFUNCTION("GOOGLETRANSLATE(B36,""zh-tw"",""en"")"),"-")</f>
        <v>-</v>
      </c>
      <c r="K36" s="452" t="s">
        <v>10148</v>
      </c>
      <c r="L36" s="453" t="s">
        <v>10149</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10150</v>
      </c>
      <c r="Z36" s="192" t="s">
        <v>1120</v>
      </c>
      <c r="AA36" s="338" t="s">
        <v>10151</v>
      </c>
      <c r="AB36" s="189" t="s">
        <v>10150</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10152</v>
      </c>
      <c r="AH36" s="153" t="s">
        <v>1120</v>
      </c>
      <c r="AI36" s="345" t="s">
        <v>10153</v>
      </c>
      <c r="AJ36" s="152" t="s">
        <v>10154</v>
      </c>
      <c r="AK36" s="151" t="s">
        <v>10155</v>
      </c>
      <c r="AL36" s="153" t="s">
        <v>1120</v>
      </c>
      <c r="AM36" s="339" t="s">
        <v>10156</v>
      </c>
      <c r="AN36" s="152" t="s">
        <v>10157</v>
      </c>
      <c r="AO36" s="191"/>
      <c r="AP36" s="153"/>
      <c r="AQ36" s="339"/>
      <c r="AR36" s="152"/>
      <c r="AS36" s="457"/>
      <c r="AT36" s="457"/>
    </row>
    <row r="37">
      <c r="A37" s="451" t="s">
        <v>10158</v>
      </c>
      <c r="B37" s="197" t="s">
        <v>10159</v>
      </c>
      <c r="C37" s="452" t="s">
        <v>10160</v>
      </c>
      <c r="D37" s="453" t="s">
        <v>6096</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10161</v>
      </c>
      <c r="J37" s="197" t="s">
        <v>10162</v>
      </c>
      <c r="K37" s="452" t="s">
        <v>10163</v>
      </c>
      <c r="L37" s="453" t="s">
        <v>6099</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10164</v>
      </c>
      <c r="Z37" s="192" t="s">
        <v>10165</v>
      </c>
      <c r="AA37" s="338" t="s">
        <v>10166</v>
      </c>
      <c r="AB37" s="189" t="s">
        <v>6394</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10167</v>
      </c>
      <c r="AH37" s="168" t="s">
        <v>10168</v>
      </c>
      <c r="AI37" s="345" t="s">
        <v>10169</v>
      </c>
      <c r="AJ37" s="152" t="s">
        <v>6106</v>
      </c>
      <c r="AK37" s="151" t="s">
        <v>10170</v>
      </c>
      <c r="AL37" s="153" t="s">
        <v>10171</v>
      </c>
      <c r="AM37" s="339" t="s">
        <v>10172</v>
      </c>
      <c r="AN37" s="152" t="s">
        <v>6108</v>
      </c>
      <c r="AO37" s="191"/>
      <c r="AP37" s="153"/>
      <c r="AQ37" s="339"/>
      <c r="AR37" s="152"/>
      <c r="AS37" s="457"/>
      <c r="AT37" s="457"/>
    </row>
    <row r="38">
      <c r="A38" s="451" t="s">
        <v>10173</v>
      </c>
      <c r="B38" s="197" t="s">
        <v>10174</v>
      </c>
      <c r="C38" s="452" t="s">
        <v>10175</v>
      </c>
      <c r="D38" s="453" t="s">
        <v>7003</v>
      </c>
      <c r="E38" s="451" t="s">
        <v>10176</v>
      </c>
      <c r="F38" s="197" t="s">
        <v>10177</v>
      </c>
      <c r="G38" s="454" t="str">
        <f>IFERROR(__xludf.DUMMYFUNCTION("GOOGLETRANSLATE(C38,""zh-tw"",""ja"")"),"スタミナは自動的に回復します。")</f>
        <v>スタミナは自動的に回復します。</v>
      </c>
      <c r="H38" s="453" t="s">
        <v>10178</v>
      </c>
      <c r="I38" s="451" t="s">
        <v>10179</v>
      </c>
      <c r="J38" s="197" t="s">
        <v>10180</v>
      </c>
      <c r="K38" s="452" t="s">
        <v>10181</v>
      </c>
      <c r="L38" s="453" t="s">
        <v>10182</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10183</v>
      </c>
      <c r="Z38" s="192" t="s">
        <v>10184</v>
      </c>
      <c r="AA38" s="338" t="s">
        <v>10185</v>
      </c>
      <c r="AB38" s="189" t="s">
        <v>10186</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10187</v>
      </c>
      <c r="AH38" s="168" t="s">
        <v>10188</v>
      </c>
      <c r="AI38" s="345" t="s">
        <v>10189</v>
      </c>
      <c r="AJ38" s="152" t="s">
        <v>10190</v>
      </c>
      <c r="AK38" s="151" t="s">
        <v>10191</v>
      </c>
      <c r="AL38" s="153" t="s">
        <v>10192</v>
      </c>
      <c r="AM38" s="339" t="s">
        <v>10193</v>
      </c>
      <c r="AN38" s="152" t="s">
        <v>10194</v>
      </c>
      <c r="AO38" s="191"/>
      <c r="AP38" s="153"/>
      <c r="AQ38" s="339"/>
      <c r="AR38" s="152"/>
      <c r="AS38" s="457"/>
      <c r="AT38" s="457"/>
    </row>
    <row r="39">
      <c r="A39" s="451" t="s">
        <v>10195</v>
      </c>
      <c r="B39" s="197" t="s">
        <v>10196</v>
      </c>
      <c r="C39" s="452" t="s">
        <v>10197</v>
      </c>
      <c r="D39" s="453" t="s">
        <v>10198</v>
      </c>
      <c r="E39" s="451" t="s">
        <v>10199</v>
      </c>
      <c r="F39" s="197" t="s">
        <v>10200</v>
      </c>
      <c r="G39" s="452" t="s">
        <v>10201</v>
      </c>
      <c r="H39" s="453" t="s">
        <v>10202</v>
      </c>
      <c r="I39" s="451" t="s">
        <v>10203</v>
      </c>
      <c r="J39" s="197" t="s">
        <v>10204</v>
      </c>
      <c r="K39" s="452" t="s">
        <v>10205</v>
      </c>
      <c r="L39" s="453" t="s">
        <v>10206</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10207</v>
      </c>
      <c r="Z39" s="192" t="s">
        <v>10208</v>
      </c>
      <c r="AA39" s="338" t="s">
        <v>10209</v>
      </c>
      <c r="AB39" s="189" t="s">
        <v>10210</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10211</v>
      </c>
      <c r="AH39" s="168" t="s">
        <v>10212</v>
      </c>
      <c r="AI39" s="345" t="s">
        <v>10213</v>
      </c>
      <c r="AJ39" s="152" t="s">
        <v>10214</v>
      </c>
      <c r="AK39" s="151" t="s">
        <v>10203</v>
      </c>
      <c r="AL39" s="153" t="s">
        <v>10215</v>
      </c>
      <c r="AM39" s="339" t="s">
        <v>10216</v>
      </c>
      <c r="AN39" s="152" t="s">
        <v>10217</v>
      </c>
      <c r="AO39" s="191"/>
      <c r="AP39" s="153"/>
      <c r="AQ39" s="339"/>
      <c r="AR39" s="152"/>
      <c r="AS39" s="457"/>
      <c r="AT39" s="457"/>
    </row>
    <row r="40">
      <c r="A40" s="451" t="s">
        <v>10218</v>
      </c>
      <c r="B40" s="197" t="s">
        <v>10219</v>
      </c>
      <c r="C40" s="452" t="s">
        <v>10220</v>
      </c>
      <c r="D40" s="453" t="s">
        <v>10221</v>
      </c>
      <c r="E40" s="451" t="s">
        <v>10222</v>
      </c>
      <c r="F40" s="197" t="s">
        <v>10223</v>
      </c>
      <c r="G40" s="452" t="s">
        <v>10224</v>
      </c>
      <c r="H40" s="453" t="s">
        <v>10225</v>
      </c>
      <c r="I40" s="451" t="s">
        <v>10226</v>
      </c>
      <c r="J40" s="197" t="s">
        <v>10227</v>
      </c>
      <c r="K40" s="452" t="s">
        <v>10228</v>
      </c>
      <c r="L40" s="453" t="s">
        <v>10229</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10230</v>
      </c>
      <c r="Z40" s="192" t="s">
        <v>10231</v>
      </c>
      <c r="AA40" s="338" t="s">
        <v>10232</v>
      </c>
      <c r="AB40" s="189" t="s">
        <v>10233</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10234</v>
      </c>
      <c r="AH40" s="168" t="s">
        <v>10235</v>
      </c>
      <c r="AI40" s="345" t="s">
        <v>10236</v>
      </c>
      <c r="AJ40" s="152" t="s">
        <v>10237</v>
      </c>
      <c r="AK40" s="151" t="s">
        <v>10226</v>
      </c>
      <c r="AL40" s="153" t="s">
        <v>10238</v>
      </c>
      <c r="AM40" s="339" t="s">
        <v>10239</v>
      </c>
      <c r="AN40" s="152" t="s">
        <v>10240</v>
      </c>
      <c r="AO40" s="191"/>
      <c r="AP40" s="153"/>
      <c r="AQ40" s="339"/>
      <c r="AR40" s="152"/>
      <c r="AS40" s="457"/>
      <c r="AT40" s="457"/>
    </row>
    <row r="41">
      <c r="A41" s="451" t="s">
        <v>10241</v>
      </c>
      <c r="B41" s="197" t="s">
        <v>10242</v>
      </c>
      <c r="C41" s="452" t="s">
        <v>10243</v>
      </c>
      <c r="D41" s="453" t="s">
        <v>10244</v>
      </c>
      <c r="E41" s="451" t="s">
        <v>10245</v>
      </c>
      <c r="F41" s="197" t="s">
        <v>10246</v>
      </c>
      <c r="G41" s="452" t="s">
        <v>10247</v>
      </c>
      <c r="H41" s="453" t="s">
        <v>10248</v>
      </c>
      <c r="I41" s="451" t="s">
        <v>10249</v>
      </c>
      <c r="J41" s="197" t="s">
        <v>10250</v>
      </c>
      <c r="K41" s="452" t="s">
        <v>10251</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10252</v>
      </c>
      <c r="Z41" s="192" t="s">
        <v>10253</v>
      </c>
      <c r="AA41" s="338" t="s">
        <v>10254</v>
      </c>
      <c r="AB41" s="189" t="s">
        <v>10255</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2770</v>
      </c>
      <c r="AH41" s="153" t="s">
        <v>10256</v>
      </c>
      <c r="AI41" s="345" t="s">
        <v>10257</v>
      </c>
      <c r="AJ41" s="459"/>
      <c r="AK41" s="151" t="s">
        <v>2773</v>
      </c>
      <c r="AL41" s="153" t="s">
        <v>10258</v>
      </c>
      <c r="AM41" s="339" t="s">
        <v>10259</v>
      </c>
      <c r="AN41" s="459"/>
      <c r="AO41" s="191"/>
      <c r="AP41" s="153"/>
      <c r="AQ41" s="339"/>
      <c r="AR41" s="459"/>
      <c r="AS41" s="457"/>
      <c r="AT41" s="457"/>
    </row>
    <row r="42">
      <c r="A42" s="451" t="s">
        <v>10260</v>
      </c>
      <c r="B42" s="197" t="s">
        <v>10261</v>
      </c>
      <c r="C42" s="452" t="s">
        <v>10262</v>
      </c>
      <c r="D42" s="453" t="s">
        <v>10263</v>
      </c>
      <c r="E42" s="451" t="s">
        <v>10264</v>
      </c>
      <c r="F42" s="197" t="s">
        <v>10265</v>
      </c>
      <c r="G42" s="452" t="s">
        <v>10266</v>
      </c>
      <c r="H42" s="453" t="s">
        <v>10267</v>
      </c>
      <c r="I42" s="451" t="s">
        <v>10268</v>
      </c>
      <c r="J42" s="197" t="s">
        <v>10269</v>
      </c>
      <c r="K42" s="452" t="s">
        <v>10270</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10271</v>
      </c>
      <c r="Z42" s="192" t="s">
        <v>10272</v>
      </c>
      <c r="AA42" s="338" t="s">
        <v>10273</v>
      </c>
      <c r="AB42" s="189" t="s">
        <v>10274</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10275</v>
      </c>
      <c r="AH42" s="168" t="s">
        <v>10276</v>
      </c>
      <c r="AI42" s="345" t="s">
        <v>10277</v>
      </c>
      <c r="AJ42" s="459"/>
      <c r="AK42" s="151" t="s">
        <v>10268</v>
      </c>
      <c r="AL42" s="153" t="s">
        <v>10278</v>
      </c>
      <c r="AM42" s="339" t="s">
        <v>10279</v>
      </c>
      <c r="AN42" s="459"/>
      <c r="AO42" s="191"/>
      <c r="AP42" s="153"/>
      <c r="AQ42" s="339"/>
      <c r="AR42" s="459"/>
      <c r="AS42" s="457"/>
      <c r="AT42" s="457"/>
    </row>
    <row r="43">
      <c r="A43" s="451" t="s">
        <v>10280</v>
      </c>
      <c r="B43" s="197" t="s">
        <v>10281</v>
      </c>
      <c r="C43" s="452" t="s">
        <v>1120</v>
      </c>
      <c r="D43" s="453" t="s">
        <v>7772</v>
      </c>
      <c r="E43" s="451" t="s">
        <v>10282</v>
      </c>
      <c r="F43" s="197" t="s">
        <v>10283</v>
      </c>
      <c r="G43" s="452" t="s">
        <v>1120</v>
      </c>
      <c r="H43" s="453" t="s">
        <v>10284</v>
      </c>
      <c r="I43" s="451" t="s">
        <v>7776</v>
      </c>
      <c r="J43" s="197" t="s">
        <v>10285</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10286</v>
      </c>
      <c r="Z43" s="192" t="s">
        <v>10287</v>
      </c>
      <c r="AA43" s="338" t="s">
        <v>1120</v>
      </c>
      <c r="AB43" s="189" t="s">
        <v>7778</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10288</v>
      </c>
      <c r="AH43" s="168" t="s">
        <v>10289</v>
      </c>
      <c r="AI43" s="460"/>
      <c r="AJ43" s="459"/>
      <c r="AK43" s="151" t="s">
        <v>7776</v>
      </c>
      <c r="AL43" s="153" t="s">
        <v>10285</v>
      </c>
      <c r="AM43" s="460"/>
      <c r="AN43" s="459"/>
      <c r="AO43" s="191"/>
      <c r="AP43" s="153"/>
      <c r="AQ43" s="460"/>
      <c r="AR43" s="459"/>
      <c r="AS43" s="457"/>
      <c r="AT43" s="457"/>
    </row>
    <row r="44">
      <c r="A44" s="451" t="s">
        <v>10290</v>
      </c>
      <c r="B44" s="197" t="s">
        <v>10291</v>
      </c>
      <c r="C44" s="452" t="s">
        <v>10292</v>
      </c>
      <c r="D44" s="453" t="s">
        <v>7689</v>
      </c>
      <c r="E44" s="451" t="s">
        <v>10293</v>
      </c>
      <c r="F44" s="197" t="s">
        <v>10294</v>
      </c>
      <c r="G44" s="452" t="s">
        <v>10295</v>
      </c>
      <c r="H44" s="456" t="str">
        <f>IFERROR(__xludf.DUMMYFUNCTION("GOOGLETRANSLATE(D44,""zh-tw"",""ja"")"),"貪欲な貯金箱")</f>
        <v>貪欲な貯金箱</v>
      </c>
      <c r="I44" s="451" t="s">
        <v>10296</v>
      </c>
      <c r="J44" s="197" t="s">
        <v>10297</v>
      </c>
      <c r="K44" s="452" t="s">
        <v>10298</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10299</v>
      </c>
      <c r="Z44" s="192" t="s">
        <v>10300</v>
      </c>
      <c r="AA44" s="338" t="s">
        <v>10301</v>
      </c>
      <c r="AB44" s="189" t="s">
        <v>7693</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IFERROR(__xludf.DUMMYFUNCTION("GOOGLETRANSLATE(C44,""zh-tw"",""DE"")"),"Gezwungen, Goldmünzen fallen zu lassen, wenn er verletzt ist")</f>
        <v>Gezwungen, Goldmünzen fallen zu lassen, wenn er verletzt ist</v>
      </c>
      <c r="AF44" s="456" t="str">
        <f>IFERROR(__xludf.DUMMYFUNCTION("GOOGLETRANSLATE(D44,""zh-tw"",""DE"")"),"Gieriges Sparschwein")</f>
        <v>Gieriges Sparschwein</v>
      </c>
      <c r="AG44" s="461" t="s">
        <v>10302</v>
      </c>
      <c r="AH44" s="168" t="s">
        <v>10303</v>
      </c>
      <c r="AI44" s="345" t="s">
        <v>10304</v>
      </c>
      <c r="AJ44" s="462"/>
      <c r="AK44" s="191" t="s">
        <v>10305</v>
      </c>
      <c r="AL44" s="192" t="s">
        <v>10306</v>
      </c>
      <c r="AM44" s="338" t="s">
        <v>10307</v>
      </c>
      <c r="AN44" s="462"/>
      <c r="AO44" s="191"/>
      <c r="AP44" s="192"/>
      <c r="AQ44" s="338"/>
      <c r="AR44" s="462"/>
      <c r="AS44" s="463"/>
      <c r="AT44" s="463"/>
    </row>
    <row r="45">
      <c r="A45" s="451" t="s">
        <v>10308</v>
      </c>
      <c r="B45" s="197" t="s">
        <v>10309</v>
      </c>
      <c r="C45" s="452" t="s">
        <v>10310</v>
      </c>
      <c r="D45" s="453" t="s">
        <v>7576</v>
      </c>
      <c r="E45" s="451" t="s">
        <v>10311</v>
      </c>
      <c r="F45" s="197" t="s">
        <v>10312</v>
      </c>
      <c r="G45" s="452" t="s">
        <v>10313</v>
      </c>
      <c r="H45" s="456" t="str">
        <f>IFERROR(__xludf.DUMMYFUNCTION("GOOGLETRANSLATE(D45,""zh-tw"",""ja"")"),"夜霧の幻影")</f>
        <v>夜霧の幻影</v>
      </c>
      <c r="I45" s="451" t="s">
        <v>10314</v>
      </c>
      <c r="J45" s="197" t="s">
        <v>10315</v>
      </c>
      <c r="K45" s="452" t="s">
        <v>10316</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10317</v>
      </c>
      <c r="Z45" s="192" t="s">
        <v>10318</v>
      </c>
      <c r="AA45" s="338" t="s">
        <v>10319</v>
      </c>
      <c r="AB45" s="189" t="s">
        <v>7582</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10320</v>
      </c>
      <c r="AH45" s="168" t="s">
        <v>10321</v>
      </c>
      <c r="AI45" s="345" t="s">
        <v>10322</v>
      </c>
      <c r="AJ45" s="189"/>
      <c r="AK45" s="191" t="s">
        <v>10323</v>
      </c>
      <c r="AL45" s="192" t="s">
        <v>10324</v>
      </c>
      <c r="AM45" s="338" t="s">
        <v>10325</v>
      </c>
      <c r="AN45" s="462"/>
      <c r="AO45" s="191"/>
      <c r="AP45" s="192"/>
      <c r="AQ45" s="338"/>
      <c r="AR45" s="462"/>
      <c r="AS45" s="463"/>
      <c r="AT45" s="463"/>
    </row>
    <row r="46">
      <c r="A46" s="191" t="s">
        <v>10326</v>
      </c>
      <c r="B46" s="192" t="s">
        <v>10327</v>
      </c>
      <c r="C46" s="338" t="s">
        <v>10328</v>
      </c>
      <c r="D46" s="189" t="s">
        <v>10329</v>
      </c>
      <c r="E46" s="191" t="s">
        <v>10330</v>
      </c>
      <c r="F46" s="192" t="s">
        <v>10331</v>
      </c>
      <c r="G46" s="338" t="s">
        <v>10332</v>
      </c>
      <c r="H46" s="189" t="s">
        <v>10333</v>
      </c>
      <c r="I46" s="451" t="s">
        <v>10334</v>
      </c>
      <c r="J46" s="192" t="s">
        <v>10335</v>
      </c>
      <c r="K46" s="338" t="s">
        <v>10336</v>
      </c>
      <c r="L46" s="167" t="s">
        <v>10337</v>
      </c>
      <c r="M46" s="191" t="s">
        <v>10338</v>
      </c>
      <c r="N46" s="192" t="s">
        <v>10327</v>
      </c>
      <c r="O46" s="338" t="s">
        <v>10339</v>
      </c>
      <c r="P46" s="189" t="s">
        <v>10340</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10341</v>
      </c>
      <c r="Z46" s="192" t="s">
        <v>10342</v>
      </c>
      <c r="AA46" s="338" t="s">
        <v>10343</v>
      </c>
      <c r="AB46" s="189" t="s">
        <v>5698</v>
      </c>
      <c r="AC46" s="455" t="str">
        <f>IFERROR(__xludf.DUMMYFUNCTION("GOOGLETRANSLATE(A46,""zh-tw"",""DE"")"),"Ich habe immer das Gefühl, dass mich etwas verfolgt.")</f>
        <v>Ich habe immer das Gefühl, dass mich etwas verfolgt.</v>
      </c>
      <c r="AD46" s="192" t="s">
        <v>10344</v>
      </c>
      <c r="AE46" s="338" t="s">
        <v>10345</v>
      </c>
      <c r="AF46" s="189" t="s">
        <v>10346</v>
      </c>
      <c r="AG46" s="451" t="s">
        <v>10347</v>
      </c>
      <c r="AH46" s="464" t="s">
        <v>10348</v>
      </c>
      <c r="AI46" s="465" t="s">
        <v>10349</v>
      </c>
      <c r="AJ46" s="466" t="s">
        <v>10350</v>
      </c>
      <c r="AK46" s="191" t="s">
        <v>10351</v>
      </c>
      <c r="AL46" s="192" t="s">
        <v>10352</v>
      </c>
      <c r="AM46" s="338" t="s">
        <v>10353</v>
      </c>
      <c r="AN46" s="189" t="s">
        <v>10354</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10355</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10356</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10357</v>
      </c>
      <c r="G1" s="479" t="s">
        <v>10358</v>
      </c>
      <c r="H1" s="480"/>
      <c r="I1" s="480"/>
      <c r="J1" s="480"/>
      <c r="K1" s="480"/>
      <c r="L1" s="480"/>
      <c r="M1" s="480"/>
      <c r="N1" s="480"/>
      <c r="O1" s="480"/>
      <c r="P1" s="480"/>
      <c r="Q1" s="480"/>
      <c r="R1" s="480"/>
    </row>
    <row r="2">
      <c r="A2" s="481" t="s">
        <v>10359</v>
      </c>
      <c r="B2" s="134" t="str">
        <f>IFERROR(__xludf.DUMMYFUNCTION("GOOGLETRANSLATE(A2,""zh-tw"",""ja"")"),"1 - Google Play で「ファイル マネージャー」を検索してインストールします。")</f>
        <v>1 - Google Play で「ファイル マネージャー」を検索してインストールします。</v>
      </c>
      <c r="C2" s="252" t="s">
        <v>10360</v>
      </c>
      <c r="D2" s="482" t="str">
        <f>IFERROR(__xludf.DUMMYFUNCTION("GOOGLETRANSLATE(A2,""zh-tw"",""zh"")"),"1 - 在google play上搜寻 档案管理员 安装。")</f>
        <v>1 - 在google play上搜寻 档案管理员 安装。</v>
      </c>
      <c r="E2" s="483" t="s">
        <v>10361</v>
      </c>
      <c r="F2" s="179" t="s">
        <v>10362</v>
      </c>
      <c r="G2" s="484" t="s">
        <v>10363</v>
      </c>
      <c r="H2" s="217"/>
      <c r="I2" s="217"/>
      <c r="J2" s="217"/>
      <c r="K2" s="217"/>
      <c r="L2" s="217"/>
      <c r="M2" s="217"/>
      <c r="N2" s="217"/>
      <c r="O2" s="217"/>
      <c r="P2" s="217"/>
      <c r="Q2" s="217"/>
      <c r="R2" s="217"/>
    </row>
    <row r="3">
      <c r="A3" s="481" t="s">
        <v>10364</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10365</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10366</v>
      </c>
      <c r="F3" s="179" t="s">
        <v>10367</v>
      </c>
      <c r="G3" s="485" t="s">
        <v>10368</v>
      </c>
      <c r="H3" s="217"/>
      <c r="I3" s="217"/>
      <c r="J3" s="217"/>
      <c r="K3" s="217"/>
      <c r="L3" s="217"/>
      <c r="M3" s="217"/>
      <c r="N3" s="217"/>
      <c r="O3" s="217"/>
      <c r="P3" s="217"/>
      <c r="Q3" s="217"/>
      <c r="R3" s="217"/>
    </row>
    <row r="4">
      <c r="A4" s="481" t="s">
        <v>10369</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10370</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10371</v>
      </c>
      <c r="F4" s="179" t="s">
        <v>10372</v>
      </c>
      <c r="G4" s="484" t="s">
        <v>10373</v>
      </c>
      <c r="H4" s="217"/>
      <c r="I4" s="217"/>
      <c r="J4" s="217"/>
      <c r="K4" s="217"/>
      <c r="L4" s="217"/>
      <c r="M4" s="217"/>
      <c r="N4" s="217"/>
      <c r="O4" s="217"/>
      <c r="P4" s="217"/>
      <c r="Q4" s="217"/>
      <c r="R4" s="217"/>
    </row>
    <row r="5">
      <c r="A5" s="481" t="s">
        <v>10374</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10375</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10376</v>
      </c>
      <c r="F5" s="179" t="s">
        <v>10377</v>
      </c>
      <c r="G5" s="485" t="s">
        <v>10378</v>
      </c>
      <c r="H5" s="217"/>
      <c r="I5" s="217"/>
      <c r="J5" s="217"/>
      <c r="K5" s="217"/>
      <c r="L5" s="217"/>
      <c r="M5" s="217"/>
      <c r="N5" s="217"/>
      <c r="O5" s="217"/>
      <c r="P5" s="217"/>
      <c r="Q5" s="217"/>
      <c r="R5" s="217"/>
    </row>
    <row r="6">
      <c r="A6" s="486" t="s">
        <v>10379</v>
      </c>
      <c r="B6" s="487" t="s">
        <v>10380</v>
      </c>
      <c r="C6" s="488" t="s">
        <v>10381</v>
      </c>
      <c r="D6" s="489" t="s">
        <v>10382</v>
      </c>
      <c r="E6" s="490" t="s">
        <v>10383</v>
      </c>
      <c r="F6" s="491" t="s">
        <v>10384</v>
      </c>
      <c r="G6" s="492" t="s">
        <v>10385</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10386</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10387</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10388</v>
      </c>
      <c r="B3" s="73" t="s">
        <v>10388</v>
      </c>
      <c r="C3" s="500" t="s">
        <v>10388</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10389</v>
      </c>
      <c r="B5" s="73" t="str">
        <f>IFERROR(__xludf.DUMMYFUNCTION("GOOGLETRANSLATE(A5,""zh-tw"",""ja"")"),"公式YouTubeチャンネル")</f>
        <v>公式YouTubeチャンネル</v>
      </c>
      <c r="C5" s="500" t="str">
        <f>IFERROR(__xludf.DUMMYFUNCTION("GOOGLETRANSLATE(A5,""zh-tw"",""en"")"),"Official YouTube channel")</f>
        <v>Official YouTube channel</v>
      </c>
      <c r="D5" s="218" t="s">
        <v>10390</v>
      </c>
      <c r="E5" s="498"/>
      <c r="F5" s="498"/>
      <c r="G5" s="498"/>
      <c r="H5" s="498"/>
      <c r="I5" s="498"/>
      <c r="J5" s="498"/>
      <c r="K5" s="498"/>
      <c r="L5" s="498"/>
      <c r="M5" s="498"/>
      <c r="N5" s="498"/>
      <c r="O5" s="498"/>
      <c r="P5" s="498"/>
      <c r="Q5" s="498"/>
      <c r="R5" s="498"/>
      <c r="S5" s="498"/>
      <c r="T5" s="498"/>
      <c r="U5" s="498"/>
      <c r="V5" s="498"/>
      <c r="W5" s="498"/>
      <c r="X5" s="498"/>
      <c r="Y5" s="498"/>
      <c r="Z5" s="498"/>
    </row>
    <row r="6">
      <c r="A6" s="499" t="s">
        <v>10391</v>
      </c>
      <c r="B6" s="73" t="str">
        <f>IFERROR(__xludf.DUMMYFUNCTION("GOOGLETRANSLATE(A6,""zh-tw"",""ja"")"),"公式法案")</f>
        <v>公式法案</v>
      </c>
      <c r="C6" s="500" t="str">
        <f>IFERROR(__xludf.DUMMYFUNCTION("GOOGLETRANSLATE(A6,""zh-tw"",""en"")"),"Official bill")</f>
        <v>Official bill</v>
      </c>
      <c r="D6" s="218" t="s">
        <v>10390</v>
      </c>
      <c r="E6" s="498"/>
      <c r="F6" s="498"/>
      <c r="G6" s="498"/>
      <c r="H6" s="498"/>
      <c r="I6" s="498"/>
      <c r="J6" s="498"/>
      <c r="K6" s="498"/>
      <c r="L6" s="498"/>
      <c r="M6" s="498"/>
      <c r="N6" s="498"/>
      <c r="O6" s="498"/>
      <c r="P6" s="498"/>
      <c r="Q6" s="498"/>
      <c r="R6" s="498"/>
      <c r="S6" s="498"/>
      <c r="T6" s="498"/>
      <c r="U6" s="498"/>
      <c r="V6" s="498"/>
      <c r="W6" s="498"/>
      <c r="X6" s="498"/>
      <c r="Y6" s="498"/>
      <c r="Z6" s="498"/>
    </row>
    <row r="7">
      <c r="A7" s="499" t="s">
        <v>10392</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10393</v>
      </c>
      <c r="E7" s="498"/>
      <c r="F7" s="498"/>
      <c r="G7" s="498"/>
      <c r="H7" s="498"/>
      <c r="I7" s="498"/>
      <c r="J7" s="498"/>
      <c r="K7" s="498"/>
      <c r="L7" s="498"/>
      <c r="M7" s="498"/>
      <c r="N7" s="498"/>
      <c r="O7" s="498"/>
      <c r="P7" s="498"/>
      <c r="Q7" s="498"/>
      <c r="R7" s="498"/>
      <c r="S7" s="498"/>
      <c r="T7" s="498"/>
      <c r="U7" s="498"/>
      <c r="V7" s="498"/>
      <c r="W7" s="498"/>
      <c r="X7" s="498"/>
      <c r="Y7" s="498"/>
      <c r="Z7" s="498"/>
    </row>
    <row r="8">
      <c r="A8" s="499" t="s">
        <v>10394</v>
      </c>
      <c r="B8" s="73" t="str">
        <f>IFERROR(__xludf.DUMMYFUNCTION("GOOGLETRANSLATE(A8,""zh-tw"",""ja"")"),"片桐亜紀（ビルビルチャンネル）
（妹役の声優）")</f>
        <v>片桐亜紀（ビルビルチャンネル）
（妹役の声優）</v>
      </c>
      <c r="C8" s="500" t="str">
        <f>IFERROR(__xludf.DUMMYFUNCTION("GOOGLETRANSLATE(A8,""zh-tw"",""en"")"),"Aki Katagiri (bilbill channel)
(Voice actress for the younger sister)")</f>
        <v>Aki Katagiri (bilbill channel)
(Voice actress for the younger sister)</v>
      </c>
      <c r="D8" s="218" t="s">
        <v>10393</v>
      </c>
      <c r="E8" s="498"/>
      <c r="F8" s="498"/>
      <c r="G8" s="498"/>
      <c r="H8" s="498"/>
      <c r="I8" s="498"/>
      <c r="J8" s="498"/>
      <c r="K8" s="498"/>
      <c r="L8" s="498"/>
      <c r="M8" s="498"/>
      <c r="N8" s="498"/>
      <c r="O8" s="498"/>
      <c r="P8" s="498"/>
      <c r="Q8" s="498"/>
      <c r="R8" s="498"/>
      <c r="S8" s="498"/>
      <c r="T8" s="498"/>
      <c r="U8" s="498"/>
      <c r="V8" s="498"/>
      <c r="W8" s="498"/>
      <c r="X8" s="498"/>
      <c r="Y8" s="498"/>
      <c r="Z8" s="498"/>
    </row>
    <row r="9">
      <c r="A9" s="499" t="s">
        <v>10395</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10396</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10397</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10398</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10399</v>
      </c>
      <c r="B1" s="474" t="s">
        <v>10400</v>
      </c>
      <c r="C1" s="475" t="s">
        <v>10401</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10402</v>
      </c>
      <c r="F1" s="476" t="s">
        <v>10403</v>
      </c>
      <c r="G1" s="510" t="s">
        <v>10404</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10405</v>
      </c>
      <c r="J1" s="478" t="s">
        <v>10406</v>
      </c>
      <c r="K1" s="178" t="s">
        <v>10407</v>
      </c>
      <c r="L1" s="178" t="s">
        <v>10408</v>
      </c>
      <c r="M1" s="511" t="s">
        <v>10409</v>
      </c>
      <c r="N1" s="511" t="s">
        <v>10410</v>
      </c>
      <c r="O1" s="480"/>
      <c r="P1" s="480"/>
      <c r="Q1" s="480"/>
      <c r="R1" s="480"/>
      <c r="S1" s="480"/>
      <c r="T1" s="480"/>
      <c r="U1" s="480"/>
      <c r="V1" s="480"/>
      <c r="W1" s="480"/>
    </row>
    <row r="2">
      <c r="A2" s="481" t="s">
        <v>10411</v>
      </c>
      <c r="B2" s="481" t="s">
        <v>10412</v>
      </c>
      <c r="C2" s="134" t="s">
        <v>10413</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10414</v>
      </c>
      <c r="F2" s="252" t="s">
        <v>10415</v>
      </c>
      <c r="G2" s="513" t="s">
        <v>10416</v>
      </c>
      <c r="H2" s="482" t="str">
        <f>IFERROR(__xludf.DUMMYFUNCTION("GOOGLETRANSLATE(B2,""zh-tw"",""zh"")"),"1 - 在google上搜寻 NVIDIA APP安装，并启动 NVIDIA 应用程式。")</f>
        <v>1 - 在google上搜寻 NVIDIA APP安装，并启动 NVIDIA 应用程式。</v>
      </c>
      <c r="I2" s="483" t="s">
        <v>10417</v>
      </c>
      <c r="J2" s="483" t="s">
        <v>10418</v>
      </c>
      <c r="K2" s="179" t="s">
        <v>10419</v>
      </c>
      <c r="L2" s="179" t="s">
        <v>10420</v>
      </c>
      <c r="M2" s="514" t="s">
        <v>10421</v>
      </c>
      <c r="N2" s="514" t="s">
        <v>10422</v>
      </c>
      <c r="O2" s="217"/>
      <c r="P2" s="217"/>
      <c r="Q2" s="217"/>
      <c r="R2" s="217"/>
      <c r="S2" s="217"/>
      <c r="T2" s="217"/>
      <c r="U2" s="217"/>
      <c r="V2" s="217"/>
      <c r="W2" s="217"/>
    </row>
    <row r="3">
      <c r="A3" s="481" t="s">
        <v>10423</v>
      </c>
      <c r="B3" s="481" t="s">
        <v>10424</v>
      </c>
      <c r="C3" s="134" t="s">
        <v>10425</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10426</v>
      </c>
      <c r="F3" s="252" t="s">
        <v>10427</v>
      </c>
      <c r="G3" s="513" t="s">
        <v>10428</v>
      </c>
      <c r="H3" s="482" t="str">
        <f>IFERROR(__xludf.DUMMYFUNCTION("GOOGLETRANSLATE(B3,""zh-tw"",""zh"")"),"2 - 在更新至最新版本后重新启动 NVIDIA 应用程式。")</f>
        <v>2 - 在更新至最新版本后重新启动 NVIDIA 应用程式。</v>
      </c>
      <c r="I3" s="483" t="s">
        <v>10429</v>
      </c>
      <c r="J3" s="483" t="s">
        <v>10430</v>
      </c>
      <c r="K3" s="179" t="s">
        <v>10431</v>
      </c>
      <c r="L3" s="179" t="s">
        <v>10432</v>
      </c>
      <c r="M3" s="514" t="s">
        <v>10433</v>
      </c>
      <c r="N3" s="514" t="s">
        <v>10434</v>
      </c>
      <c r="O3" s="217"/>
      <c r="P3" s="217"/>
      <c r="Q3" s="217"/>
      <c r="R3" s="217"/>
      <c r="S3" s="217"/>
      <c r="T3" s="217"/>
      <c r="U3" s="217"/>
      <c r="V3" s="217"/>
      <c r="W3" s="217"/>
    </row>
    <row r="4">
      <c r="A4" s="481" t="s">
        <v>10435</v>
      </c>
      <c r="B4" s="481" t="s">
        <v>10436</v>
      </c>
      <c r="C4" s="134" t="s">
        <v>10437</v>
      </c>
      <c r="D4" s="134" t="str">
        <f>IFERROR(__xludf.DUMMYFUNCTION("GOOGLETRANSLATE(B4,""zh-tw"",""ja"")"),"3 - NVIDIA アプリケーションで、グラフィック設定領域に移動します。")</f>
        <v>3 - NVIDIA アプリケーションで、グラフィック設定領域に移動します。</v>
      </c>
      <c r="E4" s="512" t="s">
        <v>10438</v>
      </c>
      <c r="F4" s="252" t="s">
        <v>10439</v>
      </c>
      <c r="G4" s="513" t="s">
        <v>10440</v>
      </c>
      <c r="H4" s="482" t="str">
        <f>IFERROR(__xludf.DUMMYFUNCTION("GOOGLETRANSLATE(B4,""zh-tw"",""zh"")"),"3 - 在NVIDIA应用程式中，进入图形设置区域。")</f>
        <v>3 - 在NVIDIA应用程式中，进入图形设置区域。</v>
      </c>
      <c r="I4" s="483" t="s">
        <v>10441</v>
      </c>
      <c r="J4" s="483" t="s">
        <v>10442</v>
      </c>
      <c r="K4" s="179" t="s">
        <v>10443</v>
      </c>
      <c r="L4" s="179" t="s">
        <v>10444</v>
      </c>
      <c r="M4" s="514" t="s">
        <v>10445</v>
      </c>
      <c r="N4" s="514" t="s">
        <v>10446</v>
      </c>
      <c r="O4" s="217"/>
      <c r="P4" s="217"/>
      <c r="Q4" s="217"/>
      <c r="R4" s="217"/>
      <c r="S4" s="217"/>
      <c r="T4" s="217"/>
      <c r="U4" s="217"/>
      <c r="V4" s="217"/>
      <c r="W4" s="217"/>
    </row>
    <row r="5">
      <c r="A5" s="481" t="s">
        <v>10447</v>
      </c>
      <c r="B5" s="481" t="s">
        <v>10448</v>
      </c>
      <c r="C5" s="134" t="s">
        <v>10449</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10450</v>
      </c>
      <c r="F5" s="252" t="s">
        <v>10451</v>
      </c>
      <c r="G5" s="513" t="s">
        <v>10452</v>
      </c>
      <c r="H5" s="482" t="str">
        <f>IFERROR(__xludf.DUMMYFUNCTION("GOOGLETRANSLATE(B5,""zh-tw"",""zh"")"),"4 - 在「程式设定」中点击三个点，选择「新增程式」，然后寻找游戏的执行档。")</f>
        <v>4 - 在「程式设定」中点击三个点，选择「新增程式」，然后寻找游戏的执行档。</v>
      </c>
      <c r="I5" s="483" t="s">
        <v>10453</v>
      </c>
      <c r="J5" s="483" t="s">
        <v>10454</v>
      </c>
      <c r="K5" s="179" t="s">
        <v>10455</v>
      </c>
      <c r="L5" s="179" t="s">
        <v>10456</v>
      </c>
      <c r="M5" s="514" t="s">
        <v>10457</v>
      </c>
      <c r="N5" s="514" t="s">
        <v>10458</v>
      </c>
      <c r="O5" s="217"/>
      <c r="P5" s="217"/>
      <c r="Q5" s="217"/>
      <c r="R5" s="217"/>
      <c r="S5" s="217"/>
      <c r="T5" s="217"/>
      <c r="U5" s="217"/>
      <c r="V5" s="217"/>
      <c r="W5" s="217"/>
    </row>
    <row r="6">
      <c r="A6" s="481" t="s">
        <v>10459</v>
      </c>
      <c r="B6" s="481" t="s">
        <v>10460</v>
      </c>
      <c r="C6" s="134" t="s">
        <v>10461</v>
      </c>
      <c r="D6" s="134" t="str">
        <f>IFERROR(__xludf.DUMMYFUNCTION("GOOGLETRANSLATE(B6,""zh-tw"",""ja"")"),"5 - 「低遅延モード」を「超高」に、「電源管理モード」を「最適電力」に設定します。")</f>
        <v>5 - 「低遅延モード」を「超高」に、「電源管理モード」を「最適電力」に設定します。</v>
      </c>
      <c r="E6" s="512" t="s">
        <v>10462</v>
      </c>
      <c r="F6" s="252" t="s">
        <v>10463</v>
      </c>
      <c r="G6" s="513" t="s">
        <v>10464</v>
      </c>
      <c r="H6" s="482" t="str">
        <f>IFERROR(__xludf.DUMMYFUNCTION("GOOGLETRANSLATE(B6,""zh-tw"",""zh"")"),"5 - 将「低延迟模式」设为「超高」，电源管理模式设为「最佳电源」。")</f>
        <v>5 - 将「低延迟模式」设为「超高」，电源管理模式设为「最佳电源」。</v>
      </c>
      <c r="I6" s="483" t="s">
        <v>10465</v>
      </c>
      <c r="J6" s="483" t="s">
        <v>10466</v>
      </c>
      <c r="K6" s="179" t="s">
        <v>10467</v>
      </c>
      <c r="L6" s="179" t="s">
        <v>10468</v>
      </c>
      <c r="M6" s="514" t="s">
        <v>10469</v>
      </c>
      <c r="N6" s="514" t="s">
        <v>10470</v>
      </c>
      <c r="O6" s="217"/>
      <c r="P6" s="217"/>
      <c r="Q6" s="217"/>
      <c r="R6" s="217"/>
      <c r="S6" s="217"/>
      <c r="T6" s="217"/>
      <c r="U6" s="217"/>
      <c r="V6" s="217"/>
      <c r="W6" s="217"/>
    </row>
    <row r="7">
      <c r="A7" s="481" t="s">
        <v>10471</v>
      </c>
      <c r="B7" s="481" t="s">
        <v>10472</v>
      </c>
      <c r="C7" s="134" t="s">
        <v>10473</v>
      </c>
      <c r="D7" s="134" t="str">
        <f>IFERROR(__xludf.DUMMYFUNCTION("GOOGLETRANSLATE(B7,""zh-tw"",""ja"")"),"6-「垂直同期」を「高速」に設定します。")</f>
        <v>6-「垂直同期」を「高速」に設定します。</v>
      </c>
      <c r="E7" s="512" t="s">
        <v>10474</v>
      </c>
      <c r="F7" s="252" t="s">
        <v>10475</v>
      </c>
      <c r="G7" s="513" t="s">
        <v>10476</v>
      </c>
      <c r="H7" s="482" t="str">
        <f>IFERROR(__xludf.DUMMYFUNCTION("GOOGLETRANSLATE(B7,""zh-tw"",""zh"")"),"6- 将「垂直同步」设为「快速」。")</f>
        <v>6- 将「垂直同步」设为「快速」。</v>
      </c>
      <c r="I7" s="483" t="s">
        <v>10477</v>
      </c>
      <c r="J7" s="483" t="s">
        <v>10478</v>
      </c>
      <c r="K7" s="179" t="s">
        <v>10479</v>
      </c>
      <c r="L7" s="179" t="s">
        <v>10480</v>
      </c>
      <c r="M7" s="514" t="s">
        <v>10481</v>
      </c>
      <c r="N7" s="514" t="s">
        <v>10482</v>
      </c>
      <c r="O7" s="217"/>
      <c r="P7" s="217"/>
      <c r="Q7" s="217"/>
      <c r="R7" s="217"/>
      <c r="S7" s="217"/>
      <c r="T7" s="217"/>
      <c r="U7" s="217"/>
      <c r="V7" s="217"/>
      <c r="W7" s="217"/>
    </row>
    <row r="8">
      <c r="A8" s="481" t="s">
        <v>10483</v>
      </c>
      <c r="B8" s="481" t="s">
        <v>10484</v>
      </c>
      <c r="C8" s="134" t="s">
        <v>10485</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10486</v>
      </c>
      <c r="F8" s="252" t="s">
        <v>10487</v>
      </c>
      <c r="G8" s="513" t="s">
        <v>10488</v>
      </c>
      <c r="H8" s="482" t="str">
        <f>IFERROR(__xludf.DUMMYFUNCTION("GOOGLETRANSLATE(B8,""zh-tw"",""zh"")"),"7 - 如果你的电脑无法负荷这些选项，请依照最佳的选项即可。")</f>
        <v>7 - 如果你的电脑无法负荷这些选项，请依照最佳的选项即可。</v>
      </c>
      <c r="I8" s="483" t="s">
        <v>10489</v>
      </c>
      <c r="J8" s="483" t="s">
        <v>10490</v>
      </c>
      <c r="K8" s="179" t="s">
        <v>10491</v>
      </c>
      <c r="L8" s="179" t="s">
        <v>10492</v>
      </c>
      <c r="M8" s="514" t="s">
        <v>10493</v>
      </c>
      <c r="N8" s="514" t="s">
        <v>10494</v>
      </c>
      <c r="O8" s="217"/>
      <c r="P8" s="217"/>
      <c r="Q8" s="217"/>
      <c r="R8" s="217"/>
      <c r="S8" s="217"/>
      <c r="T8" s="217"/>
      <c r="U8" s="217"/>
      <c r="V8" s="217"/>
      <c r="W8" s="217"/>
    </row>
    <row r="9">
      <c r="A9" s="481" t="s">
        <v>10495</v>
      </c>
      <c r="B9" s="481" t="s">
        <v>10496</v>
      </c>
      <c r="C9" s="134" t="s">
        <v>10497</v>
      </c>
      <c r="D9" s="134" t="str">
        <f>IFERROR(__xludf.DUMMYFUNCTION("GOOGLETRANSLATE(B9,""zh-tw"",""ja"")"),"8- ゲームを起動すると、その優れた安定性を体験できます。")</f>
        <v>8- ゲームを起動すると、その優れた安定性を体験できます。</v>
      </c>
      <c r="E9" s="512" t="s">
        <v>10498</v>
      </c>
      <c r="F9" s="252" t="s">
        <v>10499</v>
      </c>
      <c r="G9" s="513" t="s">
        <v>10500</v>
      </c>
      <c r="H9" s="482" t="str">
        <f>IFERROR(__xludf.DUMMYFUNCTION("GOOGLETRANSLATE(B9,""zh-tw"",""zh"")"),"8- 现在，将游戏启动，你能体验到良好的稳定性能。")</f>
        <v>8- 现在，将游戏启动，你能体验到良好的稳定性能。</v>
      </c>
      <c r="I9" s="483" t="s">
        <v>10501</v>
      </c>
      <c r="J9" s="483" t="s">
        <v>10502</v>
      </c>
      <c r="K9" s="179" t="s">
        <v>10503</v>
      </c>
      <c r="L9" s="179" t="s">
        <v>10504</v>
      </c>
      <c r="M9" s="514" t="s">
        <v>10498</v>
      </c>
      <c r="N9" s="514" t="s">
        <v>10505</v>
      </c>
      <c r="O9" s="217"/>
      <c r="P9" s="217"/>
      <c r="Q9" s="217"/>
      <c r="R9" s="217"/>
      <c r="S9" s="217"/>
      <c r="T9" s="217"/>
      <c r="U9" s="217"/>
      <c r="V9" s="217"/>
      <c r="W9" s="217"/>
    </row>
    <row r="10">
      <c r="A10" s="481"/>
      <c r="B10" s="515" t="s">
        <v>10506</v>
      </c>
      <c r="C10" s="242"/>
      <c r="D10" s="516" t="s">
        <v>10507</v>
      </c>
      <c r="E10" s="517"/>
      <c r="F10" s="518" t="s">
        <v>10381</v>
      </c>
      <c r="G10" s="482"/>
      <c r="H10" s="519" t="s">
        <v>10508</v>
      </c>
      <c r="I10" s="520"/>
      <c r="J10" s="521" t="s">
        <v>10383</v>
      </c>
      <c r="K10" s="415"/>
      <c r="L10" s="491" t="str">
        <f>HYPERLINK("https://www.youtube.com/watch?v=9NSNcMB5M2o&amp;ab_channel=gabrielb", "Video Youtube tham khảo")</f>
        <v>Video Youtube tham khảo</v>
      </c>
      <c r="M10" s="522"/>
      <c r="N10" s="523" t="s">
        <v>10509</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